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Budsjett og analyse\Økonomiplan\Økonomiplan 2018-2021\Dokumenter fra samhanldingrom\Økonomiplan 2018-2021\Muligheter og utfordringer i et langsiktig perspektiv\"/>
    </mc:Choice>
  </mc:AlternateContent>
  <bookViews>
    <workbookView xWindow="0" yWindow="0" windowWidth="28800" windowHeight="14820"/>
  </bookViews>
  <sheets>
    <sheet name="Forutsetninger drift" sheetId="1" r:id="rId1"/>
    <sheet name="Forutsetninger investering" sheetId="12" state="hidden" r:id="rId2"/>
    <sheet name="Øk oversikt 2017-2030" sheetId="9" r:id="rId3"/>
    <sheet name="Øk oversikt 2017-2021" sheetId="7" r:id="rId4"/>
    <sheet name="Gjeldende tiltaksliste" sheetId="5" state="hidden" r:id="rId5"/>
    <sheet name="Internhusleie" sheetId="2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4" hidden="1">'Gjeldende tiltaksliste'!$A$26:$AY$316</definedName>
    <definedName name="kOSTNADSTYPE">[1]Div!$D$3:$D$5</definedName>
    <definedName name="KPI">[2]Div!$D$3:$D$6</definedName>
    <definedName name="kriterieverdier" localSheetId="2">#REF!</definedName>
    <definedName name="kriterieverdier">#REF!</definedName>
    <definedName name="Print_Area" localSheetId="4">'Gjeldende tiltaksliste'!$A:$K</definedName>
    <definedName name="Ut14__A1" localSheetId="2">[3]Inngang!#REF!</definedName>
    <definedName name="Ut14__A1">[3]Inngang!#REF!</definedName>
    <definedName name="_xlnm.Print_Area" localSheetId="4">'Gjeldende tiltaksliste'!$A$1:$N$305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I41" i="1"/>
  <c r="J41" i="1"/>
  <c r="K41" i="1"/>
  <c r="L41" i="1"/>
  <c r="M41" i="1"/>
  <c r="N41" i="1"/>
  <c r="O41" i="1"/>
  <c r="G41" i="1"/>
  <c r="H29" i="1"/>
  <c r="I29" i="1"/>
  <c r="J29" i="1"/>
  <c r="K29" i="1"/>
  <c r="L29" i="1"/>
  <c r="M29" i="1"/>
  <c r="N29" i="1"/>
  <c r="O29" i="1"/>
  <c r="G29" i="1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B27" i="9"/>
  <c r="B28" i="9"/>
  <c r="B26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B22" i="9"/>
  <c r="B21" i="9"/>
  <c r="B23" i="9" s="1"/>
  <c r="B47" i="9"/>
  <c r="B44" i="9"/>
  <c r="B40" i="9"/>
  <c r="B41" i="9"/>
  <c r="B33" i="9"/>
  <c r="B15" i="9"/>
  <c r="B3" i="9"/>
  <c r="B7" i="9" s="1"/>
  <c r="B17" i="9" s="1"/>
  <c r="B4" i="9"/>
  <c r="B5" i="9"/>
  <c r="B6" i="9"/>
  <c r="B29" i="9" l="1"/>
  <c r="B31" i="9" s="1"/>
  <c r="B35" i="9" s="1"/>
  <c r="AH55" i="5" l="1"/>
  <c r="AI55" i="5"/>
  <c r="AJ55" i="5"/>
  <c r="AK55" i="5"/>
  <c r="AL55" i="5"/>
  <c r="AM55" i="5"/>
  <c r="AN55" i="5"/>
  <c r="AO55" i="5"/>
  <c r="AG55" i="5"/>
  <c r="G11" i="9" l="1"/>
  <c r="AX316" i="5" l="1"/>
  <c r="AW316" i="5"/>
  <c r="B314" i="5"/>
  <c r="AX313" i="5"/>
  <c r="AW313" i="5"/>
  <c r="N313" i="5"/>
  <c r="O313" i="5" s="1"/>
  <c r="P313" i="5" s="1"/>
  <c r="Q313" i="5" s="1"/>
  <c r="R313" i="5" s="1"/>
  <c r="S313" i="5" s="1"/>
  <c r="T313" i="5" s="1"/>
  <c r="U313" i="5" s="1"/>
  <c r="V313" i="5" s="1"/>
  <c r="W313" i="5" s="1"/>
  <c r="M313" i="5"/>
  <c r="L313" i="5"/>
  <c r="K313" i="5"/>
  <c r="AX312" i="5"/>
  <c r="AW312" i="5"/>
  <c r="N312" i="5"/>
  <c r="O312" i="5" s="1"/>
  <c r="P312" i="5" s="1"/>
  <c r="Q312" i="5" s="1"/>
  <c r="R312" i="5" s="1"/>
  <c r="S312" i="5" s="1"/>
  <c r="T312" i="5" s="1"/>
  <c r="U312" i="5" s="1"/>
  <c r="V312" i="5" s="1"/>
  <c r="W312" i="5" s="1"/>
  <c r="M312" i="5"/>
  <c r="L312" i="5"/>
  <c r="K312" i="5"/>
  <c r="O311" i="5"/>
  <c r="P311" i="5" s="1"/>
  <c r="Q311" i="5" s="1"/>
  <c r="R311" i="5" s="1"/>
  <c r="S311" i="5" s="1"/>
  <c r="T311" i="5" s="1"/>
  <c r="U311" i="5" s="1"/>
  <c r="V311" i="5" s="1"/>
  <c r="W311" i="5" s="1"/>
  <c r="O310" i="5"/>
  <c r="P310" i="5" s="1"/>
  <c r="Q310" i="5" s="1"/>
  <c r="R310" i="5" s="1"/>
  <c r="S310" i="5" s="1"/>
  <c r="T310" i="5" s="1"/>
  <c r="U310" i="5" s="1"/>
  <c r="V310" i="5" s="1"/>
  <c r="W310" i="5" s="1"/>
  <c r="AX308" i="5"/>
  <c r="AW308" i="5"/>
  <c r="O308" i="5"/>
  <c r="P308" i="5" s="1"/>
  <c r="Q308" i="5" s="1"/>
  <c r="R308" i="5" s="1"/>
  <c r="S308" i="5" s="1"/>
  <c r="T308" i="5" s="1"/>
  <c r="U308" i="5" s="1"/>
  <c r="V308" i="5" s="1"/>
  <c r="W308" i="5" s="1"/>
  <c r="AX307" i="5"/>
  <c r="AW307" i="5"/>
  <c r="O307" i="5"/>
  <c r="P307" i="5" s="1"/>
  <c r="Q307" i="5" s="1"/>
  <c r="R307" i="5" s="1"/>
  <c r="S307" i="5" s="1"/>
  <c r="T307" i="5" s="1"/>
  <c r="U307" i="5" s="1"/>
  <c r="V307" i="5" s="1"/>
  <c r="W307" i="5" s="1"/>
  <c r="N306" i="5"/>
  <c r="O306" i="5" s="1"/>
  <c r="P306" i="5" s="1"/>
  <c r="Q306" i="5" s="1"/>
  <c r="R306" i="5" s="1"/>
  <c r="S306" i="5" s="1"/>
  <c r="T306" i="5" s="1"/>
  <c r="U306" i="5" s="1"/>
  <c r="V306" i="5" s="1"/>
  <c r="W306" i="5" s="1"/>
  <c r="M306" i="5"/>
  <c r="L306" i="5"/>
  <c r="K306" i="5"/>
  <c r="AX305" i="5"/>
  <c r="AW305" i="5"/>
  <c r="N305" i="5"/>
  <c r="O305" i="5" s="1"/>
  <c r="P305" i="5" s="1"/>
  <c r="Q305" i="5" s="1"/>
  <c r="R305" i="5" s="1"/>
  <c r="S305" i="5" s="1"/>
  <c r="T305" i="5" s="1"/>
  <c r="U305" i="5" s="1"/>
  <c r="V305" i="5" s="1"/>
  <c r="W305" i="5" s="1"/>
  <c r="M305" i="5"/>
  <c r="L305" i="5"/>
  <c r="K305" i="5"/>
  <c r="I305" i="5"/>
  <c r="AX304" i="5"/>
  <c r="AW304" i="5"/>
  <c r="B304" i="5"/>
  <c r="AX302" i="5"/>
  <c r="AW302" i="5"/>
  <c r="AX301" i="5"/>
  <c r="AW301" i="5"/>
  <c r="AX300" i="5"/>
  <c r="AW300" i="5"/>
  <c r="B300" i="5"/>
  <c r="N299" i="5"/>
  <c r="O299" i="5" s="1"/>
  <c r="P299" i="5" s="1"/>
  <c r="Q299" i="5" s="1"/>
  <c r="R299" i="5" s="1"/>
  <c r="S299" i="5" s="1"/>
  <c r="T299" i="5" s="1"/>
  <c r="U299" i="5" s="1"/>
  <c r="V299" i="5" s="1"/>
  <c r="W299" i="5" s="1"/>
  <c r="M299" i="5"/>
  <c r="N298" i="5"/>
  <c r="O298" i="5" s="1"/>
  <c r="P298" i="5" s="1"/>
  <c r="Q298" i="5" s="1"/>
  <c r="R298" i="5" s="1"/>
  <c r="S298" i="5" s="1"/>
  <c r="T298" i="5" s="1"/>
  <c r="U298" i="5" s="1"/>
  <c r="V298" i="5" s="1"/>
  <c r="W298" i="5" s="1"/>
  <c r="M298" i="5"/>
  <c r="L298" i="5"/>
  <c r="K298" i="5"/>
  <c r="AX296" i="5"/>
  <c r="AW296" i="5"/>
  <c r="AX295" i="5"/>
  <c r="AW295" i="5"/>
  <c r="L295" i="5"/>
  <c r="M295" i="5" s="1"/>
  <c r="N295" i="5" s="1"/>
  <c r="O295" i="5" s="1"/>
  <c r="P295" i="5" s="1"/>
  <c r="Q295" i="5" s="1"/>
  <c r="R295" i="5" s="1"/>
  <c r="S295" i="5" s="1"/>
  <c r="T295" i="5" s="1"/>
  <c r="U295" i="5" s="1"/>
  <c r="V295" i="5" s="1"/>
  <c r="W295" i="5" s="1"/>
  <c r="O294" i="5"/>
  <c r="P294" i="5" s="1"/>
  <c r="Q294" i="5" s="1"/>
  <c r="R294" i="5" s="1"/>
  <c r="S294" i="5" s="1"/>
  <c r="T294" i="5" s="1"/>
  <c r="U294" i="5" s="1"/>
  <c r="V294" i="5" s="1"/>
  <c r="W294" i="5" s="1"/>
  <c r="O293" i="5"/>
  <c r="P293" i="5" s="1"/>
  <c r="Q293" i="5" s="1"/>
  <c r="R293" i="5" s="1"/>
  <c r="S293" i="5" s="1"/>
  <c r="T293" i="5" s="1"/>
  <c r="U293" i="5" s="1"/>
  <c r="V293" i="5" s="1"/>
  <c r="W293" i="5" s="1"/>
  <c r="AX288" i="5"/>
  <c r="AW288" i="5"/>
  <c r="O288" i="5"/>
  <c r="P288" i="5" s="1"/>
  <c r="Q288" i="5" s="1"/>
  <c r="R288" i="5" s="1"/>
  <c r="S288" i="5" s="1"/>
  <c r="T288" i="5" s="1"/>
  <c r="U288" i="5" s="1"/>
  <c r="V288" i="5" s="1"/>
  <c r="W288" i="5" s="1"/>
  <c r="J288" i="5"/>
  <c r="AX287" i="5"/>
  <c r="AW287" i="5"/>
  <c r="O287" i="5"/>
  <c r="P287" i="5" s="1"/>
  <c r="Q287" i="5" s="1"/>
  <c r="R287" i="5" s="1"/>
  <c r="S287" i="5" s="1"/>
  <c r="T287" i="5" s="1"/>
  <c r="U287" i="5" s="1"/>
  <c r="V287" i="5" s="1"/>
  <c r="W287" i="5" s="1"/>
  <c r="AX286" i="5"/>
  <c r="AW286" i="5"/>
  <c r="O286" i="5"/>
  <c r="P286" i="5" s="1"/>
  <c r="Q286" i="5" s="1"/>
  <c r="R286" i="5" s="1"/>
  <c r="S286" i="5" s="1"/>
  <c r="T286" i="5" s="1"/>
  <c r="U286" i="5" s="1"/>
  <c r="V286" i="5" s="1"/>
  <c r="W286" i="5" s="1"/>
  <c r="AX285" i="5"/>
  <c r="AW285" i="5"/>
  <c r="AX284" i="5"/>
  <c r="AW284" i="5"/>
  <c r="O284" i="5"/>
  <c r="P284" i="5" s="1"/>
  <c r="Q284" i="5" s="1"/>
  <c r="R284" i="5" s="1"/>
  <c r="S284" i="5" s="1"/>
  <c r="T284" i="5" s="1"/>
  <c r="U284" i="5" s="1"/>
  <c r="V284" i="5" s="1"/>
  <c r="W284" i="5" s="1"/>
  <c r="I284" i="5"/>
  <c r="L283" i="5"/>
  <c r="M283" i="5" s="1"/>
  <c r="N283" i="5" s="1"/>
  <c r="O283" i="5" s="1"/>
  <c r="P283" i="5" s="1"/>
  <c r="Q283" i="5" s="1"/>
  <c r="R283" i="5" s="1"/>
  <c r="S283" i="5" s="1"/>
  <c r="T283" i="5" s="1"/>
  <c r="U283" i="5" s="1"/>
  <c r="V283" i="5" s="1"/>
  <c r="W283" i="5" s="1"/>
  <c r="AX282" i="5"/>
  <c r="AW282" i="5"/>
  <c r="L282" i="5"/>
  <c r="M282" i="5" s="1"/>
  <c r="N282" i="5" s="1"/>
  <c r="O282" i="5" s="1"/>
  <c r="P282" i="5" s="1"/>
  <c r="Q282" i="5" s="1"/>
  <c r="R282" i="5" s="1"/>
  <c r="S282" i="5" s="1"/>
  <c r="T282" i="5" s="1"/>
  <c r="U282" i="5" s="1"/>
  <c r="V282" i="5" s="1"/>
  <c r="W282" i="5" s="1"/>
  <c r="AX281" i="5"/>
  <c r="AW281" i="5"/>
  <c r="O281" i="5"/>
  <c r="P281" i="5" s="1"/>
  <c r="Q281" i="5" s="1"/>
  <c r="R281" i="5" s="1"/>
  <c r="S281" i="5" s="1"/>
  <c r="T281" i="5" s="1"/>
  <c r="U281" i="5" s="1"/>
  <c r="V281" i="5" s="1"/>
  <c r="W281" i="5" s="1"/>
  <c r="AX280" i="5"/>
  <c r="AW280" i="5"/>
  <c r="O280" i="5"/>
  <c r="P280" i="5" s="1"/>
  <c r="Q280" i="5" s="1"/>
  <c r="R280" i="5" s="1"/>
  <c r="S280" i="5" s="1"/>
  <c r="T280" i="5" s="1"/>
  <c r="U280" i="5" s="1"/>
  <c r="V280" i="5" s="1"/>
  <c r="W280" i="5" s="1"/>
  <c r="O279" i="5"/>
  <c r="P279" i="5" s="1"/>
  <c r="Q279" i="5" s="1"/>
  <c r="R279" i="5" s="1"/>
  <c r="S279" i="5" s="1"/>
  <c r="T279" i="5" s="1"/>
  <c r="U279" i="5" s="1"/>
  <c r="V279" i="5" s="1"/>
  <c r="W279" i="5" s="1"/>
  <c r="AX278" i="5"/>
  <c r="AW278" i="5"/>
  <c r="L278" i="5"/>
  <c r="M278" i="5" s="1"/>
  <c r="N278" i="5" s="1"/>
  <c r="O278" i="5" s="1"/>
  <c r="P278" i="5" s="1"/>
  <c r="Q278" i="5" s="1"/>
  <c r="R278" i="5" s="1"/>
  <c r="S278" i="5" s="1"/>
  <c r="T278" i="5" s="1"/>
  <c r="U278" i="5" s="1"/>
  <c r="V278" i="5" s="1"/>
  <c r="W278" i="5" s="1"/>
  <c r="AX277" i="5"/>
  <c r="AW277" i="5"/>
  <c r="B277" i="5"/>
  <c r="O276" i="5"/>
  <c r="P276" i="5" s="1"/>
  <c r="Q276" i="5" s="1"/>
  <c r="R276" i="5" s="1"/>
  <c r="S276" i="5" s="1"/>
  <c r="T276" i="5" s="1"/>
  <c r="U276" i="5" s="1"/>
  <c r="V276" i="5" s="1"/>
  <c r="W276" i="5" s="1"/>
  <c r="AX274" i="5"/>
  <c r="AW274" i="5"/>
  <c r="O274" i="5"/>
  <c r="P274" i="5" s="1"/>
  <c r="Q274" i="5" s="1"/>
  <c r="R274" i="5" s="1"/>
  <c r="S274" i="5" s="1"/>
  <c r="T274" i="5" s="1"/>
  <c r="U274" i="5" s="1"/>
  <c r="V274" i="5" s="1"/>
  <c r="W274" i="5" s="1"/>
  <c r="AX273" i="5"/>
  <c r="AW273" i="5"/>
  <c r="AV273" i="5"/>
  <c r="O273" i="5"/>
  <c r="P273" i="5" s="1"/>
  <c r="Q273" i="5" s="1"/>
  <c r="R273" i="5" s="1"/>
  <c r="S273" i="5" s="1"/>
  <c r="T273" i="5" s="1"/>
  <c r="U273" i="5" s="1"/>
  <c r="V273" i="5" s="1"/>
  <c r="W273" i="5" s="1"/>
  <c r="AX272" i="5"/>
  <c r="AW272" i="5"/>
  <c r="O272" i="5"/>
  <c r="P272" i="5" s="1"/>
  <c r="Q272" i="5" s="1"/>
  <c r="R272" i="5" s="1"/>
  <c r="S272" i="5" s="1"/>
  <c r="T272" i="5" s="1"/>
  <c r="U272" i="5" s="1"/>
  <c r="V272" i="5" s="1"/>
  <c r="W272" i="5" s="1"/>
  <c r="B272" i="5"/>
  <c r="AX271" i="5"/>
  <c r="AW271" i="5"/>
  <c r="AX270" i="5"/>
  <c r="AW270" i="5"/>
  <c r="AX269" i="5"/>
  <c r="AW269" i="5"/>
  <c r="AX268" i="5"/>
  <c r="AW268" i="5"/>
  <c r="AW267" i="5"/>
  <c r="B267" i="5"/>
  <c r="O266" i="5"/>
  <c r="P266" i="5" s="1"/>
  <c r="Q266" i="5" s="1"/>
  <c r="R266" i="5" s="1"/>
  <c r="S266" i="5" s="1"/>
  <c r="T266" i="5" s="1"/>
  <c r="U266" i="5" s="1"/>
  <c r="V266" i="5" s="1"/>
  <c r="W266" i="5" s="1"/>
  <c r="B266" i="5"/>
  <c r="O265" i="5"/>
  <c r="P265" i="5" s="1"/>
  <c r="Q265" i="5" s="1"/>
  <c r="R265" i="5" s="1"/>
  <c r="S265" i="5" s="1"/>
  <c r="T265" i="5" s="1"/>
  <c r="U265" i="5" s="1"/>
  <c r="V265" i="5" s="1"/>
  <c r="W265" i="5" s="1"/>
  <c r="B265" i="5"/>
  <c r="AX264" i="5"/>
  <c r="AW264" i="5"/>
  <c r="AX263" i="5"/>
  <c r="AW263" i="5"/>
  <c r="AX262" i="5"/>
  <c r="AW262" i="5"/>
  <c r="AX261" i="5"/>
  <c r="AW261" i="5"/>
  <c r="O261" i="5"/>
  <c r="P261" i="5" s="1"/>
  <c r="Q261" i="5" s="1"/>
  <c r="R261" i="5" s="1"/>
  <c r="S261" i="5" s="1"/>
  <c r="T261" i="5" s="1"/>
  <c r="U261" i="5" s="1"/>
  <c r="V261" i="5" s="1"/>
  <c r="W261" i="5" s="1"/>
  <c r="AX260" i="5"/>
  <c r="AW260" i="5"/>
  <c r="O260" i="5"/>
  <c r="P260" i="5" s="1"/>
  <c r="Q260" i="5" s="1"/>
  <c r="R260" i="5" s="1"/>
  <c r="S260" i="5" s="1"/>
  <c r="T260" i="5" s="1"/>
  <c r="U260" i="5" s="1"/>
  <c r="V260" i="5" s="1"/>
  <c r="W260" i="5" s="1"/>
  <c r="AX259" i="5"/>
  <c r="AW259" i="5"/>
  <c r="O259" i="5"/>
  <c r="P259" i="5" s="1"/>
  <c r="Q259" i="5" s="1"/>
  <c r="R259" i="5" s="1"/>
  <c r="S259" i="5" s="1"/>
  <c r="T259" i="5" s="1"/>
  <c r="U259" i="5" s="1"/>
  <c r="V259" i="5" s="1"/>
  <c r="W259" i="5" s="1"/>
  <c r="O258" i="5"/>
  <c r="P258" i="5" s="1"/>
  <c r="Q258" i="5" s="1"/>
  <c r="R258" i="5" s="1"/>
  <c r="S258" i="5" s="1"/>
  <c r="T258" i="5" s="1"/>
  <c r="U258" i="5" s="1"/>
  <c r="V258" i="5" s="1"/>
  <c r="W258" i="5" s="1"/>
  <c r="L257" i="5"/>
  <c r="M257" i="5" s="1"/>
  <c r="N257" i="5" s="1"/>
  <c r="O257" i="5" s="1"/>
  <c r="P257" i="5" s="1"/>
  <c r="Q257" i="5" s="1"/>
  <c r="R257" i="5" s="1"/>
  <c r="S257" i="5" s="1"/>
  <c r="T257" i="5" s="1"/>
  <c r="U257" i="5" s="1"/>
  <c r="V257" i="5" s="1"/>
  <c r="W257" i="5" s="1"/>
  <c r="AX255" i="5"/>
  <c r="AW255" i="5"/>
  <c r="AX253" i="5"/>
  <c r="AW253" i="5"/>
  <c r="AX251" i="5"/>
  <c r="AW251" i="5"/>
  <c r="AX249" i="5"/>
  <c r="AW249" i="5"/>
  <c r="AX248" i="5"/>
  <c r="AW248" i="5"/>
  <c r="AV248" i="5"/>
  <c r="AV249" i="5" s="1"/>
  <c r="O247" i="5"/>
  <c r="P247" i="5" s="1"/>
  <c r="Q247" i="5" s="1"/>
  <c r="R247" i="5" s="1"/>
  <c r="S247" i="5" s="1"/>
  <c r="T247" i="5" s="1"/>
  <c r="U247" i="5" s="1"/>
  <c r="V247" i="5" s="1"/>
  <c r="W247" i="5" s="1"/>
  <c r="B247" i="5"/>
  <c r="O246" i="5"/>
  <c r="P246" i="5" s="1"/>
  <c r="Q246" i="5" s="1"/>
  <c r="R246" i="5" s="1"/>
  <c r="S246" i="5" s="1"/>
  <c r="T246" i="5" s="1"/>
  <c r="U246" i="5" s="1"/>
  <c r="V246" i="5" s="1"/>
  <c r="W246" i="5" s="1"/>
  <c r="B246" i="5"/>
  <c r="AX245" i="5"/>
  <c r="AW245" i="5"/>
  <c r="AX244" i="5"/>
  <c r="AW244" i="5"/>
  <c r="AX243" i="5"/>
  <c r="AW243" i="5"/>
  <c r="AW242" i="5"/>
  <c r="AX241" i="5"/>
  <c r="AW241" i="5"/>
  <c r="AX240" i="5"/>
  <c r="AW240" i="5"/>
  <c r="AX239" i="5"/>
  <c r="AW239" i="5"/>
  <c r="AX238" i="5"/>
  <c r="AW238" i="5"/>
  <c r="AX237" i="5"/>
  <c r="AW237" i="5"/>
  <c r="AW236" i="5"/>
  <c r="AX235" i="5"/>
  <c r="AW235" i="5"/>
  <c r="AX234" i="5"/>
  <c r="AW234" i="5"/>
  <c r="AX233" i="5"/>
  <c r="AW233" i="5"/>
  <c r="AX232" i="5"/>
  <c r="AW232" i="5"/>
  <c r="AX231" i="5"/>
  <c r="AW231" i="5"/>
  <c r="AX230" i="5"/>
  <c r="AW230" i="5"/>
  <c r="AW229" i="5"/>
  <c r="AX228" i="5"/>
  <c r="AW228" i="5"/>
  <c r="AX227" i="5"/>
  <c r="AW227" i="5"/>
  <c r="AX226" i="5"/>
  <c r="AW226" i="5"/>
  <c r="AX225" i="5"/>
  <c r="AW225" i="5"/>
  <c r="AX224" i="5"/>
  <c r="AW224" i="5"/>
  <c r="AX223" i="5"/>
  <c r="AW223" i="5"/>
  <c r="AX222" i="5"/>
  <c r="AW222" i="5"/>
  <c r="AW221" i="5"/>
  <c r="AX220" i="5"/>
  <c r="AW220" i="5"/>
  <c r="AX219" i="5"/>
  <c r="AW219" i="5"/>
  <c r="AX218" i="5"/>
  <c r="AW218" i="5"/>
  <c r="AX217" i="5"/>
  <c r="AW217" i="5"/>
  <c r="AX216" i="5"/>
  <c r="AW216" i="5"/>
  <c r="AX215" i="5"/>
  <c r="AW215" i="5"/>
  <c r="AX214" i="5"/>
  <c r="AW214" i="5"/>
  <c r="N213" i="5"/>
  <c r="O213" i="5" s="1"/>
  <c r="P213" i="5" s="1"/>
  <c r="Q213" i="5" s="1"/>
  <c r="R213" i="5" s="1"/>
  <c r="S213" i="5" s="1"/>
  <c r="T213" i="5" s="1"/>
  <c r="U213" i="5" s="1"/>
  <c r="V213" i="5" s="1"/>
  <c r="W213" i="5" s="1"/>
  <c r="M213" i="5"/>
  <c r="L213" i="5"/>
  <c r="K213" i="5"/>
  <c r="O211" i="5"/>
  <c r="P211" i="5" s="1"/>
  <c r="Q211" i="5" s="1"/>
  <c r="R211" i="5" s="1"/>
  <c r="S211" i="5" s="1"/>
  <c r="T211" i="5" s="1"/>
  <c r="U211" i="5" s="1"/>
  <c r="V211" i="5" s="1"/>
  <c r="W211" i="5" s="1"/>
  <c r="O210" i="5"/>
  <c r="P210" i="5" s="1"/>
  <c r="Q210" i="5" s="1"/>
  <c r="R210" i="5" s="1"/>
  <c r="S210" i="5" s="1"/>
  <c r="T210" i="5" s="1"/>
  <c r="U210" i="5" s="1"/>
  <c r="V210" i="5" s="1"/>
  <c r="W210" i="5" s="1"/>
  <c r="O209" i="5"/>
  <c r="P209" i="5" s="1"/>
  <c r="Q209" i="5" s="1"/>
  <c r="R209" i="5" s="1"/>
  <c r="S209" i="5" s="1"/>
  <c r="T209" i="5" s="1"/>
  <c r="U209" i="5" s="1"/>
  <c r="V209" i="5" s="1"/>
  <c r="W209" i="5" s="1"/>
  <c r="O208" i="5"/>
  <c r="P208" i="5" s="1"/>
  <c r="Q208" i="5" s="1"/>
  <c r="R208" i="5" s="1"/>
  <c r="S208" i="5" s="1"/>
  <c r="T208" i="5" s="1"/>
  <c r="U208" i="5" s="1"/>
  <c r="V208" i="5" s="1"/>
  <c r="W208" i="5" s="1"/>
  <c r="O207" i="5"/>
  <c r="P207" i="5" s="1"/>
  <c r="Q207" i="5" s="1"/>
  <c r="R207" i="5" s="1"/>
  <c r="S207" i="5" s="1"/>
  <c r="T207" i="5" s="1"/>
  <c r="U207" i="5" s="1"/>
  <c r="V207" i="5" s="1"/>
  <c r="W207" i="5" s="1"/>
  <c r="AX206" i="5"/>
  <c r="AW206" i="5"/>
  <c r="O206" i="5"/>
  <c r="P206" i="5" s="1"/>
  <c r="Q206" i="5" s="1"/>
  <c r="R206" i="5" s="1"/>
  <c r="S206" i="5" s="1"/>
  <c r="T206" i="5" s="1"/>
  <c r="U206" i="5" s="1"/>
  <c r="V206" i="5" s="1"/>
  <c r="W206" i="5" s="1"/>
  <c r="O205" i="5"/>
  <c r="P205" i="5" s="1"/>
  <c r="Q205" i="5" s="1"/>
  <c r="R205" i="5" s="1"/>
  <c r="S205" i="5" s="1"/>
  <c r="T205" i="5" s="1"/>
  <c r="U205" i="5" s="1"/>
  <c r="V205" i="5" s="1"/>
  <c r="W205" i="5" s="1"/>
  <c r="AX204" i="5"/>
  <c r="AW204" i="5"/>
  <c r="N204" i="5"/>
  <c r="O204" i="5" s="1"/>
  <c r="P204" i="5" s="1"/>
  <c r="Q204" i="5" s="1"/>
  <c r="R204" i="5" s="1"/>
  <c r="S204" i="5" s="1"/>
  <c r="T204" i="5" s="1"/>
  <c r="U204" i="5" s="1"/>
  <c r="V204" i="5" s="1"/>
  <c r="W204" i="5" s="1"/>
  <c r="M204" i="5"/>
  <c r="L204" i="5"/>
  <c r="AX203" i="5"/>
  <c r="AW203" i="5"/>
  <c r="O203" i="5"/>
  <c r="P203" i="5" s="1"/>
  <c r="Q203" i="5" s="1"/>
  <c r="R203" i="5" s="1"/>
  <c r="S203" i="5" s="1"/>
  <c r="T203" i="5" s="1"/>
  <c r="U203" i="5" s="1"/>
  <c r="V203" i="5" s="1"/>
  <c r="W203" i="5" s="1"/>
  <c r="O202" i="5"/>
  <c r="P202" i="5" s="1"/>
  <c r="Q202" i="5" s="1"/>
  <c r="R202" i="5" s="1"/>
  <c r="S202" i="5" s="1"/>
  <c r="T202" i="5" s="1"/>
  <c r="U202" i="5" s="1"/>
  <c r="V202" i="5" s="1"/>
  <c r="W202" i="5" s="1"/>
  <c r="AV201" i="5"/>
  <c r="L201" i="5"/>
  <c r="M201" i="5" s="1"/>
  <c r="N201" i="5" s="1"/>
  <c r="O201" i="5" s="1"/>
  <c r="P201" i="5" s="1"/>
  <c r="Q201" i="5" s="1"/>
  <c r="R201" i="5" s="1"/>
  <c r="S201" i="5" s="1"/>
  <c r="T201" i="5" s="1"/>
  <c r="U201" i="5" s="1"/>
  <c r="V201" i="5" s="1"/>
  <c r="W201" i="5" s="1"/>
  <c r="AX200" i="5"/>
  <c r="AW200" i="5"/>
  <c r="L200" i="5"/>
  <c r="M200" i="5" s="1"/>
  <c r="N200" i="5" s="1"/>
  <c r="O200" i="5" s="1"/>
  <c r="P200" i="5" s="1"/>
  <c r="Q200" i="5" s="1"/>
  <c r="R200" i="5" s="1"/>
  <c r="S200" i="5" s="1"/>
  <c r="T200" i="5" s="1"/>
  <c r="U200" i="5" s="1"/>
  <c r="V200" i="5" s="1"/>
  <c r="W200" i="5" s="1"/>
  <c r="B200" i="5"/>
  <c r="AX199" i="5"/>
  <c r="AW199" i="5"/>
  <c r="AX198" i="5"/>
  <c r="AW198" i="5"/>
  <c r="AX197" i="5"/>
  <c r="AW197" i="5"/>
  <c r="AW196" i="5"/>
  <c r="AX195" i="5"/>
  <c r="AW195" i="5"/>
  <c r="AW193" i="5"/>
  <c r="AX187" i="5"/>
  <c r="AW187" i="5"/>
  <c r="B187" i="5"/>
  <c r="O186" i="5"/>
  <c r="P186" i="5" s="1"/>
  <c r="Q186" i="5" s="1"/>
  <c r="R186" i="5" s="1"/>
  <c r="S186" i="5" s="1"/>
  <c r="T186" i="5" s="1"/>
  <c r="U186" i="5" s="1"/>
  <c r="V186" i="5" s="1"/>
  <c r="W186" i="5" s="1"/>
  <c r="O185" i="5"/>
  <c r="P185" i="5" s="1"/>
  <c r="Q185" i="5" s="1"/>
  <c r="R185" i="5" s="1"/>
  <c r="S185" i="5" s="1"/>
  <c r="T185" i="5" s="1"/>
  <c r="U185" i="5" s="1"/>
  <c r="V185" i="5" s="1"/>
  <c r="W185" i="5" s="1"/>
  <c r="O184" i="5"/>
  <c r="P184" i="5" s="1"/>
  <c r="Q184" i="5" s="1"/>
  <c r="R184" i="5" s="1"/>
  <c r="S184" i="5" s="1"/>
  <c r="T184" i="5" s="1"/>
  <c r="U184" i="5" s="1"/>
  <c r="V184" i="5" s="1"/>
  <c r="W184" i="5" s="1"/>
  <c r="AX183" i="5"/>
  <c r="AW183" i="5"/>
  <c r="B183" i="5"/>
  <c r="N182" i="5"/>
  <c r="O182" i="5" s="1"/>
  <c r="P182" i="5" s="1"/>
  <c r="Q182" i="5" s="1"/>
  <c r="R182" i="5" s="1"/>
  <c r="S182" i="5" s="1"/>
  <c r="T182" i="5" s="1"/>
  <c r="U182" i="5" s="1"/>
  <c r="V182" i="5" s="1"/>
  <c r="W182" i="5" s="1"/>
  <c r="M182" i="5"/>
  <c r="L182" i="5"/>
  <c r="K182" i="5"/>
  <c r="N181" i="5"/>
  <c r="O181" i="5" s="1"/>
  <c r="P181" i="5" s="1"/>
  <c r="Q181" i="5" s="1"/>
  <c r="R181" i="5" s="1"/>
  <c r="S181" i="5" s="1"/>
  <c r="T181" i="5" s="1"/>
  <c r="U181" i="5" s="1"/>
  <c r="V181" i="5" s="1"/>
  <c r="W181" i="5" s="1"/>
  <c r="M181" i="5"/>
  <c r="L181" i="5"/>
  <c r="K181" i="5"/>
  <c r="O180" i="5"/>
  <c r="P180" i="5" s="1"/>
  <c r="Q180" i="5" s="1"/>
  <c r="R180" i="5" s="1"/>
  <c r="S180" i="5" s="1"/>
  <c r="T180" i="5" s="1"/>
  <c r="U180" i="5" s="1"/>
  <c r="V180" i="5" s="1"/>
  <c r="W180" i="5" s="1"/>
  <c r="O179" i="5"/>
  <c r="P179" i="5" s="1"/>
  <c r="Q179" i="5" s="1"/>
  <c r="R179" i="5" s="1"/>
  <c r="S179" i="5" s="1"/>
  <c r="T179" i="5" s="1"/>
  <c r="U179" i="5" s="1"/>
  <c r="V179" i="5" s="1"/>
  <c r="W179" i="5" s="1"/>
  <c r="L177" i="5"/>
  <c r="M177" i="5" s="1"/>
  <c r="N177" i="5" s="1"/>
  <c r="O177" i="5" s="1"/>
  <c r="P177" i="5" s="1"/>
  <c r="Q177" i="5" s="1"/>
  <c r="R177" i="5" s="1"/>
  <c r="S177" i="5" s="1"/>
  <c r="T177" i="5" s="1"/>
  <c r="U177" i="5" s="1"/>
  <c r="V177" i="5" s="1"/>
  <c r="W177" i="5" s="1"/>
  <c r="AX176" i="5"/>
  <c r="AW176" i="5"/>
  <c r="O176" i="5"/>
  <c r="P176" i="5" s="1"/>
  <c r="Q176" i="5" s="1"/>
  <c r="R176" i="5" s="1"/>
  <c r="S176" i="5" s="1"/>
  <c r="T176" i="5" s="1"/>
  <c r="U176" i="5" s="1"/>
  <c r="V176" i="5" s="1"/>
  <c r="W176" i="5" s="1"/>
  <c r="AX174" i="5"/>
  <c r="AW174" i="5"/>
  <c r="O174" i="5"/>
  <c r="P174" i="5" s="1"/>
  <c r="Q174" i="5" s="1"/>
  <c r="R174" i="5" s="1"/>
  <c r="S174" i="5" s="1"/>
  <c r="T174" i="5" s="1"/>
  <c r="U174" i="5" s="1"/>
  <c r="V174" i="5" s="1"/>
  <c r="W174" i="5" s="1"/>
  <c r="K171" i="5"/>
  <c r="AX170" i="5"/>
  <c r="AW170" i="5"/>
  <c r="AX169" i="5"/>
  <c r="AW169" i="5"/>
  <c r="B169" i="5"/>
  <c r="AX168" i="5"/>
  <c r="AW168" i="5"/>
  <c r="L168" i="5"/>
  <c r="M168" i="5" s="1"/>
  <c r="N168" i="5" s="1"/>
  <c r="O168" i="5" s="1"/>
  <c r="P168" i="5" s="1"/>
  <c r="Q168" i="5" s="1"/>
  <c r="R168" i="5" s="1"/>
  <c r="S168" i="5" s="1"/>
  <c r="T168" i="5" s="1"/>
  <c r="U168" i="5" s="1"/>
  <c r="V168" i="5" s="1"/>
  <c r="W168" i="5" s="1"/>
  <c r="AX167" i="5"/>
  <c r="AW167" i="5"/>
  <c r="L167" i="5"/>
  <c r="M167" i="5" s="1"/>
  <c r="N167" i="5" s="1"/>
  <c r="O167" i="5" s="1"/>
  <c r="P167" i="5" s="1"/>
  <c r="Q167" i="5" s="1"/>
  <c r="R167" i="5" s="1"/>
  <c r="S167" i="5" s="1"/>
  <c r="T167" i="5" s="1"/>
  <c r="U167" i="5" s="1"/>
  <c r="V167" i="5" s="1"/>
  <c r="W167" i="5" s="1"/>
  <c r="AX166" i="5"/>
  <c r="AW166" i="5"/>
  <c r="L166" i="5"/>
  <c r="M166" i="5" s="1"/>
  <c r="N166" i="5" s="1"/>
  <c r="O166" i="5" s="1"/>
  <c r="P166" i="5" s="1"/>
  <c r="Q166" i="5" s="1"/>
  <c r="R166" i="5" s="1"/>
  <c r="S166" i="5" s="1"/>
  <c r="T166" i="5" s="1"/>
  <c r="U166" i="5" s="1"/>
  <c r="V166" i="5" s="1"/>
  <c r="W166" i="5" s="1"/>
  <c r="O165" i="5"/>
  <c r="P165" i="5" s="1"/>
  <c r="Q165" i="5" s="1"/>
  <c r="R165" i="5" s="1"/>
  <c r="S165" i="5" s="1"/>
  <c r="T165" i="5" s="1"/>
  <c r="U165" i="5" s="1"/>
  <c r="V165" i="5" s="1"/>
  <c r="W165" i="5" s="1"/>
  <c r="AX164" i="5"/>
  <c r="AW164" i="5"/>
  <c r="B164" i="5"/>
  <c r="O163" i="5"/>
  <c r="P163" i="5" s="1"/>
  <c r="Q163" i="5" s="1"/>
  <c r="R163" i="5" s="1"/>
  <c r="S163" i="5" s="1"/>
  <c r="T163" i="5" s="1"/>
  <c r="U163" i="5" s="1"/>
  <c r="V163" i="5" s="1"/>
  <c r="W163" i="5" s="1"/>
  <c r="O162" i="5"/>
  <c r="P162" i="5" s="1"/>
  <c r="Q162" i="5" s="1"/>
  <c r="R162" i="5" s="1"/>
  <c r="S162" i="5" s="1"/>
  <c r="T162" i="5" s="1"/>
  <c r="U162" i="5" s="1"/>
  <c r="V162" i="5" s="1"/>
  <c r="W162" i="5" s="1"/>
  <c r="O161" i="5"/>
  <c r="P161" i="5" s="1"/>
  <c r="Q161" i="5" s="1"/>
  <c r="R161" i="5" s="1"/>
  <c r="S161" i="5" s="1"/>
  <c r="T161" i="5" s="1"/>
  <c r="U161" i="5" s="1"/>
  <c r="V161" i="5" s="1"/>
  <c r="W161" i="5" s="1"/>
  <c r="N159" i="5"/>
  <c r="O159" i="5" s="1"/>
  <c r="P159" i="5" s="1"/>
  <c r="Q159" i="5" s="1"/>
  <c r="R159" i="5" s="1"/>
  <c r="S159" i="5" s="1"/>
  <c r="T159" i="5" s="1"/>
  <c r="U159" i="5" s="1"/>
  <c r="V159" i="5" s="1"/>
  <c r="W159" i="5" s="1"/>
  <c r="M159" i="5"/>
  <c r="L159" i="5"/>
  <c r="O158" i="5"/>
  <c r="P158" i="5" s="1"/>
  <c r="Q158" i="5" s="1"/>
  <c r="R158" i="5" s="1"/>
  <c r="S158" i="5" s="1"/>
  <c r="T158" i="5" s="1"/>
  <c r="U158" i="5" s="1"/>
  <c r="V158" i="5" s="1"/>
  <c r="W158" i="5" s="1"/>
  <c r="AX156" i="5"/>
  <c r="AW156" i="5"/>
  <c r="AV156" i="5"/>
  <c r="AV157" i="5" s="1"/>
  <c r="O156" i="5"/>
  <c r="P156" i="5" s="1"/>
  <c r="Q156" i="5" s="1"/>
  <c r="R156" i="5" s="1"/>
  <c r="S156" i="5" s="1"/>
  <c r="T156" i="5" s="1"/>
  <c r="U156" i="5" s="1"/>
  <c r="V156" i="5" s="1"/>
  <c r="W156" i="5" s="1"/>
  <c r="AX155" i="5"/>
  <c r="AW155" i="5"/>
  <c r="B155" i="5"/>
  <c r="AX154" i="5"/>
  <c r="AW154" i="5"/>
  <c r="AX153" i="5"/>
  <c r="AW153" i="5"/>
  <c r="AX152" i="5"/>
  <c r="AW152" i="5"/>
  <c r="AX151" i="5"/>
  <c r="AW151" i="5"/>
  <c r="L150" i="5"/>
  <c r="M150" i="5" s="1"/>
  <c r="N150" i="5" s="1"/>
  <c r="O150" i="5" s="1"/>
  <c r="P150" i="5" s="1"/>
  <c r="Q150" i="5" s="1"/>
  <c r="R150" i="5" s="1"/>
  <c r="S150" i="5" s="1"/>
  <c r="T150" i="5" s="1"/>
  <c r="U150" i="5" s="1"/>
  <c r="V150" i="5" s="1"/>
  <c r="W150" i="5" s="1"/>
  <c r="N149" i="5"/>
  <c r="O149" i="5" s="1"/>
  <c r="P149" i="5" s="1"/>
  <c r="Q149" i="5" s="1"/>
  <c r="R149" i="5" s="1"/>
  <c r="S149" i="5" s="1"/>
  <c r="T149" i="5" s="1"/>
  <c r="U149" i="5" s="1"/>
  <c r="V149" i="5" s="1"/>
  <c r="W149" i="5" s="1"/>
  <c r="M149" i="5"/>
  <c r="L149" i="5"/>
  <c r="K149" i="5"/>
  <c r="N148" i="5"/>
  <c r="O148" i="5" s="1"/>
  <c r="P148" i="5" s="1"/>
  <c r="Q148" i="5" s="1"/>
  <c r="R148" i="5" s="1"/>
  <c r="S148" i="5" s="1"/>
  <c r="T148" i="5" s="1"/>
  <c r="U148" i="5" s="1"/>
  <c r="V148" i="5" s="1"/>
  <c r="W148" i="5" s="1"/>
  <c r="M148" i="5"/>
  <c r="L148" i="5"/>
  <c r="AX147" i="5"/>
  <c r="AW147" i="5"/>
  <c r="O147" i="5"/>
  <c r="P147" i="5" s="1"/>
  <c r="Q147" i="5" s="1"/>
  <c r="R147" i="5" s="1"/>
  <c r="S147" i="5" s="1"/>
  <c r="T147" i="5" s="1"/>
  <c r="U147" i="5" s="1"/>
  <c r="V147" i="5" s="1"/>
  <c r="W147" i="5" s="1"/>
  <c r="L146" i="5"/>
  <c r="M146" i="5" s="1"/>
  <c r="N146" i="5" s="1"/>
  <c r="O146" i="5" s="1"/>
  <c r="P146" i="5" s="1"/>
  <c r="Q146" i="5" s="1"/>
  <c r="R146" i="5" s="1"/>
  <c r="S146" i="5" s="1"/>
  <c r="T146" i="5" s="1"/>
  <c r="U146" i="5" s="1"/>
  <c r="V146" i="5" s="1"/>
  <c r="W146" i="5" s="1"/>
  <c r="AX145" i="5"/>
  <c r="AW145" i="5"/>
  <c r="O145" i="5"/>
  <c r="P145" i="5" s="1"/>
  <c r="Q145" i="5" s="1"/>
  <c r="R145" i="5" s="1"/>
  <c r="S145" i="5" s="1"/>
  <c r="T145" i="5" s="1"/>
  <c r="U145" i="5" s="1"/>
  <c r="V145" i="5" s="1"/>
  <c r="W145" i="5" s="1"/>
  <c r="O144" i="5"/>
  <c r="P144" i="5" s="1"/>
  <c r="Q144" i="5" s="1"/>
  <c r="R144" i="5" s="1"/>
  <c r="S144" i="5" s="1"/>
  <c r="T144" i="5" s="1"/>
  <c r="U144" i="5" s="1"/>
  <c r="V144" i="5" s="1"/>
  <c r="W144" i="5" s="1"/>
  <c r="AX143" i="5"/>
  <c r="AW143" i="5"/>
  <c r="N143" i="5"/>
  <c r="O143" i="5" s="1"/>
  <c r="P143" i="5" s="1"/>
  <c r="Q143" i="5" s="1"/>
  <c r="R143" i="5" s="1"/>
  <c r="S143" i="5" s="1"/>
  <c r="T143" i="5" s="1"/>
  <c r="U143" i="5" s="1"/>
  <c r="V143" i="5" s="1"/>
  <c r="W143" i="5" s="1"/>
  <c r="M143" i="5"/>
  <c r="L143" i="5"/>
  <c r="K143" i="5"/>
  <c r="AX142" i="5"/>
  <c r="AW142" i="5"/>
  <c r="O142" i="5"/>
  <c r="P142" i="5" s="1"/>
  <c r="Q142" i="5" s="1"/>
  <c r="R142" i="5" s="1"/>
  <c r="S142" i="5" s="1"/>
  <c r="T142" i="5" s="1"/>
  <c r="U142" i="5" s="1"/>
  <c r="V142" i="5" s="1"/>
  <c r="W142" i="5" s="1"/>
  <c r="AX141" i="5"/>
  <c r="AW141" i="5"/>
  <c r="N140" i="5"/>
  <c r="O140" i="5" s="1"/>
  <c r="P140" i="5" s="1"/>
  <c r="Q140" i="5" s="1"/>
  <c r="R140" i="5" s="1"/>
  <c r="S140" i="5" s="1"/>
  <c r="T140" i="5" s="1"/>
  <c r="U140" i="5" s="1"/>
  <c r="V140" i="5" s="1"/>
  <c r="W140" i="5" s="1"/>
  <c r="M140" i="5"/>
  <c r="L140" i="5"/>
  <c r="K140" i="5"/>
  <c r="K139" i="5"/>
  <c r="O138" i="5"/>
  <c r="P138" i="5" s="1"/>
  <c r="Q138" i="5" s="1"/>
  <c r="R138" i="5" s="1"/>
  <c r="S138" i="5" s="1"/>
  <c r="T138" i="5" s="1"/>
  <c r="U138" i="5" s="1"/>
  <c r="V138" i="5" s="1"/>
  <c r="W138" i="5" s="1"/>
  <c r="AW137" i="5"/>
  <c r="AX136" i="5"/>
  <c r="AW136" i="5"/>
  <c r="O136" i="5"/>
  <c r="P136" i="5" s="1"/>
  <c r="Q136" i="5" s="1"/>
  <c r="R136" i="5" s="1"/>
  <c r="S136" i="5" s="1"/>
  <c r="T136" i="5" s="1"/>
  <c r="U136" i="5" s="1"/>
  <c r="V136" i="5" s="1"/>
  <c r="W136" i="5" s="1"/>
  <c r="AX135" i="5"/>
  <c r="AW135" i="5"/>
  <c r="O135" i="5"/>
  <c r="P135" i="5" s="1"/>
  <c r="Q135" i="5" s="1"/>
  <c r="R135" i="5" s="1"/>
  <c r="S135" i="5" s="1"/>
  <c r="T135" i="5" s="1"/>
  <c r="U135" i="5" s="1"/>
  <c r="V135" i="5" s="1"/>
  <c r="W135" i="5" s="1"/>
  <c r="AX134" i="5"/>
  <c r="AW134" i="5"/>
  <c r="O134" i="5"/>
  <c r="P134" i="5" s="1"/>
  <c r="Q134" i="5" s="1"/>
  <c r="R134" i="5" s="1"/>
  <c r="S134" i="5" s="1"/>
  <c r="T134" i="5" s="1"/>
  <c r="U134" i="5" s="1"/>
  <c r="V134" i="5" s="1"/>
  <c r="W134" i="5" s="1"/>
  <c r="AX133" i="5"/>
  <c r="AW133" i="5"/>
  <c r="O133" i="5"/>
  <c r="P133" i="5" s="1"/>
  <c r="Q133" i="5" s="1"/>
  <c r="R133" i="5" s="1"/>
  <c r="S133" i="5" s="1"/>
  <c r="T133" i="5" s="1"/>
  <c r="U133" i="5" s="1"/>
  <c r="V133" i="5" s="1"/>
  <c r="W133" i="5" s="1"/>
  <c r="AX132" i="5"/>
  <c r="AW132" i="5"/>
  <c r="AX131" i="5"/>
  <c r="AW131" i="5"/>
  <c r="B131" i="5"/>
  <c r="N130" i="5"/>
  <c r="O130" i="5" s="1"/>
  <c r="P130" i="5" s="1"/>
  <c r="Q130" i="5" s="1"/>
  <c r="R130" i="5" s="1"/>
  <c r="S130" i="5" s="1"/>
  <c r="T130" i="5" s="1"/>
  <c r="U130" i="5" s="1"/>
  <c r="V130" i="5" s="1"/>
  <c r="W130" i="5" s="1"/>
  <c r="M130" i="5"/>
  <c r="L130" i="5"/>
  <c r="K130" i="5"/>
  <c r="K129" i="5"/>
  <c r="AX128" i="5"/>
  <c r="AW128" i="5"/>
  <c r="AX127" i="5"/>
  <c r="AW127" i="5"/>
  <c r="AX126" i="5"/>
  <c r="AW126" i="5"/>
  <c r="B126" i="5"/>
  <c r="K125" i="5"/>
  <c r="AX124" i="5"/>
  <c r="AW124" i="5"/>
  <c r="N124" i="5"/>
  <c r="M124" i="5"/>
  <c r="L124" i="5"/>
  <c r="K124" i="5"/>
  <c r="AX123" i="5"/>
  <c r="AW123" i="5"/>
  <c r="AX122" i="5"/>
  <c r="AW122" i="5"/>
  <c r="AX121" i="5"/>
  <c r="AW121" i="5"/>
  <c r="B121" i="5"/>
  <c r="O120" i="5"/>
  <c r="P120" i="5" s="1"/>
  <c r="Q120" i="5" s="1"/>
  <c r="R120" i="5" s="1"/>
  <c r="S120" i="5" s="1"/>
  <c r="T120" i="5" s="1"/>
  <c r="U120" i="5" s="1"/>
  <c r="V120" i="5" s="1"/>
  <c r="W120" i="5" s="1"/>
  <c r="O119" i="5"/>
  <c r="P119" i="5" s="1"/>
  <c r="Q119" i="5" s="1"/>
  <c r="R119" i="5" s="1"/>
  <c r="S119" i="5" s="1"/>
  <c r="T119" i="5" s="1"/>
  <c r="U119" i="5" s="1"/>
  <c r="V119" i="5" s="1"/>
  <c r="W119" i="5" s="1"/>
  <c r="L118" i="5"/>
  <c r="M118" i="5" s="1"/>
  <c r="N118" i="5" s="1"/>
  <c r="O118" i="5" s="1"/>
  <c r="P118" i="5" s="1"/>
  <c r="Q118" i="5" s="1"/>
  <c r="R118" i="5" s="1"/>
  <c r="S118" i="5" s="1"/>
  <c r="T118" i="5" s="1"/>
  <c r="U118" i="5" s="1"/>
  <c r="V118" i="5" s="1"/>
  <c r="W118" i="5" s="1"/>
  <c r="AX117" i="5"/>
  <c r="AW117" i="5"/>
  <c r="L117" i="5"/>
  <c r="M117" i="5" s="1"/>
  <c r="O116" i="5"/>
  <c r="P116" i="5" s="1"/>
  <c r="Q116" i="5" s="1"/>
  <c r="R116" i="5" s="1"/>
  <c r="S116" i="5" s="1"/>
  <c r="T116" i="5" s="1"/>
  <c r="U116" i="5" s="1"/>
  <c r="V116" i="5" s="1"/>
  <c r="W116" i="5" s="1"/>
  <c r="AX115" i="5"/>
  <c r="AW115" i="5"/>
  <c r="AV115" i="5"/>
  <c r="O115" i="5"/>
  <c r="P115" i="5" s="1"/>
  <c r="Q115" i="5" s="1"/>
  <c r="R115" i="5" s="1"/>
  <c r="S115" i="5" s="1"/>
  <c r="T115" i="5" s="1"/>
  <c r="U115" i="5" s="1"/>
  <c r="V115" i="5" s="1"/>
  <c r="W115" i="5" s="1"/>
  <c r="AX114" i="5"/>
  <c r="AW114" i="5"/>
  <c r="O114" i="5"/>
  <c r="P114" i="5" s="1"/>
  <c r="Q114" i="5" s="1"/>
  <c r="R114" i="5" s="1"/>
  <c r="S114" i="5" s="1"/>
  <c r="T114" i="5" s="1"/>
  <c r="U114" i="5" s="1"/>
  <c r="V114" i="5" s="1"/>
  <c r="W114" i="5" s="1"/>
  <c r="B114" i="5"/>
  <c r="AX113" i="5"/>
  <c r="AW113" i="5"/>
  <c r="AX112" i="5"/>
  <c r="AW112" i="5"/>
  <c r="AX111" i="5"/>
  <c r="AW111" i="5"/>
  <c r="AX110" i="5"/>
  <c r="AW110" i="5"/>
  <c r="K109" i="5"/>
  <c r="O108" i="5"/>
  <c r="P108" i="5" s="1"/>
  <c r="Q108" i="5" s="1"/>
  <c r="R108" i="5" s="1"/>
  <c r="S108" i="5" s="1"/>
  <c r="T108" i="5" s="1"/>
  <c r="U108" i="5" s="1"/>
  <c r="V108" i="5" s="1"/>
  <c r="W108" i="5" s="1"/>
  <c r="AX107" i="5"/>
  <c r="AW107" i="5"/>
  <c r="O107" i="5"/>
  <c r="P107" i="5" s="1"/>
  <c r="Q107" i="5" s="1"/>
  <c r="R107" i="5" s="1"/>
  <c r="S107" i="5" s="1"/>
  <c r="T107" i="5" s="1"/>
  <c r="U107" i="5" s="1"/>
  <c r="V107" i="5" s="1"/>
  <c r="W107" i="5" s="1"/>
  <c r="AX106" i="5"/>
  <c r="AW106" i="5"/>
  <c r="O105" i="5"/>
  <c r="P105" i="5" s="1"/>
  <c r="Q105" i="5" s="1"/>
  <c r="R105" i="5" s="1"/>
  <c r="S105" i="5" s="1"/>
  <c r="T105" i="5" s="1"/>
  <c r="U105" i="5" s="1"/>
  <c r="V105" i="5" s="1"/>
  <c r="W105" i="5" s="1"/>
  <c r="O104" i="5"/>
  <c r="P104" i="5" s="1"/>
  <c r="Q104" i="5" s="1"/>
  <c r="R104" i="5" s="1"/>
  <c r="S104" i="5" s="1"/>
  <c r="T104" i="5" s="1"/>
  <c r="U104" i="5" s="1"/>
  <c r="V104" i="5" s="1"/>
  <c r="W104" i="5" s="1"/>
  <c r="K103" i="5"/>
  <c r="AX102" i="5"/>
  <c r="AW102" i="5"/>
  <c r="O102" i="5"/>
  <c r="P102" i="5" s="1"/>
  <c r="Q102" i="5" s="1"/>
  <c r="R102" i="5" s="1"/>
  <c r="S102" i="5" s="1"/>
  <c r="T102" i="5" s="1"/>
  <c r="U102" i="5" s="1"/>
  <c r="V102" i="5" s="1"/>
  <c r="W102" i="5" s="1"/>
  <c r="AX101" i="5"/>
  <c r="AW101" i="5"/>
  <c r="O101" i="5"/>
  <c r="P101" i="5" s="1"/>
  <c r="Q101" i="5" s="1"/>
  <c r="R101" i="5" s="1"/>
  <c r="S101" i="5" s="1"/>
  <c r="T101" i="5" s="1"/>
  <c r="U101" i="5" s="1"/>
  <c r="V101" i="5" s="1"/>
  <c r="W101" i="5" s="1"/>
  <c r="L101" i="5"/>
  <c r="AX100" i="5"/>
  <c r="AW100" i="5"/>
  <c r="O100" i="5"/>
  <c r="P100" i="5" s="1"/>
  <c r="Q100" i="5" s="1"/>
  <c r="R100" i="5" s="1"/>
  <c r="S100" i="5" s="1"/>
  <c r="T100" i="5" s="1"/>
  <c r="U100" i="5" s="1"/>
  <c r="V100" i="5" s="1"/>
  <c r="W100" i="5" s="1"/>
  <c r="AX99" i="5"/>
  <c r="AW99" i="5"/>
  <c r="O99" i="5"/>
  <c r="P99" i="5" s="1"/>
  <c r="Q99" i="5" s="1"/>
  <c r="R99" i="5" s="1"/>
  <c r="S99" i="5" s="1"/>
  <c r="T99" i="5" s="1"/>
  <c r="U99" i="5" s="1"/>
  <c r="V99" i="5" s="1"/>
  <c r="W99" i="5" s="1"/>
  <c r="O98" i="5"/>
  <c r="P98" i="5" s="1"/>
  <c r="Q98" i="5" s="1"/>
  <c r="R98" i="5" s="1"/>
  <c r="S98" i="5" s="1"/>
  <c r="T98" i="5" s="1"/>
  <c r="U98" i="5" s="1"/>
  <c r="V98" i="5" s="1"/>
  <c r="W98" i="5" s="1"/>
  <c r="AX97" i="5"/>
  <c r="AW97" i="5"/>
  <c r="N97" i="5"/>
  <c r="O97" i="5" s="1"/>
  <c r="P97" i="5" s="1"/>
  <c r="Q97" i="5" s="1"/>
  <c r="R97" i="5" s="1"/>
  <c r="S97" i="5" s="1"/>
  <c r="T97" i="5" s="1"/>
  <c r="U97" i="5" s="1"/>
  <c r="V97" i="5" s="1"/>
  <c r="W97" i="5" s="1"/>
  <c r="M97" i="5"/>
  <c r="L97" i="5"/>
  <c r="AX96" i="5"/>
  <c r="AW96" i="5"/>
  <c r="O96" i="5"/>
  <c r="P96" i="5" s="1"/>
  <c r="Q96" i="5" s="1"/>
  <c r="R96" i="5" s="1"/>
  <c r="S96" i="5" s="1"/>
  <c r="T96" i="5" s="1"/>
  <c r="U96" i="5" s="1"/>
  <c r="V96" i="5" s="1"/>
  <c r="W96" i="5" s="1"/>
  <c r="O95" i="5"/>
  <c r="P95" i="5" s="1"/>
  <c r="Q95" i="5" s="1"/>
  <c r="R95" i="5" s="1"/>
  <c r="S95" i="5" s="1"/>
  <c r="T95" i="5" s="1"/>
  <c r="U95" i="5" s="1"/>
  <c r="V95" i="5" s="1"/>
  <c r="W95" i="5" s="1"/>
  <c r="K95" i="5"/>
  <c r="AX93" i="5"/>
  <c r="AW93" i="5"/>
  <c r="AX92" i="5"/>
  <c r="AW92" i="5"/>
  <c r="AX91" i="5"/>
  <c r="AW91" i="5"/>
  <c r="AV91" i="5"/>
  <c r="AV92" i="5" s="1"/>
  <c r="AX90" i="5"/>
  <c r="AW90" i="5"/>
  <c r="B90" i="5"/>
  <c r="AX89" i="5"/>
  <c r="AW89" i="5"/>
  <c r="AX88" i="5"/>
  <c r="AW88" i="5"/>
  <c r="AX87" i="5"/>
  <c r="AW87" i="5"/>
  <c r="AX86" i="5"/>
  <c r="AW86" i="5"/>
  <c r="AX85" i="5"/>
  <c r="AW85" i="5"/>
  <c r="AX84" i="5"/>
  <c r="AW84" i="5"/>
  <c r="AX83" i="5"/>
  <c r="AW83" i="5"/>
  <c r="N82" i="5"/>
  <c r="O82" i="5" s="1"/>
  <c r="P82" i="5" s="1"/>
  <c r="Q82" i="5" s="1"/>
  <c r="R82" i="5" s="1"/>
  <c r="S82" i="5" s="1"/>
  <c r="T82" i="5" s="1"/>
  <c r="U82" i="5" s="1"/>
  <c r="V82" i="5" s="1"/>
  <c r="W82" i="5" s="1"/>
  <c r="M82" i="5"/>
  <c r="L82" i="5"/>
  <c r="K82" i="5"/>
  <c r="K81" i="5"/>
  <c r="O80" i="5"/>
  <c r="P80" i="5" s="1"/>
  <c r="Q80" i="5" s="1"/>
  <c r="R80" i="5" s="1"/>
  <c r="S80" i="5" s="1"/>
  <c r="T80" i="5" s="1"/>
  <c r="U80" i="5" s="1"/>
  <c r="V80" i="5" s="1"/>
  <c r="W80" i="5" s="1"/>
  <c r="O77" i="5"/>
  <c r="P77" i="5" s="1"/>
  <c r="K76" i="5"/>
  <c r="N75" i="5"/>
  <c r="M74" i="5"/>
  <c r="L74" i="5"/>
  <c r="AX73" i="5"/>
  <c r="AW73" i="5"/>
  <c r="O73" i="5"/>
  <c r="P73" i="5" s="1"/>
  <c r="Q73" i="5" s="1"/>
  <c r="R73" i="5" s="1"/>
  <c r="S73" i="5" s="1"/>
  <c r="AX72" i="5"/>
  <c r="AW72" i="5"/>
  <c r="AX71" i="5"/>
  <c r="AW71" i="5"/>
  <c r="AX70" i="5"/>
  <c r="AW70" i="5"/>
  <c r="AX69" i="5"/>
  <c r="AW69" i="5"/>
  <c r="AX68" i="5"/>
  <c r="AW68" i="5"/>
  <c r="AV68" i="5"/>
  <c r="AX67" i="5"/>
  <c r="AW67" i="5"/>
  <c r="B67" i="5"/>
  <c r="J62" i="5"/>
  <c r="I62" i="5"/>
  <c r="H62" i="5"/>
  <c r="N58" i="5"/>
  <c r="O58" i="5" s="1"/>
  <c r="P58" i="5" s="1"/>
  <c r="Q58" i="5" s="1"/>
  <c r="R58" i="5" s="1"/>
  <c r="S58" i="5" s="1"/>
  <c r="T58" i="5" s="1"/>
  <c r="U58" i="5" s="1"/>
  <c r="V58" i="5" s="1"/>
  <c r="W58" i="5" s="1"/>
  <c r="M58" i="5"/>
  <c r="L58" i="5"/>
  <c r="K58" i="5"/>
  <c r="N57" i="5"/>
  <c r="O57" i="5" s="1"/>
  <c r="P57" i="5" s="1"/>
  <c r="Q57" i="5" s="1"/>
  <c r="R57" i="5" s="1"/>
  <c r="S57" i="5" s="1"/>
  <c r="T57" i="5" s="1"/>
  <c r="U57" i="5" s="1"/>
  <c r="V57" i="5" s="1"/>
  <c r="W57" i="5" s="1"/>
  <c r="M57" i="5"/>
  <c r="AE50" i="5" s="1"/>
  <c r="L57" i="5"/>
  <c r="AD50" i="5" s="1"/>
  <c r="K57" i="5"/>
  <c r="AC50" i="5" s="1"/>
  <c r="O56" i="5"/>
  <c r="P56" i="5" s="1"/>
  <c r="Q56" i="5" s="1"/>
  <c r="R56" i="5" s="1"/>
  <c r="S56" i="5" s="1"/>
  <c r="T56" i="5" s="1"/>
  <c r="U56" i="5" s="1"/>
  <c r="V56" i="5" s="1"/>
  <c r="W56" i="5" s="1"/>
  <c r="O55" i="5"/>
  <c r="P55" i="5" s="1"/>
  <c r="Q55" i="5" s="1"/>
  <c r="R55" i="5" s="1"/>
  <c r="S55" i="5" s="1"/>
  <c r="T55" i="5" s="1"/>
  <c r="U55" i="5" s="1"/>
  <c r="V55" i="5" s="1"/>
  <c r="W55" i="5" s="1"/>
  <c r="O54" i="5"/>
  <c r="P54" i="5" s="1"/>
  <c r="Q54" i="5" s="1"/>
  <c r="R54" i="5" s="1"/>
  <c r="S54" i="5" s="1"/>
  <c r="T54" i="5" s="1"/>
  <c r="U54" i="5" s="1"/>
  <c r="V54" i="5" s="1"/>
  <c r="W54" i="5" s="1"/>
  <c r="O53" i="5"/>
  <c r="P53" i="5" s="1"/>
  <c r="Q53" i="5" s="1"/>
  <c r="R53" i="5" s="1"/>
  <c r="S53" i="5" s="1"/>
  <c r="T53" i="5" s="1"/>
  <c r="U53" i="5" s="1"/>
  <c r="V53" i="5" s="1"/>
  <c r="W53" i="5" s="1"/>
  <c r="I53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O52" i="5"/>
  <c r="P52" i="5" s="1"/>
  <c r="Q52" i="5" s="1"/>
  <c r="R52" i="5" s="1"/>
  <c r="S52" i="5" s="1"/>
  <c r="T52" i="5" s="1"/>
  <c r="U52" i="5" s="1"/>
  <c r="V52" i="5" s="1"/>
  <c r="W52" i="5" s="1"/>
  <c r="AF51" i="5"/>
  <c r="AE51" i="5"/>
  <c r="AD51" i="5"/>
  <c r="AC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I51" i="5"/>
  <c r="O50" i="5"/>
  <c r="P50" i="5" s="1"/>
  <c r="Q50" i="5" s="1"/>
  <c r="R50" i="5" s="1"/>
  <c r="S50" i="5" s="1"/>
  <c r="T50" i="5" s="1"/>
  <c r="U50" i="5" s="1"/>
  <c r="V50" i="5" s="1"/>
  <c r="W50" i="5" s="1"/>
  <c r="O46" i="5"/>
  <c r="P46" i="5" s="1"/>
  <c r="Q46" i="5" s="1"/>
  <c r="R46" i="5" s="1"/>
  <c r="S46" i="5" s="1"/>
  <c r="T46" i="5" s="1"/>
  <c r="U46" i="5" s="1"/>
  <c r="V46" i="5" s="1"/>
  <c r="W46" i="5" s="1"/>
  <c r="O45" i="5"/>
  <c r="P45" i="5" s="1"/>
  <c r="Q45" i="5" s="1"/>
  <c r="R45" i="5" s="1"/>
  <c r="S45" i="5" s="1"/>
  <c r="T45" i="5" s="1"/>
  <c r="U45" i="5" s="1"/>
  <c r="V45" i="5" s="1"/>
  <c r="W45" i="5" s="1"/>
  <c r="O40" i="5"/>
  <c r="O37" i="5"/>
  <c r="N35" i="5"/>
  <c r="O35" i="5" s="1"/>
  <c r="P35" i="5" s="1"/>
  <c r="Q35" i="5" s="1"/>
  <c r="R35" i="5" s="1"/>
  <c r="S35" i="5" s="1"/>
  <c r="T35" i="5" s="1"/>
  <c r="U35" i="5" s="1"/>
  <c r="V35" i="5" s="1"/>
  <c r="W35" i="5" s="1"/>
  <c r="M35" i="5"/>
  <c r="L35" i="5"/>
  <c r="K35" i="5"/>
  <c r="O34" i="5"/>
  <c r="P34" i="5" s="1"/>
  <c r="Q34" i="5" s="1"/>
  <c r="R34" i="5" s="1"/>
  <c r="S34" i="5" s="1"/>
  <c r="T34" i="5" s="1"/>
  <c r="U34" i="5" s="1"/>
  <c r="V34" i="5" s="1"/>
  <c r="W34" i="5" s="1"/>
  <c r="O31" i="5"/>
  <c r="P31" i="5" s="1"/>
  <c r="Q31" i="5" s="1"/>
  <c r="R31" i="5" s="1"/>
  <c r="S31" i="5" s="1"/>
  <c r="T31" i="5" s="1"/>
  <c r="U31" i="5" s="1"/>
  <c r="V31" i="5" s="1"/>
  <c r="W31" i="5" s="1"/>
  <c r="AV30" i="5"/>
  <c r="B30" i="5" s="1"/>
  <c r="I30" i="5"/>
  <c r="B29" i="5"/>
  <c r="BA28" i="5"/>
  <c r="AZ28" i="5"/>
  <c r="AY28" i="5"/>
  <c r="BB7" i="5" s="1"/>
  <c r="AX28" i="5"/>
  <c r="J22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J13" i="5"/>
  <c r="I13" i="5"/>
  <c r="H13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J9" i="5"/>
  <c r="I9" i="5"/>
  <c r="H9" i="5"/>
  <c r="K8" i="5"/>
  <c r="J8" i="5"/>
  <c r="I8" i="5"/>
  <c r="H8" i="5"/>
  <c r="K4" i="5"/>
  <c r="A5" i="5"/>
  <c r="AV31" i="5" l="1"/>
  <c r="AV32" i="5" s="1"/>
  <c r="BA7" i="5"/>
  <c r="AF50" i="5"/>
  <c r="L8" i="5"/>
  <c r="BA4" i="5"/>
  <c r="AG51" i="5"/>
  <c r="H16" i="5"/>
  <c r="N117" i="5"/>
  <c r="O117" i="5" s="1"/>
  <c r="P117" i="5" s="1"/>
  <c r="Q117" i="5" s="1"/>
  <c r="R117" i="5" s="1"/>
  <c r="S117" i="5" s="1"/>
  <c r="T117" i="5" s="1"/>
  <c r="U117" i="5" s="1"/>
  <c r="V117" i="5" s="1"/>
  <c r="W117" i="5" s="1"/>
  <c r="M13" i="5"/>
  <c r="M16" i="5" s="1"/>
  <c r="P23" i="5"/>
  <c r="P24" i="5" s="1"/>
  <c r="T23" i="5"/>
  <c r="T24" i="5" s="1"/>
  <c r="L23" i="5"/>
  <c r="L24" i="5" s="1"/>
  <c r="BA6" i="5"/>
  <c r="B156" i="5"/>
  <c r="L4" i="5"/>
  <c r="L62" i="5" s="1"/>
  <c r="K62" i="5"/>
  <c r="L13" i="5"/>
  <c r="L16" i="5" s="1"/>
  <c r="BC7" i="5"/>
  <c r="BC4" i="5"/>
  <c r="BB4" i="5"/>
  <c r="M8" i="5"/>
  <c r="H20" i="5"/>
  <c r="K13" i="5"/>
  <c r="K16" i="5" s="1"/>
  <c r="I20" i="5"/>
  <c r="J16" i="5"/>
  <c r="I16" i="5"/>
  <c r="AV69" i="5"/>
  <c r="AV70" i="5" s="1"/>
  <c r="B68" i="5"/>
  <c r="H316" i="5"/>
  <c r="H110" i="5"/>
  <c r="H151" i="5" s="1"/>
  <c r="H86" i="5"/>
  <c r="J151" i="5"/>
  <c r="K110" i="5"/>
  <c r="K86" i="5"/>
  <c r="L61" i="5"/>
  <c r="H61" i="5"/>
  <c r="I110" i="5"/>
  <c r="I151" i="5" s="1"/>
  <c r="M61" i="5"/>
  <c r="I61" i="5"/>
  <c r="I86" i="5"/>
  <c r="J61" i="5"/>
  <c r="J86" i="5"/>
  <c r="K61" i="5"/>
  <c r="W23" i="5"/>
  <c r="W24" i="5" s="1"/>
  <c r="AG50" i="5"/>
  <c r="P40" i="5"/>
  <c r="N61" i="5"/>
  <c r="J110" i="5"/>
  <c r="U23" i="5"/>
  <c r="U24" i="5" s="1"/>
  <c r="Q23" i="5"/>
  <c r="Q24" i="5" s="1"/>
  <c r="M23" i="5"/>
  <c r="M24" i="5" s="1"/>
  <c r="BB6" i="5"/>
  <c r="V23" i="5"/>
  <c r="V24" i="5" s="1"/>
  <c r="R23" i="5"/>
  <c r="R24" i="5" s="1"/>
  <c r="N23" i="5"/>
  <c r="N24" i="5" s="1"/>
  <c r="BC6" i="5"/>
  <c r="O75" i="5"/>
  <c r="N74" i="5"/>
  <c r="O23" i="5"/>
  <c r="O24" i="5" s="1"/>
  <c r="B31" i="5"/>
  <c r="BA5" i="5"/>
  <c r="BB5" i="5"/>
  <c r="BC5" i="5"/>
  <c r="J20" i="5"/>
  <c r="K23" i="5"/>
  <c r="K24" i="5" s="1"/>
  <c r="S23" i="5"/>
  <c r="S24" i="5" s="1"/>
  <c r="T73" i="5"/>
  <c r="B115" i="5"/>
  <c r="AV116" i="5"/>
  <c r="AV202" i="5"/>
  <c r="B201" i="5"/>
  <c r="P37" i="5"/>
  <c r="AV93" i="5"/>
  <c r="B92" i="5"/>
  <c r="B91" i="5"/>
  <c r="AV250" i="5"/>
  <c r="B249" i="5"/>
  <c r="AV158" i="5"/>
  <c r="B157" i="5"/>
  <c r="B248" i="5"/>
  <c r="B273" i="5"/>
  <c r="AV274" i="5"/>
  <c r="BA8" i="5" l="1"/>
  <c r="M4" i="5"/>
  <c r="M62" i="5" s="1"/>
  <c r="M63" i="5" s="1"/>
  <c r="B69" i="5"/>
  <c r="N13" i="5"/>
  <c r="N16" i="5" s="1"/>
  <c r="AV33" i="5"/>
  <c r="B32" i="5"/>
  <c r="O74" i="5"/>
  <c r="N8" i="5"/>
  <c r="N5" i="5"/>
  <c r="K63" i="5"/>
  <c r="K5" i="5"/>
  <c r="K6" i="5" s="1"/>
  <c r="AV251" i="5"/>
  <c r="B250" i="5"/>
  <c r="P75" i="5"/>
  <c r="O13" i="5"/>
  <c r="O16" i="5" s="1"/>
  <c r="AH50" i="5"/>
  <c r="Q40" i="5"/>
  <c r="I63" i="5"/>
  <c r="I5" i="5"/>
  <c r="I6" i="5" s="1"/>
  <c r="AV275" i="5"/>
  <c r="B274" i="5"/>
  <c r="AV159" i="5"/>
  <c r="B158" i="5"/>
  <c r="AV117" i="5"/>
  <c r="B116" i="5"/>
  <c r="AV71" i="5"/>
  <c r="B70" i="5"/>
  <c r="M5" i="5"/>
  <c r="M6" i="5" s="1"/>
  <c r="L63" i="5"/>
  <c r="L5" i="5"/>
  <c r="L6" i="5" s="1"/>
  <c r="AV94" i="5"/>
  <c r="B93" i="5"/>
  <c r="U73" i="5"/>
  <c r="BC8" i="5"/>
  <c r="N4" i="5"/>
  <c r="J5" i="5"/>
  <c r="J6" i="5" s="1"/>
  <c r="J63" i="5"/>
  <c r="AH51" i="5"/>
  <c r="Q37" i="5"/>
  <c r="AV203" i="5"/>
  <c r="B202" i="5"/>
  <c r="BB8" i="5"/>
  <c r="H63" i="5"/>
  <c r="H5" i="5"/>
  <c r="H6" i="5" s="1"/>
  <c r="AV204" i="5" l="1"/>
  <c r="B203" i="5"/>
  <c r="J10" i="5"/>
  <c r="J14" i="5"/>
  <c r="AV72" i="5"/>
  <c r="B71" i="5"/>
  <c r="B159" i="5"/>
  <c r="AV160" i="5"/>
  <c r="AI51" i="5"/>
  <c r="R37" i="5"/>
  <c r="AI50" i="5"/>
  <c r="R40" i="5"/>
  <c r="Q75" i="5"/>
  <c r="P13" i="5"/>
  <c r="P16" i="5" s="1"/>
  <c r="AV34" i="5"/>
  <c r="B33" i="5"/>
  <c r="N62" i="5"/>
  <c r="N63" i="5" s="1"/>
  <c r="N6" i="5"/>
  <c r="O4" i="5"/>
  <c r="AV95" i="5"/>
  <c r="B94" i="5"/>
  <c r="B117" i="5"/>
  <c r="AV118" i="5"/>
  <c r="B275" i="5"/>
  <c r="AV276" i="5"/>
  <c r="AV252" i="5"/>
  <c r="B251" i="5"/>
  <c r="H10" i="5"/>
  <c r="H14" i="5"/>
  <c r="V73" i="5"/>
  <c r="I10" i="5"/>
  <c r="I14" i="5"/>
  <c r="P74" i="5"/>
  <c r="O8" i="5"/>
  <c r="AV205" i="5" l="1"/>
  <c r="B204" i="5"/>
  <c r="AV35" i="5"/>
  <c r="B34" i="5"/>
  <c r="R75" i="5"/>
  <c r="Q13" i="5"/>
  <c r="Q16" i="5" s="1"/>
  <c r="AV161" i="5"/>
  <c r="B160" i="5"/>
  <c r="Q74" i="5"/>
  <c r="P8" i="5"/>
  <c r="AV96" i="5"/>
  <c r="B95" i="5"/>
  <c r="AV119" i="5"/>
  <c r="B118" i="5"/>
  <c r="O62" i="5"/>
  <c r="P4" i="5"/>
  <c r="AV73" i="5"/>
  <c r="B72" i="5"/>
  <c r="B252" i="5"/>
  <c r="AV253" i="5"/>
  <c r="W73" i="5"/>
  <c r="B276" i="5"/>
  <c r="AV278" i="5"/>
  <c r="AJ50" i="5"/>
  <c r="S40" i="5"/>
  <c r="AJ51" i="5"/>
  <c r="S37" i="5"/>
  <c r="T40" i="5" l="1"/>
  <c r="AK50" i="5"/>
  <c r="P62" i="5"/>
  <c r="Q4" i="5"/>
  <c r="AV74" i="5"/>
  <c r="B73" i="5"/>
  <c r="Q8" i="5"/>
  <c r="R74" i="5"/>
  <c r="AK51" i="5"/>
  <c r="T37" i="5"/>
  <c r="AV279" i="5"/>
  <c r="B278" i="5"/>
  <c r="AV254" i="5"/>
  <c r="B253" i="5"/>
  <c r="AV97" i="5"/>
  <c r="B96" i="5"/>
  <c r="AV36" i="5"/>
  <c r="B35" i="5"/>
  <c r="AV206" i="5"/>
  <c r="B205" i="5"/>
  <c r="AV120" i="5"/>
  <c r="B119" i="5"/>
  <c r="B161" i="5"/>
  <c r="AV162" i="5"/>
  <c r="S75" i="5"/>
  <c r="R13" i="5"/>
  <c r="R16" i="5" s="1"/>
  <c r="AV122" i="5" l="1"/>
  <c r="B120" i="5"/>
  <c r="AV207" i="5"/>
  <c r="B206" i="5"/>
  <c r="AV98" i="5"/>
  <c r="B97" i="5"/>
  <c r="AL51" i="5"/>
  <c r="U37" i="5"/>
  <c r="AV37" i="5"/>
  <c r="B36" i="5"/>
  <c r="AV255" i="5"/>
  <c r="B254" i="5"/>
  <c r="AV280" i="5"/>
  <c r="B279" i="5"/>
  <c r="B74" i="5"/>
  <c r="AV75" i="5"/>
  <c r="S74" i="5"/>
  <c r="R8" i="5"/>
  <c r="T75" i="5"/>
  <c r="S13" i="5"/>
  <c r="S16" i="5" s="1"/>
  <c r="AV163" i="5"/>
  <c r="B162" i="5"/>
  <c r="Q62" i="5"/>
  <c r="R4" i="5"/>
  <c r="AL50" i="5"/>
  <c r="U40" i="5"/>
  <c r="AM50" i="5" l="1"/>
  <c r="V40" i="5"/>
  <c r="AV76" i="5"/>
  <c r="B75" i="5"/>
  <c r="U75" i="5"/>
  <c r="T13" i="5"/>
  <c r="T16" i="5" s="1"/>
  <c r="AV256" i="5"/>
  <c r="B255" i="5"/>
  <c r="AM51" i="5"/>
  <c r="V37" i="5"/>
  <c r="AV208" i="5"/>
  <c r="B207" i="5"/>
  <c r="AV165" i="5"/>
  <c r="B163" i="5"/>
  <c r="T74" i="5"/>
  <c r="S8" i="5"/>
  <c r="AV281" i="5"/>
  <c r="B280" i="5"/>
  <c r="B37" i="5"/>
  <c r="AV38" i="5"/>
  <c r="S4" i="5"/>
  <c r="R62" i="5"/>
  <c r="AV99" i="5"/>
  <c r="B98" i="5"/>
  <c r="AV123" i="5"/>
  <c r="B122" i="5"/>
  <c r="AV100" i="5" l="1"/>
  <c r="B99" i="5"/>
  <c r="T4" i="5"/>
  <c r="S62" i="5"/>
  <c r="U74" i="5"/>
  <c r="T8" i="5"/>
  <c r="AN50" i="5"/>
  <c r="W40" i="5"/>
  <c r="AO50" i="5" s="1"/>
  <c r="AV282" i="5"/>
  <c r="B281" i="5"/>
  <c r="B208" i="5"/>
  <c r="AV209" i="5"/>
  <c r="B256" i="5"/>
  <c r="AV257" i="5"/>
  <c r="AV124" i="5"/>
  <c r="B123" i="5"/>
  <c r="AV39" i="5"/>
  <c r="B38" i="5"/>
  <c r="AV166" i="5"/>
  <c r="B165" i="5"/>
  <c r="W37" i="5"/>
  <c r="AN51" i="5"/>
  <c r="U13" i="5"/>
  <c r="U16" i="5" s="1"/>
  <c r="V75" i="5"/>
  <c r="AV77" i="5"/>
  <c r="B76" i="5"/>
  <c r="B77" i="5" l="1"/>
  <c r="AV78" i="5"/>
  <c r="AV40" i="5"/>
  <c r="B39" i="5"/>
  <c r="T62" i="5"/>
  <c r="U4" i="5"/>
  <c r="W75" i="5"/>
  <c r="W13" i="5" s="1"/>
  <c r="W16" i="5" s="1"/>
  <c r="V13" i="5"/>
  <c r="V16" i="5" s="1"/>
  <c r="AO51" i="5"/>
  <c r="V74" i="5"/>
  <c r="U8" i="5"/>
  <c r="AV167" i="5"/>
  <c r="B166" i="5"/>
  <c r="AV258" i="5"/>
  <c r="B257" i="5"/>
  <c r="B209" i="5"/>
  <c r="AV210" i="5"/>
  <c r="B124" i="5"/>
  <c r="AV125" i="5"/>
  <c r="AV283" i="5"/>
  <c r="B282" i="5"/>
  <c r="AV101" i="5"/>
  <c r="B100" i="5"/>
  <c r="U62" i="5" l="1"/>
  <c r="V4" i="5"/>
  <c r="B40" i="5"/>
  <c r="AV41" i="5"/>
  <c r="B210" i="5"/>
  <c r="AV211" i="5"/>
  <c r="AV79" i="5"/>
  <c r="B78" i="5"/>
  <c r="AV168" i="5"/>
  <c r="B167" i="5"/>
  <c r="AV102" i="5"/>
  <c r="B101" i="5"/>
  <c r="AV284" i="5"/>
  <c r="B283" i="5"/>
  <c r="W74" i="5"/>
  <c r="V8" i="5"/>
  <c r="B125" i="5"/>
  <c r="AV127" i="5"/>
  <c r="AV259" i="5"/>
  <c r="B258" i="5"/>
  <c r="B79" i="5" l="1"/>
  <c r="AV81" i="5"/>
  <c r="AV82" i="5" s="1"/>
  <c r="AV84" i="5" s="1"/>
  <c r="AV85" i="5" s="1"/>
  <c r="AV260" i="5"/>
  <c r="B259" i="5"/>
  <c r="B127" i="5"/>
  <c r="AV128" i="5"/>
  <c r="W8" i="5"/>
  <c r="AV103" i="5"/>
  <c r="B102" i="5"/>
  <c r="B41" i="5"/>
  <c r="AV42" i="5"/>
  <c r="AV170" i="5"/>
  <c r="B168" i="5"/>
  <c r="AV285" i="5"/>
  <c r="B284" i="5"/>
  <c r="AV212" i="5"/>
  <c r="B211" i="5"/>
  <c r="V62" i="5"/>
  <c r="W4" i="5"/>
  <c r="B260" i="5" l="1"/>
  <c r="AV261" i="5"/>
  <c r="B261" i="5" s="1"/>
  <c r="B285" i="5"/>
  <c r="AV286" i="5"/>
  <c r="AV129" i="5"/>
  <c r="B128" i="5"/>
  <c r="W62" i="5"/>
  <c r="AV213" i="5"/>
  <c r="B212" i="5"/>
  <c r="AV171" i="5"/>
  <c r="B170" i="5"/>
  <c r="AV104" i="5"/>
  <c r="B103" i="5"/>
  <c r="AV43" i="5"/>
  <c r="B42" i="5"/>
  <c r="B286" i="5" l="1"/>
  <c r="AV287" i="5"/>
  <c r="B171" i="5"/>
  <c r="AV172" i="5"/>
  <c r="B43" i="5"/>
  <c r="AV44" i="5"/>
  <c r="B104" i="5"/>
  <c r="AV105" i="5"/>
  <c r="AV215" i="5"/>
  <c r="B213" i="5"/>
  <c r="B129" i="5"/>
  <c r="AV130" i="5"/>
  <c r="AV216" i="5" l="1"/>
  <c r="B215" i="5"/>
  <c r="B130" i="5"/>
  <c r="AV132" i="5"/>
  <c r="AV173" i="5"/>
  <c r="B172" i="5"/>
  <c r="AV45" i="5"/>
  <c r="B44" i="5"/>
  <c r="AV288" i="5"/>
  <c r="B287" i="5"/>
  <c r="B105" i="5"/>
  <c r="AV107" i="5"/>
  <c r="AV46" i="5" l="1"/>
  <c r="B45" i="5"/>
  <c r="AV108" i="5"/>
  <c r="B107" i="5"/>
  <c r="AV133" i="5"/>
  <c r="B132" i="5"/>
  <c r="AV289" i="5"/>
  <c r="B288" i="5"/>
  <c r="AV174" i="5"/>
  <c r="B173" i="5"/>
  <c r="AV217" i="5"/>
  <c r="B216" i="5"/>
  <c r="AV218" i="5" l="1"/>
  <c r="B217" i="5"/>
  <c r="B289" i="5"/>
  <c r="AV290" i="5"/>
  <c r="AV109" i="5"/>
  <c r="B109" i="5" s="1"/>
  <c r="B108" i="5"/>
  <c r="AV175" i="5"/>
  <c r="B174" i="5"/>
  <c r="B133" i="5"/>
  <c r="AV134" i="5"/>
  <c r="AV47" i="5"/>
  <c r="B46" i="5"/>
  <c r="B47" i="5" l="1"/>
  <c r="AV48" i="5"/>
  <c r="B134" i="5"/>
  <c r="AV135" i="5"/>
  <c r="AV291" i="5"/>
  <c r="B290" i="5"/>
  <c r="AV176" i="5"/>
  <c r="B175" i="5"/>
  <c r="AV219" i="5"/>
  <c r="B218" i="5"/>
  <c r="AV49" i="5" l="1"/>
  <c r="B48" i="5"/>
  <c r="B135" i="5"/>
  <c r="AV136" i="5"/>
  <c r="B176" i="5"/>
  <c r="AV177" i="5"/>
  <c r="AV220" i="5"/>
  <c r="B219" i="5"/>
  <c r="B291" i="5"/>
  <c r="AV292" i="5"/>
  <c r="B292" i="5" l="1"/>
  <c r="AV293" i="5"/>
  <c r="AV178" i="5"/>
  <c r="B177" i="5"/>
  <c r="AV137" i="5"/>
  <c r="B136" i="5"/>
  <c r="AV221" i="5"/>
  <c r="B220" i="5"/>
  <c r="AV50" i="5"/>
  <c r="B49" i="5"/>
  <c r="B221" i="5" l="1"/>
  <c r="AV222" i="5"/>
  <c r="AV179" i="5"/>
  <c r="B178" i="5"/>
  <c r="AV294" i="5"/>
  <c r="B293" i="5"/>
  <c r="AV51" i="5"/>
  <c r="B50" i="5"/>
  <c r="AV138" i="5"/>
  <c r="B137" i="5"/>
  <c r="AV52" i="5" l="1"/>
  <c r="B51" i="5"/>
  <c r="B179" i="5"/>
  <c r="AV180" i="5"/>
  <c r="B222" i="5"/>
  <c r="AV223" i="5"/>
  <c r="AV139" i="5"/>
  <c r="B138" i="5"/>
  <c r="B294" i="5"/>
  <c r="AV295" i="5"/>
  <c r="B180" i="5" l="1"/>
  <c r="AV181" i="5"/>
  <c r="AV140" i="5"/>
  <c r="B139" i="5"/>
  <c r="AV296" i="5"/>
  <c r="B295" i="5"/>
  <c r="B223" i="5"/>
  <c r="AV224" i="5"/>
  <c r="AV53" i="5"/>
  <c r="B52" i="5"/>
  <c r="AV142" i="5" l="1"/>
  <c r="B140" i="5"/>
  <c r="AV182" i="5"/>
  <c r="B181" i="5"/>
  <c r="B224" i="5"/>
  <c r="AV225" i="5"/>
  <c r="AV54" i="5"/>
  <c r="B53" i="5"/>
  <c r="B296" i="5"/>
  <c r="AV297" i="5"/>
  <c r="AV55" i="5" l="1"/>
  <c r="B54" i="5"/>
  <c r="B297" i="5"/>
  <c r="AV298" i="5"/>
  <c r="B225" i="5"/>
  <c r="AV226" i="5"/>
  <c r="B182" i="5"/>
  <c r="AV184" i="5"/>
  <c r="AV143" i="5"/>
  <c r="B142" i="5"/>
  <c r="B184" i="5" l="1"/>
  <c r="AV185" i="5"/>
  <c r="B298" i="5"/>
  <c r="AV299" i="5"/>
  <c r="B226" i="5"/>
  <c r="AV227" i="5"/>
  <c r="B143" i="5"/>
  <c r="AV144" i="5"/>
  <c r="AV56" i="5"/>
  <c r="B55" i="5"/>
  <c r="B227" i="5" l="1"/>
  <c r="AV228" i="5"/>
  <c r="AV186" i="5"/>
  <c r="B185" i="5"/>
  <c r="B56" i="5"/>
  <c r="AV57" i="5"/>
  <c r="B144" i="5"/>
  <c r="AV145" i="5"/>
  <c r="AV301" i="5"/>
  <c r="B299" i="5"/>
  <c r="AV58" i="5" l="1"/>
  <c r="B57" i="5"/>
  <c r="B228" i="5"/>
  <c r="AV229" i="5"/>
  <c r="AV302" i="5"/>
  <c r="B301" i="5"/>
  <c r="B145" i="5"/>
  <c r="AV146" i="5"/>
  <c r="B186" i="5"/>
  <c r="AV188" i="5"/>
  <c r="AV147" i="5" l="1"/>
  <c r="B146" i="5"/>
  <c r="B229" i="5"/>
  <c r="AV230" i="5"/>
  <c r="B188" i="5"/>
  <c r="AV189" i="5"/>
  <c r="AV303" i="5"/>
  <c r="B302" i="5"/>
  <c r="AV59" i="5"/>
  <c r="B58" i="5"/>
  <c r="B230" i="5" l="1"/>
  <c r="AV231" i="5"/>
  <c r="AV305" i="5"/>
  <c r="B303" i="5"/>
  <c r="AV190" i="5"/>
  <c r="B189" i="5"/>
  <c r="B59" i="5"/>
  <c r="AV60" i="5"/>
  <c r="AV148" i="5"/>
  <c r="B147" i="5"/>
  <c r="AV306" i="5" l="1"/>
  <c r="B305" i="5"/>
  <c r="B231" i="5"/>
  <c r="AV232" i="5"/>
  <c r="AV149" i="5"/>
  <c r="B148" i="5"/>
  <c r="B190" i="5"/>
  <c r="AV191" i="5"/>
  <c r="AV192" i="5" l="1"/>
  <c r="B191" i="5"/>
  <c r="B232" i="5"/>
  <c r="AV233" i="5"/>
  <c r="AV150" i="5"/>
  <c r="B150" i="5" s="1"/>
  <c r="B149" i="5"/>
  <c r="B306" i="5"/>
  <c r="AV307" i="5"/>
  <c r="B307" i="5" l="1"/>
  <c r="AV308" i="5"/>
  <c r="B233" i="5"/>
  <c r="AV234" i="5"/>
  <c r="B192" i="5"/>
  <c r="AV193" i="5"/>
  <c r="B193" i="5" l="1"/>
  <c r="AV194" i="5"/>
  <c r="B234" i="5"/>
  <c r="AV235" i="5"/>
  <c r="AV309" i="5"/>
  <c r="B308" i="5"/>
  <c r="AV195" i="5" l="1"/>
  <c r="B194" i="5"/>
  <c r="AV310" i="5"/>
  <c r="B309" i="5"/>
  <c r="B235" i="5"/>
  <c r="AV236" i="5"/>
  <c r="B310" i="5" l="1"/>
  <c r="AV311" i="5"/>
  <c r="AV237" i="5"/>
  <c r="B236" i="5"/>
  <c r="AV196" i="5"/>
  <c r="B196" i="5" s="1"/>
  <c r="B195" i="5"/>
  <c r="AV238" i="5" l="1"/>
  <c r="B237" i="5"/>
  <c r="AV312" i="5"/>
  <c r="B311" i="5"/>
  <c r="AV313" i="5" l="1"/>
  <c r="B312" i="5"/>
  <c r="AV239" i="5"/>
  <c r="B238" i="5"/>
  <c r="AV240" i="5" l="1"/>
  <c r="B239" i="5"/>
  <c r="B313" i="5"/>
  <c r="AV315" i="5"/>
  <c r="B315" i="5" s="1"/>
  <c r="AV241" i="5" l="1"/>
  <c r="B240" i="5"/>
  <c r="AV242" i="5" l="1"/>
  <c r="B242" i="5" s="1"/>
  <c r="B241" i="5"/>
  <c r="K148" i="5" l="1"/>
  <c r="L139" i="5"/>
  <c r="M139" i="5"/>
  <c r="N139" i="5"/>
  <c r="O139" i="5" s="1"/>
  <c r="P139" i="5" s="1"/>
  <c r="Q139" i="5" s="1"/>
  <c r="R139" i="5" s="1"/>
  <c r="S139" i="5" s="1"/>
  <c r="T139" i="5" s="1"/>
  <c r="U139" i="5" s="1"/>
  <c r="V139" i="5" s="1"/>
  <c r="W139" i="5" s="1"/>
  <c r="L125" i="5"/>
  <c r="M125" i="5"/>
  <c r="L109" i="5"/>
  <c r="M109" i="5"/>
  <c r="N109" i="5"/>
  <c r="O109" i="5" s="1"/>
  <c r="P109" i="5" s="1"/>
  <c r="Q109" i="5" s="1"/>
  <c r="R109" i="5" s="1"/>
  <c r="S109" i="5" s="1"/>
  <c r="T109" i="5" s="1"/>
  <c r="U109" i="5" s="1"/>
  <c r="V109" i="5" s="1"/>
  <c r="W109" i="5" s="1"/>
  <c r="L103" i="5"/>
  <c r="M103" i="5"/>
  <c r="N103" i="5"/>
  <c r="L81" i="5"/>
  <c r="M81" i="5"/>
  <c r="M86" i="5" s="1"/>
  <c r="N81" i="5"/>
  <c r="N129" i="5"/>
  <c r="O129" i="5" s="1"/>
  <c r="P129" i="5" s="1"/>
  <c r="Q129" i="5" s="1"/>
  <c r="R129" i="5" s="1"/>
  <c r="S129" i="5" s="1"/>
  <c r="T129" i="5" s="1"/>
  <c r="U129" i="5" s="1"/>
  <c r="V129" i="5" s="1"/>
  <c r="W129" i="5" s="1"/>
  <c r="M129" i="5"/>
  <c r="M110" i="5" l="1"/>
  <c r="L110" i="5"/>
  <c r="K9" i="5"/>
  <c r="K20" i="5" s="1"/>
  <c r="K151" i="5"/>
  <c r="K197" i="5" s="1"/>
  <c r="K243" i="5" s="1"/>
  <c r="O103" i="5"/>
  <c r="N110" i="5"/>
  <c r="O81" i="5"/>
  <c r="N86" i="5"/>
  <c r="M151" i="5"/>
  <c r="M197" i="5" s="1"/>
  <c r="M243" i="5" s="1"/>
  <c r="M9" i="5"/>
  <c r="L86" i="5"/>
  <c r="N125" i="5"/>
  <c r="N9" i="5" s="1"/>
  <c r="L129" i="5"/>
  <c r="L9" i="5" s="1"/>
  <c r="K10" i="5" l="1"/>
  <c r="K14" i="5"/>
  <c r="L151" i="5"/>
  <c r="L197" i="5" s="1"/>
  <c r="L243" i="5" s="1"/>
  <c r="P103" i="5"/>
  <c r="O110" i="5"/>
  <c r="L20" i="5"/>
  <c r="L14" i="5"/>
  <c r="L10" i="5"/>
  <c r="N20" i="5"/>
  <c r="N14" i="5"/>
  <c r="N10" i="5"/>
  <c r="O125" i="5"/>
  <c r="O9" i="5" s="1"/>
  <c r="N151" i="5"/>
  <c r="N197" i="5" s="1"/>
  <c r="N243" i="5" s="1"/>
  <c r="M20" i="5"/>
  <c r="M10" i="5"/>
  <c r="M14" i="5"/>
  <c r="P81" i="5"/>
  <c r="O86" i="5"/>
  <c r="Q103" i="5" l="1"/>
  <c r="P110" i="5"/>
  <c r="O20" i="5"/>
  <c r="P125" i="5"/>
  <c r="P9" i="5" s="1"/>
  <c r="O151" i="5"/>
  <c r="O197" i="5" s="1"/>
  <c r="O243" i="5" s="1"/>
  <c r="Q81" i="5"/>
  <c r="P86" i="5"/>
  <c r="R103" i="5" l="1"/>
  <c r="Q110" i="5"/>
  <c r="P20" i="5"/>
  <c r="Q125" i="5"/>
  <c r="Q9" i="5" s="1"/>
  <c r="P151" i="5"/>
  <c r="P197" i="5" s="1"/>
  <c r="P243" i="5" s="1"/>
  <c r="R81" i="5"/>
  <c r="Q86" i="5"/>
  <c r="S103" i="5" l="1"/>
  <c r="R110" i="5"/>
  <c r="Q20" i="5"/>
  <c r="S81" i="5"/>
  <c r="R86" i="5"/>
  <c r="R125" i="5"/>
  <c r="Q151" i="5"/>
  <c r="Q197" i="5" s="1"/>
  <c r="Q243" i="5" s="1"/>
  <c r="T103" i="5" l="1"/>
  <c r="S110" i="5"/>
  <c r="T81" i="5"/>
  <c r="S86" i="5"/>
  <c r="S125" i="5"/>
  <c r="R151" i="5"/>
  <c r="R197" i="5" s="1"/>
  <c r="R243" i="5" s="1"/>
  <c r="R9" i="5"/>
  <c r="U103" i="5" l="1"/>
  <c r="T110" i="5"/>
  <c r="R20" i="5"/>
  <c r="U81" i="5"/>
  <c r="T86" i="5"/>
  <c r="T125" i="5"/>
  <c r="T9" i="5" s="1"/>
  <c r="S151" i="5"/>
  <c r="S197" i="5" s="1"/>
  <c r="S243" i="5" s="1"/>
  <c r="S9" i="5"/>
  <c r="V103" i="5" l="1"/>
  <c r="U110" i="5"/>
  <c r="S20" i="5"/>
  <c r="T20" i="5"/>
  <c r="V81" i="5"/>
  <c r="U86" i="5"/>
  <c r="U125" i="5"/>
  <c r="U9" i="5" s="1"/>
  <c r="T151" i="5"/>
  <c r="T197" i="5" s="1"/>
  <c r="T243" i="5" s="1"/>
  <c r="W103" i="5" l="1"/>
  <c r="W110" i="5" s="1"/>
  <c r="V110" i="5"/>
  <c r="U20" i="5"/>
  <c r="W81" i="5"/>
  <c r="V86" i="5"/>
  <c r="V125" i="5"/>
  <c r="V9" i="5" s="1"/>
  <c r="U151" i="5"/>
  <c r="U197" i="5" s="1"/>
  <c r="U243" i="5" s="1"/>
  <c r="V20" i="5" l="1"/>
  <c r="W125" i="5"/>
  <c r="W151" i="5" s="1"/>
  <c r="W197" i="5" s="1"/>
  <c r="W243" i="5" s="1"/>
  <c r="V151" i="5"/>
  <c r="V197" i="5" s="1"/>
  <c r="V243" i="5" s="1"/>
  <c r="W86" i="5"/>
  <c r="W9" i="5" l="1"/>
  <c r="W20" i="5" l="1"/>
  <c r="C44" i="9" l="1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B45" i="9"/>
  <c r="B46" i="9"/>
  <c r="G42" i="9"/>
  <c r="H42" i="9"/>
  <c r="I42" i="9"/>
  <c r="J42" i="9"/>
  <c r="K42" i="9"/>
  <c r="L42" i="9"/>
  <c r="M42" i="9"/>
  <c r="N42" i="9"/>
  <c r="O42" i="9"/>
  <c r="C39" i="9"/>
  <c r="D39" i="9"/>
  <c r="E39" i="9"/>
  <c r="F39" i="9"/>
  <c r="C40" i="9"/>
  <c r="D40" i="9"/>
  <c r="E40" i="9"/>
  <c r="F40" i="9"/>
  <c r="C41" i="9"/>
  <c r="D41" i="9"/>
  <c r="E41" i="9"/>
  <c r="F41" i="9"/>
  <c r="B39" i="9"/>
  <c r="B42" i="9" s="1"/>
  <c r="F3" i="9"/>
  <c r="F4" i="9"/>
  <c r="F5" i="9"/>
  <c r="F6" i="9"/>
  <c r="C33" i="9"/>
  <c r="D33" i="9"/>
  <c r="E33" i="9"/>
  <c r="F33" i="9"/>
  <c r="E23" i="9"/>
  <c r="C15" i="9"/>
  <c r="D15" i="9"/>
  <c r="E15" i="9"/>
  <c r="F15" i="9"/>
  <c r="C4" i="9"/>
  <c r="D4" i="9"/>
  <c r="E4" i="9"/>
  <c r="C5" i="9"/>
  <c r="D5" i="9"/>
  <c r="E5" i="9"/>
  <c r="C6" i="9"/>
  <c r="D6" i="9"/>
  <c r="E6" i="9"/>
  <c r="C3" i="9"/>
  <c r="D3" i="9"/>
  <c r="E3" i="9"/>
  <c r="O11" i="9"/>
  <c r="N11" i="9"/>
  <c r="M11" i="9"/>
  <c r="L11" i="9"/>
  <c r="K11" i="9"/>
  <c r="J11" i="9"/>
  <c r="I11" i="9"/>
  <c r="H11" i="9"/>
  <c r="L5" i="9"/>
  <c r="H5" i="9"/>
  <c r="J5" i="9"/>
  <c r="N5" i="9"/>
  <c r="H3" i="9"/>
  <c r="I44" i="9"/>
  <c r="I48" i="9" s="1"/>
  <c r="J44" i="9"/>
  <c r="J48" i="9" s="1"/>
  <c r="K44" i="9"/>
  <c r="K48" i="9" s="1"/>
  <c r="M44" i="9"/>
  <c r="M48" i="9" s="1"/>
  <c r="N44" i="9"/>
  <c r="N48" i="9" s="1"/>
  <c r="O44" i="9"/>
  <c r="O48" i="9" s="1"/>
  <c r="B48" i="9" l="1"/>
  <c r="B50" i="9" s="1"/>
  <c r="E29" i="9"/>
  <c r="E31" i="9" s="1"/>
  <c r="D48" i="9"/>
  <c r="E42" i="9"/>
  <c r="F42" i="9"/>
  <c r="G5" i="9"/>
  <c r="K5" i="9"/>
  <c r="O5" i="9"/>
  <c r="I5" i="9"/>
  <c r="M5" i="9"/>
  <c r="C48" i="9"/>
  <c r="N12" i="9"/>
  <c r="K12" i="9"/>
  <c r="G12" i="9"/>
  <c r="O12" i="9"/>
  <c r="J12" i="9"/>
  <c r="L44" i="9"/>
  <c r="L48" i="9" s="1"/>
  <c r="H44" i="9"/>
  <c r="H48" i="9" s="1"/>
  <c r="G44" i="9"/>
  <c r="G48" i="9" s="1"/>
  <c r="D42" i="9"/>
  <c r="C23" i="9"/>
  <c r="C29" i="9"/>
  <c r="C42" i="9"/>
  <c r="F48" i="9"/>
  <c r="E48" i="9"/>
  <c r="H29" i="9"/>
  <c r="L29" i="9"/>
  <c r="I29" i="9"/>
  <c r="G3" i="9"/>
  <c r="M29" i="9"/>
  <c r="E7" i="9"/>
  <c r="E52" i="9" s="1"/>
  <c r="D23" i="9"/>
  <c r="D29" i="9"/>
  <c r="G10" i="9"/>
  <c r="F23" i="9"/>
  <c r="F29" i="9"/>
  <c r="J29" i="9"/>
  <c r="N29" i="9"/>
  <c r="D7" i="9"/>
  <c r="G29" i="9"/>
  <c r="K29" i="9"/>
  <c r="O29" i="9"/>
  <c r="F7" i="9"/>
  <c r="F17" i="9" s="1"/>
  <c r="C7" i="9"/>
  <c r="BI5" i="5"/>
  <c r="BY5" i="5"/>
  <c r="BO5" i="5"/>
  <c r="BT5" i="5"/>
  <c r="BD5" i="5"/>
  <c r="CC5" i="5"/>
  <c r="CE5" i="5"/>
  <c r="CF5" i="5"/>
  <c r="BE5" i="5"/>
  <c r="BK5" i="5"/>
  <c r="BP5" i="5"/>
  <c r="BU5" i="5"/>
  <c r="CA5" i="5"/>
  <c r="BG5" i="5"/>
  <c r="BL5" i="5"/>
  <c r="BQ5" i="5"/>
  <c r="BW5" i="5"/>
  <c r="CB5" i="5"/>
  <c r="BH5" i="5"/>
  <c r="BM5" i="5"/>
  <c r="BS5" i="5"/>
  <c r="BX5" i="5"/>
  <c r="CD5" i="5"/>
  <c r="BZ5" i="5"/>
  <c r="BV5" i="5"/>
  <c r="BR5" i="5"/>
  <c r="BN5" i="5"/>
  <c r="BJ5" i="5"/>
  <c r="BF5" i="5"/>
  <c r="F53" i="9" l="1"/>
  <c r="D52" i="9"/>
  <c r="E53" i="9"/>
  <c r="E54" i="9" s="1"/>
  <c r="E17" i="9"/>
  <c r="E35" i="9" s="1"/>
  <c r="D53" i="9"/>
  <c r="B53" i="9"/>
  <c r="C53" i="9"/>
  <c r="D31" i="9"/>
  <c r="C52" i="9"/>
  <c r="K3" i="9"/>
  <c r="BB14" i="5"/>
  <c r="BA14" i="5"/>
  <c r="BC14" i="5"/>
  <c r="H12" i="9"/>
  <c r="M12" i="9"/>
  <c r="L12" i="9"/>
  <c r="I12" i="9"/>
  <c r="C31" i="9"/>
  <c r="M3" i="9"/>
  <c r="I3" i="9"/>
  <c r="N3" i="9"/>
  <c r="O3" i="9"/>
  <c r="J3" i="9"/>
  <c r="L3" i="9"/>
  <c r="D17" i="9"/>
  <c r="C17" i="9"/>
  <c r="F52" i="9"/>
  <c r="B52" i="9"/>
  <c r="F31" i="9"/>
  <c r="F35" i="9" s="1"/>
  <c r="BD14" i="5"/>
  <c r="D54" i="9" l="1"/>
  <c r="F54" i="9"/>
  <c r="C54" i="9"/>
  <c r="D35" i="9"/>
  <c r="D36" i="9" s="1"/>
  <c r="B54" i="9"/>
  <c r="B36" i="9"/>
  <c r="C35" i="9"/>
  <c r="C36" i="9" s="1"/>
  <c r="G23" i="9"/>
  <c r="G31" i="9" s="1"/>
  <c r="F36" i="9"/>
  <c r="F50" i="9"/>
  <c r="E36" i="9"/>
  <c r="E50" i="9"/>
  <c r="D50" i="9" l="1"/>
  <c r="C50" i="9"/>
  <c r="H23" i="9"/>
  <c r="H31" i="9" s="1"/>
  <c r="H4" i="9"/>
  <c r="I23" i="9" l="1"/>
  <c r="I31" i="9" s="1"/>
  <c r="G4" i="9"/>
  <c r="I4" i="9"/>
  <c r="H6" i="9"/>
  <c r="H7" i="9" s="1"/>
  <c r="J23" i="9" l="1"/>
  <c r="J31" i="9" s="1"/>
  <c r="H52" i="9"/>
  <c r="J4" i="9"/>
  <c r="I6" i="9"/>
  <c r="I7" i="9" s="1"/>
  <c r="G6" i="9"/>
  <c r="G7" i="9" s="1"/>
  <c r="K23" i="9" l="1"/>
  <c r="K31" i="9" s="1"/>
  <c r="G52" i="9"/>
  <c r="I52" i="9"/>
  <c r="J6" i="9"/>
  <c r="J7" i="9" s="1"/>
  <c r="K4" i="9"/>
  <c r="L23" i="9" l="1"/>
  <c r="L31" i="9" s="1"/>
  <c r="J52" i="9"/>
  <c r="L4" i="9"/>
  <c r="K6" i="9"/>
  <c r="K7" i="9" s="1"/>
  <c r="M23" i="9" l="1"/>
  <c r="M31" i="9" s="1"/>
  <c r="L6" i="9"/>
  <c r="L7" i="9" s="1"/>
  <c r="M4" i="9"/>
  <c r="K52" i="9"/>
  <c r="N23" i="9" l="1"/>
  <c r="N31" i="9" s="1"/>
  <c r="L52" i="9"/>
  <c r="N4" i="9"/>
  <c r="O4" i="9"/>
  <c r="M6" i="9"/>
  <c r="M7" i="9" s="1"/>
  <c r="O23" i="9" l="1"/>
  <c r="M52" i="9"/>
  <c r="O6" i="9"/>
  <c r="O7" i="9" s="1"/>
  <c r="N6" i="9"/>
  <c r="N7" i="9" s="1"/>
  <c r="O31" i="9" l="1"/>
  <c r="O52" i="9"/>
  <c r="N52" i="9"/>
  <c r="R49" i="2" l="1"/>
  <c r="Q49" i="2"/>
  <c r="P49" i="2"/>
  <c r="O49" i="2"/>
  <c r="N49" i="2"/>
  <c r="M49" i="2"/>
  <c r="L49" i="2"/>
  <c r="K49" i="2"/>
  <c r="R47" i="2"/>
  <c r="Q47" i="2"/>
  <c r="P47" i="2"/>
  <c r="O47" i="2"/>
  <c r="N47" i="2"/>
  <c r="M47" i="2"/>
  <c r="L47" i="2"/>
  <c r="K47" i="2"/>
  <c r="V41" i="2"/>
  <c r="U41" i="2"/>
  <c r="T41" i="2"/>
  <c r="S41" i="2"/>
  <c r="R41" i="2"/>
  <c r="R44" i="2" s="1"/>
  <c r="R52" i="2" s="1"/>
  <c r="R53" i="2" s="1"/>
  <c r="Q41" i="2"/>
  <c r="P41" i="2"/>
  <c r="O41" i="2"/>
  <c r="N41" i="2"/>
  <c r="N44" i="2" s="1"/>
  <c r="N52" i="2" s="1"/>
  <c r="N53" i="2" s="1"/>
  <c r="M41" i="2"/>
  <c r="L41" i="2"/>
  <c r="K41" i="2"/>
  <c r="J41" i="2"/>
  <c r="J44" i="2" s="1"/>
  <c r="J45" i="2" s="1"/>
  <c r="I41" i="2"/>
  <c r="H41" i="2"/>
  <c r="G41" i="2"/>
  <c r="F41" i="2"/>
  <c r="F44" i="2" s="1"/>
  <c r="F52" i="2" s="1"/>
  <c r="F53" i="2" s="1"/>
  <c r="E41" i="2"/>
  <c r="K13" i="9" l="1"/>
  <c r="O13" i="9"/>
  <c r="G44" i="2"/>
  <c r="G52" i="2" s="1"/>
  <c r="G53" i="2" s="1"/>
  <c r="K44" i="2"/>
  <c r="K52" i="2" s="1"/>
  <c r="K53" i="2" s="1"/>
  <c r="O44" i="2"/>
  <c r="O52" i="2" s="1"/>
  <c r="O53" i="2" s="1"/>
  <c r="I44" i="2"/>
  <c r="I52" i="2" s="1"/>
  <c r="I53" i="2" s="1"/>
  <c r="M44" i="2"/>
  <c r="M52" i="2" s="1"/>
  <c r="M53" i="2" s="1"/>
  <c r="Q44" i="2"/>
  <c r="Q52" i="2" s="1"/>
  <c r="Q53" i="2" s="1"/>
  <c r="J49" i="2"/>
  <c r="J47" i="2"/>
  <c r="H44" i="2"/>
  <c r="H52" i="2" s="1"/>
  <c r="H53" i="2" s="1"/>
  <c r="L44" i="2"/>
  <c r="L52" i="2" s="1"/>
  <c r="L53" i="2" s="1"/>
  <c r="P44" i="2"/>
  <c r="P52" i="2" s="1"/>
  <c r="P53" i="2" s="1"/>
  <c r="J52" i="2"/>
  <c r="J53" i="2" s="1"/>
  <c r="G13" i="9" l="1"/>
  <c r="J13" i="9"/>
  <c r="M13" i="9"/>
  <c r="I13" i="9"/>
  <c r="L13" i="9"/>
  <c r="N13" i="9"/>
  <c r="H13" i="9"/>
  <c r="G15" i="9" l="1"/>
  <c r="H10" i="9" s="1"/>
  <c r="H15" i="9" s="1"/>
  <c r="G17" i="9" l="1"/>
  <c r="G35" i="9" s="1"/>
  <c r="G36" i="9" s="1"/>
  <c r="G53" i="9"/>
  <c r="G54" i="9" s="1"/>
  <c r="H53" i="9"/>
  <c r="H54" i="9" s="1"/>
  <c r="I10" i="9"/>
  <c r="I15" i="9" s="1"/>
  <c r="H17" i="9"/>
  <c r="H35" i="9" s="1"/>
  <c r="G50" i="9" l="1"/>
  <c r="I53" i="9"/>
  <c r="I54" i="9" s="1"/>
  <c r="J10" i="9"/>
  <c r="J15" i="9" s="1"/>
  <c r="I17" i="9"/>
  <c r="I35" i="9" s="1"/>
  <c r="H36" i="9"/>
  <c r="H50" i="9"/>
  <c r="I36" i="9" l="1"/>
  <c r="I50" i="9"/>
  <c r="J53" i="9"/>
  <c r="J54" i="9" s="1"/>
  <c r="K10" i="9"/>
  <c r="K15" i="9" s="1"/>
  <c r="J17" i="9"/>
  <c r="J35" i="9" s="1"/>
  <c r="J36" i="9" l="1"/>
  <c r="J50" i="9"/>
  <c r="K53" i="9"/>
  <c r="K54" i="9" s="1"/>
  <c r="L10" i="9"/>
  <c r="L15" i="9" s="1"/>
  <c r="K17" i="9"/>
  <c r="K35" i="9" s="1"/>
  <c r="L53" i="9" l="1"/>
  <c r="L54" i="9" s="1"/>
  <c r="M10" i="9"/>
  <c r="M15" i="9" s="1"/>
  <c r="L17" i="9"/>
  <c r="L35" i="9" s="1"/>
  <c r="K50" i="9"/>
  <c r="K36" i="9"/>
  <c r="L50" i="9" l="1"/>
  <c r="L36" i="9"/>
  <c r="M53" i="9"/>
  <c r="M54" i="9" s="1"/>
  <c r="N10" i="9"/>
  <c r="N15" i="9" s="1"/>
  <c r="M17" i="9"/>
  <c r="M35" i="9" s="1"/>
  <c r="N53" i="9" l="1"/>
  <c r="N54" i="9" s="1"/>
  <c r="O10" i="9"/>
  <c r="O15" i="9" s="1"/>
  <c r="N17" i="9"/>
  <c r="N35" i="9" s="1"/>
  <c r="M36" i="9"/>
  <c r="M50" i="9"/>
  <c r="N50" i="9" l="1"/>
  <c r="N36" i="9"/>
  <c r="O53" i="9"/>
  <c r="O54" i="9" s="1"/>
  <c r="O17" i="9"/>
  <c r="O35" i="9" s="1"/>
  <c r="O50" i="9" l="1"/>
  <c r="O36" i="9"/>
  <c r="BK6" i="5" l="1"/>
  <c r="BM6" i="5"/>
  <c r="BE6" i="5"/>
  <c r="BT6" i="5"/>
  <c r="BS6" i="5"/>
  <c r="BY6" i="5"/>
  <c r="BO6" i="5"/>
  <c r="BZ6" i="5"/>
  <c r="BR6" i="5"/>
  <c r="BI6" i="5"/>
  <c r="CA6" i="5"/>
  <c r="CF6" i="5"/>
  <c r="BJ6" i="5"/>
  <c r="CD6" i="5"/>
  <c r="CC6" i="5"/>
  <c r="BX6" i="5"/>
  <c r="BV6" i="5"/>
  <c r="BP6" i="5"/>
  <c r="BQ6" i="5"/>
  <c r="BN6" i="5"/>
  <c r="BW6" i="5"/>
  <c r="BH6" i="5"/>
  <c r="BF6" i="5"/>
  <c r="BL6" i="5"/>
  <c r="CE6" i="5"/>
  <c r="BG6" i="5"/>
  <c r="CB6" i="5"/>
  <c r="BU6" i="5"/>
  <c r="BT7" i="5"/>
  <c r="BN7" i="5"/>
  <c r="BO7" i="5"/>
  <c r="CD7" i="5"/>
  <c r="CC7" i="5"/>
  <c r="BV7" i="5"/>
  <c r="BL7" i="5"/>
  <c r="BU7" i="5"/>
  <c r="CF7" i="5"/>
  <c r="CE7" i="5"/>
  <c r="BK7" i="5"/>
  <c r="BM7" i="5"/>
  <c r="BG7" i="5"/>
  <c r="BQ7" i="5"/>
  <c r="CA7" i="5"/>
  <c r="BW7" i="5"/>
  <c r="BX7" i="5"/>
  <c r="BI7" i="5"/>
  <c r="BS7" i="5"/>
  <c r="BH7" i="5"/>
  <c r="BJ7" i="5"/>
  <c r="BR7" i="5"/>
  <c r="CB7" i="5"/>
  <c r="BY7" i="5"/>
  <c r="BP7" i="5"/>
  <c r="BE7" i="5"/>
  <c r="BF7" i="5"/>
  <c r="BZ7" i="5"/>
  <c r="BX4" i="5"/>
  <c r="BN4" i="5"/>
  <c r="BF4" i="5"/>
  <c r="BI4" i="5"/>
  <c r="BS4" i="5"/>
  <c r="BU4" i="5"/>
  <c r="CC4" i="5"/>
  <c r="BR4" i="5"/>
  <c r="BY4" i="5"/>
  <c r="BK4" i="5"/>
  <c r="BO4" i="5"/>
  <c r="BT4" i="5"/>
  <c r="BV4" i="5"/>
  <c r="BE4" i="5"/>
  <c r="CB4" i="5"/>
  <c r="BZ4" i="5"/>
  <c r="BZ8" i="5" s="1"/>
  <c r="BQ4" i="5"/>
  <c r="BP4" i="5"/>
  <c r="CA4" i="5"/>
  <c r="BL4" i="5"/>
  <c r="BM4" i="5"/>
  <c r="CF4" i="5"/>
  <c r="BD7" i="5"/>
  <c r="BG4" i="5"/>
  <c r="BW4" i="5"/>
  <c r="CE4" i="5"/>
  <c r="BD4" i="5"/>
  <c r="BD6" i="5"/>
  <c r="CD4" i="5"/>
  <c r="BJ4" i="5"/>
  <c r="BH4" i="5"/>
  <c r="BU8" i="5" l="1"/>
  <c r="BX8" i="5"/>
  <c r="BY8" i="5"/>
  <c r="BD15" i="5"/>
  <c r="BT8" i="5"/>
  <c r="BV8" i="5"/>
  <c r="BH8" i="5"/>
  <c r="BW8" i="5"/>
  <c r="BM8" i="5"/>
  <c r="BQ8" i="5"/>
  <c r="BN8" i="5"/>
  <c r="BB16" i="5"/>
  <c r="BS8" i="5"/>
  <c r="BB15" i="5"/>
  <c r="BJ8" i="5"/>
  <c r="CF8" i="5"/>
  <c r="CB8" i="5"/>
  <c r="BD16" i="5"/>
  <c r="CE8" i="5"/>
  <c r="CA8" i="5"/>
  <c r="BR8" i="5"/>
  <c r="BI8" i="5"/>
  <c r="BK8" i="5"/>
  <c r="BD8" i="5"/>
  <c r="CD8" i="5"/>
  <c r="BP8" i="5"/>
  <c r="BO8" i="5"/>
  <c r="CC8" i="5"/>
  <c r="BA15" i="5"/>
  <c r="BG8" i="5"/>
  <c r="BC13" i="5"/>
  <c r="BA16" i="5"/>
  <c r="BC15" i="5"/>
  <c r="BL8" i="5"/>
  <c r="BC16" i="5"/>
  <c r="BE8" i="5"/>
  <c r="BA13" i="5"/>
  <c r="BB13" i="5"/>
  <c r="BD13" i="5"/>
  <c r="BF8" i="5"/>
  <c r="BB17" i="5" l="1"/>
  <c r="BD17" i="5"/>
  <c r="BA17" i="5"/>
  <c r="BC17" i="5"/>
  <c r="V268" i="5"/>
  <c r="V316" i="5"/>
  <c r="W268" i="5"/>
  <c r="W316" i="5"/>
  <c r="U268" i="5"/>
  <c r="U316" i="5"/>
  <c r="T268" i="5"/>
  <c r="T316" i="5"/>
  <c r="S268" i="5"/>
  <c r="S316" i="5"/>
  <c r="R268" i="5"/>
  <c r="R316" i="5"/>
  <c r="Q268" i="5"/>
  <c r="Q316" i="5"/>
  <c r="P268" i="5"/>
  <c r="P316" i="5"/>
  <c r="O268" i="5"/>
  <c r="O316" i="5"/>
  <c r="N268" i="5"/>
  <c r="N316" i="5"/>
  <c r="L268" i="5"/>
  <c r="L316" i="5"/>
  <c r="M268" i="5"/>
  <c r="M316" i="5"/>
  <c r="K268" i="5"/>
  <c r="K316" i="5"/>
  <c r="J268" i="5"/>
  <c r="J316" i="5"/>
  <c r="I268" i="5"/>
  <c r="I316" i="5"/>
  <c r="V262" i="5"/>
  <c r="W262" i="5"/>
  <c r="U262" i="5"/>
  <c r="S262" i="5"/>
  <c r="R262" i="5"/>
  <c r="Q262" i="5"/>
  <c r="O262" i="5"/>
  <c r="N262" i="5"/>
  <c r="L262" i="5"/>
  <c r="K262" i="5"/>
  <c r="H262" i="5"/>
  <c r="H18" i="5" s="1"/>
  <c r="I262" i="5"/>
  <c r="M262" i="5"/>
  <c r="T262" i="5"/>
  <c r="P262" i="5"/>
  <c r="J262" i="5"/>
  <c r="O25" i="5" l="1"/>
  <c r="V25" i="5"/>
  <c r="S25" i="5"/>
  <c r="M25" i="5"/>
  <c r="K18" i="5"/>
  <c r="O18" i="5"/>
  <c r="U25" i="5"/>
  <c r="N25" i="5"/>
  <c r="Q18" i="5"/>
  <c r="I18" i="5"/>
  <c r="L25" i="5"/>
  <c r="T25" i="5"/>
  <c r="V18" i="5"/>
  <c r="R18" i="5"/>
  <c r="L18" i="5"/>
  <c r="P18" i="5"/>
  <c r="P25" i="5"/>
  <c r="N18" i="5"/>
  <c r="R25" i="5"/>
  <c r="U18" i="5"/>
  <c r="J25" i="5"/>
  <c r="W25" i="5"/>
  <c r="T18" i="5"/>
  <c r="S18" i="5"/>
  <c r="M18" i="5"/>
  <c r="K25" i="5"/>
  <c r="Q25" i="5"/>
  <c r="W18" i="5"/>
  <c r="I25" i="5"/>
  <c r="J18" i="5"/>
  <c r="BB28" i="5"/>
  <c r="P61" i="5"/>
  <c r="P5" i="5" s="1"/>
  <c r="P6" i="5" s="1"/>
  <c r="R61" i="5"/>
  <c r="R63" i="5" s="1"/>
  <c r="T61" i="5"/>
  <c r="T63" i="5" s="1"/>
  <c r="O61" i="5"/>
  <c r="O63" i="5" s="1"/>
  <c r="Q61" i="5"/>
  <c r="Q63" i="5" s="1"/>
  <c r="S61" i="5"/>
  <c r="S63" i="5" s="1"/>
  <c r="U61" i="5"/>
  <c r="U63" i="5" s="1"/>
  <c r="V61" i="5"/>
  <c r="V63" i="5" s="1"/>
  <c r="W61" i="5"/>
  <c r="W63" i="5" s="1"/>
  <c r="W5" i="5" l="1"/>
  <c r="W6" i="5" s="1"/>
  <c r="W10" i="5" s="1"/>
  <c r="S5" i="5"/>
  <c r="S6" i="5" s="1"/>
  <c r="S10" i="5" s="1"/>
  <c r="O5" i="5"/>
  <c r="O6" i="5" s="1"/>
  <c r="O14" i="5" s="1"/>
  <c r="R5" i="5"/>
  <c r="R6" i="5" s="1"/>
  <c r="R14" i="5" s="1"/>
  <c r="U5" i="5"/>
  <c r="U6" i="5" s="1"/>
  <c r="U14" i="5" s="1"/>
  <c r="Q5" i="5"/>
  <c r="Q6" i="5" s="1"/>
  <c r="Q14" i="5" s="1"/>
  <c r="P63" i="5"/>
  <c r="P14" i="5"/>
  <c r="P10" i="5"/>
  <c r="W14" i="5"/>
  <c r="V5" i="5"/>
  <c r="V6" i="5" s="1"/>
  <c r="T5" i="5"/>
  <c r="T6" i="5" s="1"/>
  <c r="U10" i="5" l="1"/>
  <c r="R10" i="5"/>
  <c r="Q10" i="5"/>
  <c r="O10" i="5"/>
  <c r="S14" i="5"/>
  <c r="T10" i="5"/>
  <c r="T14" i="5"/>
  <c r="V10" i="5"/>
  <c r="V14" i="5"/>
</calcChain>
</file>

<file path=xl/comments1.xml><?xml version="1.0" encoding="utf-8"?>
<comments xmlns="http://schemas.openxmlformats.org/spreadsheetml/2006/main">
  <authors>
    <author>Rustøen, Linn Christin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Rustøen, Linn Christin:</t>
        </r>
        <r>
          <rPr>
            <sz val="9"/>
            <color indexed="81"/>
            <rFont val="Tahoma"/>
            <family val="2"/>
          </rPr>
          <t xml:space="preserve">
Opprinnelig vedtatt budsjett ØP 17-20</t>
        </r>
      </text>
    </comment>
  </commentList>
</comments>
</file>

<file path=xl/comments2.xml><?xml version="1.0" encoding="utf-8"?>
<comments xmlns="http://schemas.openxmlformats.org/spreadsheetml/2006/main">
  <authors>
    <author>Rustøen, Linn Christin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Rustøen, Linn Christin:</t>
        </r>
        <r>
          <rPr>
            <sz val="9"/>
            <color indexed="81"/>
            <rFont val="Tahoma"/>
            <family val="2"/>
          </rPr>
          <t xml:space="preserve">
Opprinnelig vedtatt budsjett ØP 17-20</t>
        </r>
      </text>
    </comment>
  </commentList>
</comments>
</file>

<file path=xl/comments3.xml><?xml version="1.0" encoding="utf-8"?>
<comments xmlns="http://schemas.openxmlformats.org/spreadsheetml/2006/main">
  <authors>
    <author>anismoi</author>
  </authors>
  <commentList>
    <comment ref="I30" authorId="0" shapeId="0">
      <text>
        <r>
          <rPr>
            <b/>
            <sz val="9"/>
            <color indexed="81"/>
            <rFont val="Tahoma"/>
            <family val="2"/>
          </rPr>
          <t xml:space="preserve">Lagt på kemner -7981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<sst xmlns="http://schemas.openxmlformats.org/spreadsheetml/2006/main" count="1565" uniqueCount="499">
  <si>
    <t>FORUTSETNINGER</t>
  </si>
  <si>
    <t>Befolkningsframskriving</t>
  </si>
  <si>
    <t>Anslag endring skatter landet</t>
  </si>
  <si>
    <t>Anslag endring rammetilskudd landet</t>
  </si>
  <si>
    <t>Nominell skattevekst fra året før (landet)</t>
  </si>
  <si>
    <t>Nominell skattevekst fra året før (Sandnes)</t>
  </si>
  <si>
    <t>Skatt i prosent av landsgjennomsnittet</t>
  </si>
  <si>
    <t>Skatt i kroner per innbygger</t>
  </si>
  <si>
    <t>Skatt</t>
  </si>
  <si>
    <t>Rammetilskudd</t>
  </si>
  <si>
    <t>Eiendomsskatt</t>
  </si>
  <si>
    <t>Driftsinntekter</t>
  </si>
  <si>
    <t>Driftsutgifter</t>
  </si>
  <si>
    <t>0-5 år</t>
  </si>
  <si>
    <t>6-15 år</t>
  </si>
  <si>
    <t>16-66 år</t>
  </si>
  <si>
    <t>67-79 år</t>
  </si>
  <si>
    <t>80-89 år</t>
  </si>
  <si>
    <t>90 år eller eldre</t>
  </si>
  <si>
    <t>Sum innbyggere</t>
  </si>
  <si>
    <t>Befolkningsframskriving, landet</t>
  </si>
  <si>
    <t>Befolkningsvekst i prosent</t>
  </si>
  <si>
    <t>Befolkningsvekst i prosent, landet</t>
  </si>
  <si>
    <t>Sum økning ift demografimodell</t>
  </si>
  <si>
    <t>Økning ift demografimodell - pleie og omsorg</t>
  </si>
  <si>
    <t>Økning ift demografimodell - grunnskole</t>
  </si>
  <si>
    <t>Økning ift demografimodell - barnehage</t>
  </si>
  <si>
    <t>Økning ift demografimodell - kommunehelse, sosiale tjenester og barnevern</t>
  </si>
  <si>
    <t>Økning i internhusleie (FDV) + renhold + strøm</t>
  </si>
  <si>
    <t>Totalkostnader</t>
  </si>
  <si>
    <t>Samlet husleie fra Sandnes kommune, renter</t>
  </si>
  <si>
    <t>Samlet husleie fra Sandnes kommune, avdrag</t>
  </si>
  <si>
    <t>Samlet husleie fra Sandnes kommune, FDV generell</t>
  </si>
  <si>
    <t>Kr 110 per m2</t>
  </si>
  <si>
    <t>Inkl driftsavtaler tilsvarer kr 163</t>
  </si>
  <si>
    <t>Husleie, andel driftsavtaler</t>
  </si>
  <si>
    <t>Kapitalkostnader som SEKF skal betale til bykassen</t>
  </si>
  <si>
    <t>= Husleiedel som skal dekke driftsbudsjett hos SEKF</t>
  </si>
  <si>
    <t>Estimert økning i rente/avdrag</t>
  </si>
  <si>
    <t>Nye bygg</t>
  </si>
  <si>
    <t>Lån eiendom, Nye bygg</t>
  </si>
  <si>
    <t>Renter</t>
  </si>
  <si>
    <t>Avdrag</t>
  </si>
  <si>
    <t>Husleie, nye bygg, kapital</t>
  </si>
  <si>
    <t>Husleie, nye bygg, FDV</t>
  </si>
  <si>
    <t xml:space="preserve">Sum husleie nye bygg </t>
  </si>
  <si>
    <t>Gamle bygg</t>
  </si>
  <si>
    <t>Lån eiendom, gamle bygg</t>
  </si>
  <si>
    <t>Restgjeld etter avdrag</t>
  </si>
  <si>
    <t>Husleie, gamle bygg, kapital</t>
  </si>
  <si>
    <t>Husleie, gamle bygg, FDV</t>
  </si>
  <si>
    <t xml:space="preserve">Sum husleie gamle bygg </t>
  </si>
  <si>
    <t>Eksterne leier, KPI</t>
  </si>
  <si>
    <t>Sum internhusleie, samlet eide og leide bygg</t>
  </si>
  <si>
    <t xml:space="preserve"> antatt areautvidelse per år i m2, </t>
  </si>
  <si>
    <t>gj.sn.kostn for energi k per m2</t>
  </si>
  <si>
    <t>gj.snitt renholdskostnader per m2</t>
  </si>
  <si>
    <t>eksterne bygg</t>
  </si>
  <si>
    <t>Endringer i ØP som ikke er befolkningsvekst</t>
  </si>
  <si>
    <t>DRIFTSTILTAK, ØKONOMIPLAN 2018-2021</t>
  </si>
  <si>
    <t>BASISBUDSJETT 2018</t>
  </si>
  <si>
    <r>
      <t xml:space="preserve">DISPONIBELT TIL TILTAK </t>
    </r>
    <r>
      <rPr>
        <sz val="6"/>
        <color theme="1"/>
        <rFont val="Calibri"/>
        <family val="2"/>
        <scheme val="minor"/>
      </rPr>
      <t>(positivt beløp er manko, negativt beløp til disposisjon)</t>
    </r>
  </si>
  <si>
    <t>VEDTATTE TILTAK, ØP 2017-2020</t>
  </si>
  <si>
    <t>VEDTATTE TILTAK, REKALKULERT</t>
  </si>
  <si>
    <t>NYE INNSPARINGER/SALDERINGER ØP 2018-2021</t>
  </si>
  <si>
    <t>NYE TILTAK ØP 2018-2021 - MÅ PRIORITERES</t>
  </si>
  <si>
    <r>
      <t xml:space="preserve">BUDSJETTBALANSE INKL VEDTATTE TILTAK, NYE INNSPARINGER OG MÅ-TILTAK </t>
    </r>
    <r>
      <rPr>
        <sz val="8"/>
        <color theme="1"/>
        <rFont val="Calibri"/>
        <family val="2"/>
        <scheme val="minor"/>
      </rPr>
      <t xml:space="preserve"> </t>
    </r>
    <r>
      <rPr>
        <sz val="6"/>
        <color theme="1"/>
        <rFont val="Calibri"/>
        <family val="2"/>
        <scheme val="minor"/>
      </rPr>
      <t>(positivt beløp er manko, negativt beløp til disposisjon)</t>
    </r>
  </si>
  <si>
    <t>ANDRE NYE TILTAK ØP 2018-2021</t>
  </si>
  <si>
    <t>NYE TILTAK ØP 2018-2021 - IKKE PRIORITERT</t>
  </si>
  <si>
    <t>Overføring til investeringsregnskapet - saldering</t>
  </si>
  <si>
    <t>Bruk av fond</t>
  </si>
  <si>
    <t>Netto driftsresultat</t>
  </si>
  <si>
    <t>OMRÅDE</t>
  </si>
  <si>
    <t>NR</t>
  </si>
  <si>
    <t>TILTAKSTEKST</t>
  </si>
  <si>
    <t>TYPE</t>
  </si>
  <si>
    <t>PRIORITET</t>
  </si>
  <si>
    <t>VEDTATT BUDSJETT 2014</t>
  </si>
  <si>
    <t>Sentrale inntekter og utgifter</t>
  </si>
  <si>
    <t>SENT.INNT</t>
  </si>
  <si>
    <t>Eiendomsskatt på verk, bruk og næringseiendommer</t>
  </si>
  <si>
    <t>Taksering av verk, bruk og næringseiendommer</t>
  </si>
  <si>
    <t>Taksering av verk, bruk og næringseiendommer - finansieres ved bruk av fond</t>
  </si>
  <si>
    <t xml:space="preserve">Rentekompensasjon sykehjem og omsorgsboliger, Reform 97 og skolebygg  </t>
  </si>
  <si>
    <t>Integreringstilskudd flyktninger</t>
  </si>
  <si>
    <t>Renteutgifter ordinære lån</t>
  </si>
  <si>
    <t>Redusert rentemarginpåslag</t>
  </si>
  <si>
    <t>Avdrag ordinære lån</t>
  </si>
  <si>
    <t xml:space="preserve">Renteinntekter av bankinnskudd </t>
  </si>
  <si>
    <t>Avkastning aksjefond</t>
  </si>
  <si>
    <t xml:space="preserve">Renteinntekter startlån </t>
  </si>
  <si>
    <t>Renteutgifter startlån</t>
  </si>
  <si>
    <t>Renter ansvarlig lån Lyse energi AS</t>
  </si>
  <si>
    <t xml:space="preserve">Aksjeutbytte Lyse AS </t>
  </si>
  <si>
    <t xml:space="preserve">Aksjeutbytte SF kino Stavanger/Sandnes AS </t>
  </si>
  <si>
    <t>Aksjeutbytte  Renovasjonen IKS</t>
  </si>
  <si>
    <t>Ekstraordinært uttak av opptjent egenkapital fra Sandnes tomteselskap KF</t>
  </si>
  <si>
    <t>Overføring fra Sandnes tomteselskap KF</t>
  </si>
  <si>
    <t>Renter ansvarlig lån Sandnes tomteselskap KF</t>
  </si>
  <si>
    <t xml:space="preserve">Overføring fra Sandnes parkering KF </t>
  </si>
  <si>
    <t>Renteinnt og ubytte</t>
  </si>
  <si>
    <t>Overføring til investeringsregnskapet</t>
  </si>
  <si>
    <t>Renteutgifter og låneomkostninger</t>
  </si>
  <si>
    <t xml:space="preserve">Avskrivinger </t>
  </si>
  <si>
    <t>Avdrag på lån</t>
  </si>
  <si>
    <t xml:space="preserve">Motpost avskrivinger </t>
  </si>
  <si>
    <t>Kalkulatoriske renter og avskrivinger vann</t>
  </si>
  <si>
    <t>Kalkulatoriske renter og avskrivinger avløp</t>
  </si>
  <si>
    <t>Kalkulatoriske renter og avskrivinger renovasjon</t>
  </si>
  <si>
    <t>Renter ansvarlig lån Sandnes eiendomsselskap KF</t>
  </si>
  <si>
    <t>Avlasterdommen</t>
  </si>
  <si>
    <t>Avdrag ansvarlig lån Sandnes eiendomsselskap KF</t>
  </si>
  <si>
    <t>SUM SENTRALE INNTEKTER OG FINANSPOSTER</t>
  </si>
  <si>
    <t>BASISBUDSJETT TJENESTEOMRÅDENE</t>
  </si>
  <si>
    <t>D</t>
  </si>
  <si>
    <t>DISPONIBELT TIL TILTAK</t>
  </si>
  <si>
    <t>Oppvekst skoler</t>
  </si>
  <si>
    <t>Ordinær grunnskoleopplæring inkl fellesutgifter</t>
  </si>
  <si>
    <t>SKOLE</t>
  </si>
  <si>
    <t>Elevtallsvekst i tråd med prognoser</t>
  </si>
  <si>
    <t>ØP 17-20 REKALK</t>
  </si>
  <si>
    <t>VEDTATT</t>
  </si>
  <si>
    <t xml:space="preserve">Ressurser til spesialundervisning </t>
  </si>
  <si>
    <t>Skeiene ungdomsskole, læremiddelpakke</t>
  </si>
  <si>
    <t>ØP 17-20</t>
  </si>
  <si>
    <t>Engangs</t>
  </si>
  <si>
    <t>Figgjo skole, læremiddelpakke</t>
  </si>
  <si>
    <t>Buggeland skole, læremiddelpakke</t>
  </si>
  <si>
    <t>Tidlig innsats</t>
  </si>
  <si>
    <t>Nye innsparinger</t>
  </si>
  <si>
    <t>Gevinster ved digitalisering</t>
  </si>
  <si>
    <t>NYTT</t>
  </si>
  <si>
    <t>MÅ</t>
  </si>
  <si>
    <t>Skeiene ungdomsskole utvidelse- brakkebygg ved rehabilitering</t>
  </si>
  <si>
    <t>Kun ut 7. klasse</t>
  </si>
  <si>
    <t>Sviland skule, læremiddelpakke</t>
  </si>
  <si>
    <t>Bogafjell ungdomsskole, læremiddelpakke</t>
  </si>
  <si>
    <t>Internhusleie, renholds- og energikostnader, skoler</t>
  </si>
  <si>
    <t>SFO</t>
  </si>
  <si>
    <t>S16</t>
  </si>
  <si>
    <t>S17</t>
  </si>
  <si>
    <t>X</t>
  </si>
  <si>
    <t>TOTALSUM OPPVEKST SKOLER</t>
  </si>
  <si>
    <t>Oppvekst barn og unge</t>
  </si>
  <si>
    <t>Barnehagetjenester</t>
  </si>
  <si>
    <t>B/U</t>
  </si>
  <si>
    <t>Etablering av nye kommunale barnehageplasser 2018</t>
  </si>
  <si>
    <t>Redusert antall barnehageplasser 2019</t>
  </si>
  <si>
    <t>Redusert antall barnehageplasser 2020</t>
  </si>
  <si>
    <t>Redusert antall barnehageplasser 2021</t>
  </si>
  <si>
    <t>Nye barnehageplasser januar 2018</t>
  </si>
  <si>
    <t>Ny bemanningsnorm og pedagognorm</t>
  </si>
  <si>
    <t>Økt foreldrebetaling i barnehager</t>
  </si>
  <si>
    <t>Markedsføring kommunens barnehager</t>
  </si>
  <si>
    <t>Redusert antall i barnehager utenfor kommunen</t>
  </si>
  <si>
    <t>Tilskudd til private barnehager</t>
  </si>
  <si>
    <t>Digital kommunikasjonskanal mellom barnehage og foresatte</t>
  </si>
  <si>
    <t>Internhusleie, renholds- og energikostnader, barnehager</t>
  </si>
  <si>
    <t>Helsestasjonstjenester, PPT, barne- og familieenheten</t>
  </si>
  <si>
    <t>Reduserte husleieutgifter barne- og familieenheten</t>
  </si>
  <si>
    <t>Internhusleie, renholds- og energikostnader, helsestasjoner</t>
  </si>
  <si>
    <t>TOTALSUM OPPVEKST BARN OG UNGE</t>
  </si>
  <si>
    <t>Levekår</t>
  </si>
  <si>
    <t>Levekår felles og samordningstjenester</t>
  </si>
  <si>
    <t>LEVEKÅR</t>
  </si>
  <si>
    <t>Kommunale boliger, justering husleie</t>
  </si>
  <si>
    <t>Redusert ramme øyeblikkelig hjelp</t>
  </si>
  <si>
    <t>Økte enhetspriser til Sandnes matservice</t>
  </si>
  <si>
    <t>Omsorgstjenester</t>
  </si>
  <si>
    <t>Drift nye heldøgnsplasser i Rundeskogen</t>
  </si>
  <si>
    <t>Hjemmetjenesten, økning i henhold til befolkningsvekst</t>
  </si>
  <si>
    <t>10,69 årsverk ALS-team, netto kostnad</t>
  </si>
  <si>
    <t>Internhusleie, renholds- og energikostnader, omsorgstjenester</t>
  </si>
  <si>
    <t>Enhet for funksjonshemmede</t>
  </si>
  <si>
    <t>Barnebolig avlastningsenheten (Under16 år)</t>
  </si>
  <si>
    <t>Enetiltak EFF, netto kostnad</t>
  </si>
  <si>
    <t>Internhusleie, renholds- og energikostnader, EFF</t>
  </si>
  <si>
    <t>Helse- og rehabiliteringstjenster</t>
  </si>
  <si>
    <t>Bofellesskap psykisk helse Håholen, 7 plasser</t>
  </si>
  <si>
    <t>Videreføring opptrappingsplan rusfeltet</t>
  </si>
  <si>
    <t>3 årsverk Rask psykisk helsehjelp</t>
  </si>
  <si>
    <t>Legevaktbil, leasing og driftsutgifter</t>
  </si>
  <si>
    <t>Kommuneoverlege smittevern/samfunnsmedisin, 1 årsverk</t>
  </si>
  <si>
    <t>Kommuneoverlege smittevern/samfunnsmedisin, 1 årsverk, finansieres ved bruk av disposisjonsfond</t>
  </si>
  <si>
    <t>Internhusleie, renholds- og energikostnader, sosiale tjenester</t>
  </si>
  <si>
    <t>Sosiale tjenester</t>
  </si>
  <si>
    <t>Husleie nye boenheter</t>
  </si>
  <si>
    <t>Økonomisk sosialhjelp, styrking av boutgifter og livsopphold</t>
  </si>
  <si>
    <t>Økonomisk sosialhjelp, finansieres av integreringstilskudd</t>
  </si>
  <si>
    <t>Miljøvaktmester, 2 årsverk</t>
  </si>
  <si>
    <t>Redusert ramme flyktningenheten</t>
  </si>
  <si>
    <t>Flyktningenheten, redusert integreringstilskudd</t>
  </si>
  <si>
    <t>TOTALSUM LEVEKÅR</t>
  </si>
  <si>
    <t>Kultur og byutvikling</t>
  </si>
  <si>
    <t>Kultur og byutvikling felles</t>
  </si>
  <si>
    <t>KUBY</t>
  </si>
  <si>
    <t>PhD prosjekt(stilling)</t>
  </si>
  <si>
    <t>Økt tilskudd til Opera Rogaland IKS</t>
  </si>
  <si>
    <t>Kulturhuset, musikaler i 2020</t>
  </si>
  <si>
    <t>RAS - kompetanseutvikling og regionalt samarbeid</t>
  </si>
  <si>
    <t>Jærmuseet</t>
  </si>
  <si>
    <t xml:space="preserve">Jærmuseet </t>
  </si>
  <si>
    <t>Gratis sommerkino</t>
  </si>
  <si>
    <t>Byutvikling</t>
  </si>
  <si>
    <t>Samfunnsplan, interkommunal kommundelplan for Forus/Lura</t>
  </si>
  <si>
    <t>Kontinuerlige reisevaneundersøkelser</t>
  </si>
  <si>
    <t>Driftskostnader etter oppgradering av kommunens kartsystemer</t>
  </si>
  <si>
    <t>Kultur, bibliotek og kulturskole</t>
  </si>
  <si>
    <t/>
  </si>
  <si>
    <t>Meråpent bibliotek -Oppdatering programvare og sikring utstyr</t>
  </si>
  <si>
    <t>Meråpent bibliotek -Oppdatering programvare og sikring utstyr, finansieres av disposisjonsfond</t>
  </si>
  <si>
    <t xml:space="preserve">Sandnes kulturskole som lokalt ressurssenter </t>
  </si>
  <si>
    <t>Sandnes kulturskole som lokalt ressurssenter - finansieres ved bruk av fond</t>
  </si>
  <si>
    <t>Medielab</t>
  </si>
  <si>
    <t>Medielab, økt inntektskrav</t>
  </si>
  <si>
    <t>Medielab, fond</t>
  </si>
  <si>
    <t>Forvaltning og vedlikehold av utsmykking</t>
  </si>
  <si>
    <t>Økt husleietilskudd ved bruk av Sandnes kulturhus</t>
  </si>
  <si>
    <t>Internhusleie, renholds- og energikostnader, kultur</t>
  </si>
  <si>
    <t>Sandnes kirkelige fellesråd</t>
  </si>
  <si>
    <t>Søyler Gand kirke</t>
  </si>
  <si>
    <t>Handicap toaletter, Høyland kirke</t>
  </si>
  <si>
    <t>Nytt kjøkken, Lura kirke</t>
  </si>
  <si>
    <t>Selvkost</t>
  </si>
  <si>
    <t>Byggesak, bruk av selvkostfond</t>
  </si>
  <si>
    <t>Oppmåling, bruk av selvkostfond</t>
  </si>
  <si>
    <t>TOTALSUM KULTUR OG BYUTVIKLING</t>
  </si>
  <si>
    <t>Teknisk</t>
  </si>
  <si>
    <t>TEKNISK</t>
  </si>
  <si>
    <t>Sandnes matservice, organisering for styrket kundeorientering</t>
  </si>
  <si>
    <t>Sandnes matservice, organisering for styrket kundeorientering - finansieres av økte inntekter</t>
  </si>
  <si>
    <t>Friluftsorganisasjoner, prisjustering av  interkommunale avtaler</t>
  </si>
  <si>
    <t>Folkepulsen - tilskuddordning</t>
  </si>
  <si>
    <t>Innsparing LED gatelys</t>
  </si>
  <si>
    <t>Overtakelse med drift og vedlikehold av nye sentrumsparker og byrom</t>
  </si>
  <si>
    <t>Overtagelse med drift og vedlikehold av nye grøntanlegg/nærmiljøanlegg og lekeplasser</t>
  </si>
  <si>
    <t>Iglemyr svømmeanlegg</t>
  </si>
  <si>
    <t>Inntekter Iglemyr svømmeanlegg</t>
  </si>
  <si>
    <t>Tilskudd Sandnes håndballklubb</t>
  </si>
  <si>
    <t>Internhusleie, renholds- og energikostnader, teknisk</t>
  </si>
  <si>
    <t>VAR</t>
  </si>
  <si>
    <t>Vann, enøk-tiltak</t>
  </si>
  <si>
    <t xml:space="preserve">Vann, endring i kalkulatoriske renter og avskrivninger </t>
  </si>
  <si>
    <t>Vann, bruk av selvkostfond</t>
  </si>
  <si>
    <t>Avløp, enøk tiltak</t>
  </si>
  <si>
    <t>TOTALSUM TEKNISK</t>
  </si>
  <si>
    <t>Organisasjon</t>
  </si>
  <si>
    <t>ORG</t>
  </si>
  <si>
    <t>Økt tilskudd til Interkommunalt arkiv i Rogaland IKS</t>
  </si>
  <si>
    <t>Prosjektstilling digitaliseringssjef</t>
  </si>
  <si>
    <t>Implementering av ny personvernlov</t>
  </si>
  <si>
    <t>Implementering av ny personvernlov - finansieres ved bruk av fond</t>
  </si>
  <si>
    <t>Arkiv-digitalisering av personalarkivet</t>
  </si>
  <si>
    <t>Arkiv-digitalisering av personalarkivet - finansieres ved bruk av disposisjonsfond</t>
  </si>
  <si>
    <t>Arkiv-skanning av papirarkiver  i forbindelse med flytting til nytt rådhus</t>
  </si>
  <si>
    <t>Arkiv-skanning av papirarkiver  i forbindelse med flytting til nytt rådhus - finansieres ved bruk av disposisjonsfond</t>
  </si>
  <si>
    <t>Dokumentsenteret- logistikk koordinator flytting til nytt rådhus</t>
  </si>
  <si>
    <t>Dokumentsenteret- logistikk koordinator flytting til nytt rådhus - finansieres ved bruk av disposisjonsfond</t>
  </si>
  <si>
    <t>1 årsverk IT rådgiver</t>
  </si>
  <si>
    <t>Styring av mobile enheter i kommunens nettverk</t>
  </si>
  <si>
    <t>Psykososialt kriseteam</t>
  </si>
  <si>
    <t>Økt båndbredde</t>
  </si>
  <si>
    <t>TOTALSUM ORGANISASJON</t>
  </si>
  <si>
    <t>Økonomi</t>
  </si>
  <si>
    <t>ØK</t>
  </si>
  <si>
    <t>Anskaffelser, et årsverk til innovasjonsarbeid</t>
  </si>
  <si>
    <t>Anskaffelser, et årsverk til innovasjonsarbeid - finansieres ved bruk av disposisjonsfond</t>
  </si>
  <si>
    <t>TOTALSUM ØKONOMI</t>
  </si>
  <si>
    <t>Sentrale staber, politisk virksomhet og fellesutgifter</t>
  </si>
  <si>
    <t>Rådmannens staber</t>
  </si>
  <si>
    <t>KOM.FELLES</t>
  </si>
  <si>
    <t>Tilskudd til Greater Stavanger</t>
  </si>
  <si>
    <t>Tilskudd til Greater Stavanger, Region Stavanger, Skape og GründerArena Jæren</t>
  </si>
  <si>
    <t>Tilskudd til Greater Stavanger, Region Stavanger, Skape og GründerArena Jæren, finansieres ved bruk av disposisjonsfond</t>
  </si>
  <si>
    <t>Kommunen felles</t>
  </si>
  <si>
    <t>Lønnsreserven</t>
  </si>
  <si>
    <t>Regionale idrettshaller, redusert tilskudd</t>
  </si>
  <si>
    <t>Sola Arena</t>
  </si>
  <si>
    <t>Tilskudd til Rogaland brann og redning</t>
  </si>
  <si>
    <t>Deltidsmannskaper brann</t>
  </si>
  <si>
    <t>Inntekter for støttetjenester til selvkostområdene</t>
  </si>
  <si>
    <t>Nytt rådhus, engangsutgift i forbindelse med innflytting</t>
  </si>
  <si>
    <t>Endring i seniorordningen</t>
  </si>
  <si>
    <t>Driftsutgifter p-anlegg 240 plasser, åpner desember 2019</t>
  </si>
  <si>
    <t>Driftsinntekter p-anlegg 240 plasser, 5 års innkjøring</t>
  </si>
  <si>
    <t>Refinansiering Nygaardshagen Parkering</t>
  </si>
  <si>
    <t>Prosjektkoordinator sentrum</t>
  </si>
  <si>
    <t>Prosjektkoordinator sentrum, finansieres ved bruk av fond</t>
  </si>
  <si>
    <t>Merutgifter interne budtjenester</t>
  </si>
  <si>
    <t>Regulering KS kontingent</t>
  </si>
  <si>
    <t>Forsikringer</t>
  </si>
  <si>
    <t>Reberegning pensjon</t>
  </si>
  <si>
    <t>Felles kommunale digitaliseringsprosjekter</t>
  </si>
  <si>
    <t>Felles kommunale digitaliseringsprosjekter - finansieres ved bruk av fond</t>
  </si>
  <si>
    <t>Internhusleie, renholds- og energikostnader, kommune felles</t>
  </si>
  <si>
    <t>Regionsentertilskudd</t>
  </si>
  <si>
    <t>Politisk virksomhet</t>
  </si>
  <si>
    <t>Kommune- og fylkestingsvalg 2019 og stortingsvalg 2021</t>
  </si>
  <si>
    <t>Folkevalgtopplæring 2019</t>
  </si>
  <si>
    <t>Avslutning bystyret</t>
  </si>
  <si>
    <t>Eiendom</t>
  </si>
  <si>
    <t>KPI-justering, eksisterende bygg (leide) 2018</t>
  </si>
  <si>
    <t>Reduksjon i internhusleie, nedbetaling på eldre bygg</t>
  </si>
  <si>
    <t>Reduserte strømkostnader (Enøk og Enova-prosjekter)</t>
  </si>
  <si>
    <t>Korrigert beløp innleide bygg</t>
  </si>
  <si>
    <t>Kapitalkostnader av rehabilitering, Enøk og miljøtiltak osv</t>
  </si>
  <si>
    <t>TOTALSUM SENTRALE STABER, POLITISK VIRKSOMHET OG FELLESUTGIFTER</t>
  </si>
  <si>
    <t>Skole</t>
  </si>
  <si>
    <t>Barn og unge</t>
  </si>
  <si>
    <t>Kultur og by</t>
  </si>
  <si>
    <t>Kommune felles</t>
  </si>
  <si>
    <t>Egenbetaling</t>
  </si>
  <si>
    <t>Vedtatte tiltak</t>
  </si>
  <si>
    <t>Nye tiltak</t>
  </si>
  <si>
    <t>Innsparing</t>
  </si>
  <si>
    <t>Sum tiltak</t>
  </si>
  <si>
    <r>
      <t xml:space="preserve">BUDSJETTBALANSE INKL VEDTATTE TILTAK  </t>
    </r>
    <r>
      <rPr>
        <sz val="6"/>
        <color theme="1"/>
        <rFont val="Calibri"/>
        <family val="2"/>
        <scheme val="minor"/>
      </rPr>
      <t>(positivt beløp er manko, negativt beløp til disposisjon)</t>
    </r>
  </si>
  <si>
    <t>Prefiks</t>
  </si>
  <si>
    <t>Nr</t>
  </si>
  <si>
    <t>Formue- og inntektsskatt</t>
  </si>
  <si>
    <t>I</t>
  </si>
  <si>
    <t xml:space="preserve">Statlige rammeoverføringer inkludert inntektsutjevning </t>
  </si>
  <si>
    <t>FOND</t>
  </si>
  <si>
    <t>Overføring investering ØP 17-20</t>
  </si>
  <si>
    <t>Vedtatt</t>
  </si>
  <si>
    <t>Må</t>
  </si>
  <si>
    <t>Annet</t>
  </si>
  <si>
    <t>Opprinnelig prioritering</t>
  </si>
  <si>
    <t>S</t>
  </si>
  <si>
    <t xml:space="preserve">Ressurser til spesialundervisning  i SFO </t>
  </si>
  <si>
    <t>Ganddal skole - særskilt styrking</t>
  </si>
  <si>
    <t>SFO, økning i driftsutgifter</t>
  </si>
  <si>
    <t>SFO, økning i gebyrinntekter</t>
  </si>
  <si>
    <t>B</t>
  </si>
  <si>
    <t>Opprinnelig tiltak</t>
  </si>
  <si>
    <t>Reberegnet tiltak</t>
  </si>
  <si>
    <t>L</t>
  </si>
  <si>
    <t>Tilskudd til fastleger i henhold til befolkningsvekst</t>
  </si>
  <si>
    <t>Internhusleie, renholds- og energikostnader, helse- og rehabiliteringstjenester</t>
  </si>
  <si>
    <t>K</t>
  </si>
  <si>
    <t>50 prosent stilling kultur, Bogafjell</t>
  </si>
  <si>
    <t>50 prosent stilling kultur, Bogafjell - finansieres ved bruk av fond</t>
  </si>
  <si>
    <t>Reguleringsplaner, endring i driftskostnader</t>
  </si>
  <si>
    <t>Reguleringsplaner, endring i gebyrinntekter</t>
  </si>
  <si>
    <t>Reguleringsplaner, bruk av selvkostfond</t>
  </si>
  <si>
    <t>Byggesak, endring i driftskostnader</t>
  </si>
  <si>
    <t>Byggesak, endring i gebyrinntekter</t>
  </si>
  <si>
    <t>Oppmåling, endring i driftskostnader</t>
  </si>
  <si>
    <t>Oppmåling, endring i gebyrinnteker</t>
  </si>
  <si>
    <t>T</t>
  </si>
  <si>
    <t>Økt vedlikeholdsstandard på gravplasser</t>
  </si>
  <si>
    <t>Vann, endring av gebyrinntekter</t>
  </si>
  <si>
    <t>Vann, endring av utgifter til kjøp av vann fra IVAR</t>
  </si>
  <si>
    <t>Vann, endring i driftskostnader</t>
  </si>
  <si>
    <t>Vann, økt budsjett til utgifter for støttetjenester</t>
  </si>
  <si>
    <t>Avløp, endring av gebyrinntekter</t>
  </si>
  <si>
    <t>Avløp, endring i tilskudd</t>
  </si>
  <si>
    <t>Avløp, endring av utgifter til kjøp av avløpsbehandling fra IVAR</t>
  </si>
  <si>
    <t>Avløp, endring i driftskostnader</t>
  </si>
  <si>
    <t>Avløp, økt budsjett til utgifter for støttetjenester</t>
  </si>
  <si>
    <t xml:space="preserve">Avløp, endring i kalkulatoriske renter og avskrivninger </t>
  </si>
  <si>
    <t>Avløp, bruk av selvkostfond</t>
  </si>
  <si>
    <t>Renovasjon, endring av gebyrinntekter</t>
  </si>
  <si>
    <t>Renovasjon, endring i øvrige salgsinntekter</t>
  </si>
  <si>
    <t>Renovasjon, endring i driftskostnader</t>
  </si>
  <si>
    <t>Renovasjon, endring i kostnader for sluttbehandling og innsamling</t>
  </si>
  <si>
    <t>Renovasjon, økt budsjett til utgifter for støttetjenester</t>
  </si>
  <si>
    <t xml:space="preserve">Renovasjon, endring i kalkulatoriske avskrivinger </t>
  </si>
  <si>
    <t>Renovasjon, bruk av selvkostfond</t>
  </si>
  <si>
    <t>Slam, endring i gebyrinntekter</t>
  </si>
  <si>
    <t>Slam, endring i driftskostnader</t>
  </si>
  <si>
    <t>Slam, bruk av selvkostfond</t>
  </si>
  <si>
    <t>Feiing, endring i gebyrinntekter</t>
  </si>
  <si>
    <t>Feiing, endring i driftskostnader</t>
  </si>
  <si>
    <t>Feiing, bruk av selvkostfond</t>
  </si>
  <si>
    <t>O</t>
  </si>
  <si>
    <t>Ø</t>
  </si>
  <si>
    <t>F</t>
  </si>
  <si>
    <t>Fellesnemnd for kommunesammenslåing</t>
  </si>
  <si>
    <t>Opprinnelig overføring ihht tiltaksliste før statsbudsjettet</t>
  </si>
  <si>
    <t>Kontroll</t>
  </si>
  <si>
    <t>Regnskapsmessig mer/mindreforbruk</t>
  </si>
  <si>
    <t>Sum avsetninger</t>
  </si>
  <si>
    <t>Avsatt til bundne fond</t>
  </si>
  <si>
    <t>Avsatt til disposisjonsfond</t>
  </si>
  <si>
    <t>Dekning av tidligere års regnsk.m. merforbruk</t>
  </si>
  <si>
    <t>Overført til investeringsregnskapet</t>
  </si>
  <si>
    <t>Sum bruk av avsetninger</t>
  </si>
  <si>
    <t>Bruk av bundne fond</t>
  </si>
  <si>
    <t>Bruk av disposisjonsfond</t>
  </si>
  <si>
    <t>Bruk av tidligere års regnsk.m. mindreforbruk</t>
  </si>
  <si>
    <t>Interne finanstransaksjoner</t>
  </si>
  <si>
    <t>Motpost avskrivninger</t>
  </si>
  <si>
    <t>Resultat eksterne finanstransaksjoner</t>
  </si>
  <si>
    <t>Sum eksterne finansutgifter</t>
  </si>
  <si>
    <t>Utlån</t>
  </si>
  <si>
    <t>Tap på finansielle instrumenter (omløpsmidler)</t>
  </si>
  <si>
    <t>Finansutgifter</t>
  </si>
  <si>
    <t>Sum eksterne finansinntekter</t>
  </si>
  <si>
    <t>Mottatte avdrag på utlån</t>
  </si>
  <si>
    <t>Gevinst på finansielle instrumenter (omløpsmidler)</t>
  </si>
  <si>
    <t>Renteinntekter og utbytte</t>
  </si>
  <si>
    <t>Finansinntekter</t>
  </si>
  <si>
    <t>Brutto driftsresultat</t>
  </si>
  <si>
    <t>Sum driftsutgifter</t>
  </si>
  <si>
    <t>Fordelte utgifter</t>
  </si>
  <si>
    <t>Avskrivninger</t>
  </si>
  <si>
    <t>Overføringer</t>
  </si>
  <si>
    <t>Kjøp av tjenester som erstatter tj.produksjon</t>
  </si>
  <si>
    <t>Kjøp av varer og tj som inngår i tj.produksjon</t>
  </si>
  <si>
    <t>Sosiale utgifter</t>
  </si>
  <si>
    <t>Lønnsutgifter</t>
  </si>
  <si>
    <t>Sum driftsinntekter</t>
  </si>
  <si>
    <t>Andre direkte og indirekte skatter</t>
  </si>
  <si>
    <t>Skatt på inntekt og formue</t>
  </si>
  <si>
    <t>Andre overføringer</t>
  </si>
  <si>
    <t>Andre statlige overføringer</t>
  </si>
  <si>
    <t>Overføringer med krav til motytelse</t>
  </si>
  <si>
    <t>Andre salgs- og leieinntekter</t>
  </si>
  <si>
    <t>Brukerbetalinger</t>
  </si>
  <si>
    <t xml:space="preserve">  Budsjett 2021</t>
  </si>
  <si>
    <t xml:space="preserve">  Budsjett 2020</t>
  </si>
  <si>
    <t xml:space="preserve">  Budsjett 2019</t>
  </si>
  <si>
    <t xml:space="preserve">  Budsjett 2018</t>
  </si>
  <si>
    <t xml:space="preserve">  Budsjett 2017</t>
  </si>
  <si>
    <t>Andre inntekter</t>
  </si>
  <si>
    <t>Økning ift demografimodell</t>
  </si>
  <si>
    <t>Økning i internhusleie - FDV, renhold og energi</t>
  </si>
  <si>
    <t>Avskrivinger</t>
  </si>
  <si>
    <t>Økning i andre utgifter (enheter utenom demografimodellen)</t>
  </si>
  <si>
    <t>Motpost avskrivinger</t>
  </si>
  <si>
    <t>Sum drifts- og finansinntekter</t>
  </si>
  <si>
    <t>Sum drifts- og finansutgifter</t>
  </si>
  <si>
    <t>Bruk av tidligere års regnskapsmessig mindreforbruk</t>
  </si>
  <si>
    <t>Overfør til investeringsregnskapet</t>
  </si>
  <si>
    <t>Dekning av tidligere års regnskapsmessig merforbruk</t>
  </si>
  <si>
    <t>Opprinnelig budsjett 2017</t>
  </si>
  <si>
    <t>3 måneders Nibor rente</t>
  </si>
  <si>
    <t>Gjennomsnittsrente på lån</t>
  </si>
  <si>
    <t>Innskuddsrente</t>
  </si>
  <si>
    <t>Bankinnskudd</t>
  </si>
  <si>
    <t>Renteinntekter bankinnskudd</t>
  </si>
  <si>
    <t>Ordinære lån per 31.12</t>
  </si>
  <si>
    <t>Avdragsutgifter</t>
  </si>
  <si>
    <t>Renteinntekter Lyse og STKF</t>
  </si>
  <si>
    <t>Investeringsbudsjett</t>
  </si>
  <si>
    <t>Momskompensasjon</t>
  </si>
  <si>
    <t>Investeringsutgifter (netto):</t>
  </si>
  <si>
    <t xml:space="preserve"> - Oppvekst skole</t>
  </si>
  <si>
    <t xml:space="preserve"> - Oppvekst barn og unge</t>
  </si>
  <si>
    <t xml:space="preserve"> - Levekår</t>
  </si>
  <si>
    <t xml:space="preserve"> - Kultur og byutvikling</t>
  </si>
  <si>
    <t xml:space="preserve"> - Teknisk</t>
  </si>
  <si>
    <t xml:space="preserve"> - VAR</t>
  </si>
  <si>
    <t xml:space="preserve"> - Kommune felles</t>
  </si>
  <si>
    <t xml:space="preserve"> - Eiendom</t>
  </si>
  <si>
    <t xml:space="preserve"> - Vedlikeholdsetterslep</t>
  </si>
  <si>
    <t>Sum finansieringsbehov</t>
  </si>
  <si>
    <t>Finansiering:</t>
  </si>
  <si>
    <t>Bruk av lån</t>
  </si>
  <si>
    <t>Mottatte avdrag Lyse og tomteselskapet</t>
  </si>
  <si>
    <t>Overføring fra drift</t>
  </si>
  <si>
    <t>Sum finansiering</t>
  </si>
  <si>
    <t>Økonomisk oversikt drift</t>
  </si>
  <si>
    <t>Prognosemodell</t>
  </si>
  <si>
    <t>ØL, linje 8</t>
  </si>
  <si>
    <t>ØL, linje 14</t>
  </si>
  <si>
    <t>ØL, linje 7</t>
  </si>
  <si>
    <t>ØL, linje 9</t>
  </si>
  <si>
    <t>ØL, linje 16</t>
  </si>
  <si>
    <t>ØL, linje 10</t>
  </si>
  <si>
    <t>Økonomisk oversikt</t>
  </si>
  <si>
    <t>Demografimodellen</t>
  </si>
  <si>
    <t>Dekkes av demografimodellen</t>
  </si>
  <si>
    <t>S14</t>
  </si>
  <si>
    <t>Tidlig innsats, overgang fra barnehagen til skole og SFO</t>
  </si>
  <si>
    <t>S15</t>
  </si>
  <si>
    <t>S18</t>
  </si>
  <si>
    <t>Gratis kjernetid</t>
  </si>
  <si>
    <t>Forebyggende tiltak for barn, unge og familier</t>
  </si>
  <si>
    <t>Økt innslagspunkt for ressurskrevende tjenester</t>
  </si>
  <si>
    <t>Varig tilrettelagt arbeid</t>
  </si>
  <si>
    <t>Boligsosiale tilskudd og boligsosialt arbeid inn i rammetilskuddet</t>
  </si>
  <si>
    <t>Ny finansieringsmodell for helsenett</t>
  </si>
  <si>
    <t>Tilskudd til Sandnes sentrum</t>
  </si>
  <si>
    <t>Risikotillegg, energi</t>
  </si>
  <si>
    <t>Uløste innsparingskrav, energi</t>
  </si>
  <si>
    <t>Forskjøvet innsparing opphører, energi</t>
  </si>
  <si>
    <t>Avgiftøkning, energi</t>
  </si>
  <si>
    <t>Netto driftsresultat 3%</t>
  </si>
  <si>
    <t>ØL, linje 6</t>
  </si>
  <si>
    <t>ØL, linje 5</t>
  </si>
  <si>
    <t>Økninger utover demografi, skole, bhg, levekår</t>
  </si>
  <si>
    <t>Utbytte Lyse</t>
  </si>
  <si>
    <t>Forutsetninger</t>
  </si>
  <si>
    <r>
      <t>Andre inntekter</t>
    </r>
    <r>
      <rPr>
        <sz val="11"/>
        <color theme="1"/>
        <rFont val="Calibri"/>
        <family val="2"/>
        <scheme val="minor"/>
      </rPr>
      <t xml:space="preserve"> (2022-2030 anslag 21 prosent av skatt og rammetilskudd)</t>
    </r>
  </si>
  <si>
    <t>Økning i andre utgifter (2022-2030 anslag 22 prosent av økning i demografi + andre endringer)</t>
  </si>
  <si>
    <t>Overføring til investeringsregnskapet (3 prosent)</t>
  </si>
  <si>
    <t>Videreført ramme fra fjoråret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</si>
</sst>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\ %"/>
    <numFmt numFmtId="167" formatCode="#,##0.00_ ;\-#,##0.00\ "/>
    <numFmt numFmtId="168" formatCode="#,##0_ ;\-#,##0\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rgb="FF0062AB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1"/>
      <color rgb="FF0062AB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8"/>
      <color theme="0"/>
      <name val="Calibri"/>
      <family val="2"/>
      <scheme val="minor"/>
    </font>
    <font>
      <b/>
      <i/>
      <sz val="11"/>
      <color rgb="FF0062AB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1"/>
      <color rgb="FF0062AB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6"/>
      <name val="Arial"/>
      <family val="2"/>
    </font>
    <font>
      <b/>
      <sz val="14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62AB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2A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CC0E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0" fillId="0" borderId="0" xfId="1" applyNumberFormat="1" applyFont="1" applyAlignment="1">
      <alignment vertical="center"/>
    </xf>
    <xf numFmtId="166" fontId="0" fillId="0" borderId="0" xfId="2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0" fillId="0" borderId="0" xfId="0" applyFont="1" applyFill="1" applyBorder="1"/>
    <xf numFmtId="0" fontId="8" fillId="0" borderId="2" xfId="0" applyFont="1" applyFill="1" applyBorder="1"/>
    <xf numFmtId="165" fontId="8" fillId="0" borderId="2" xfId="1" applyNumberFormat="1" applyFont="1" applyFill="1" applyBorder="1"/>
    <xf numFmtId="165" fontId="0" fillId="0" borderId="0" xfId="0" applyNumberFormat="1" applyFont="1" applyFill="1" applyBorder="1"/>
    <xf numFmtId="49" fontId="8" fillId="0" borderId="2" xfId="0" applyNumberFormat="1" applyFont="1" applyFill="1" applyBorder="1"/>
    <xf numFmtId="165" fontId="0" fillId="0" borderId="0" xfId="1" applyNumberFormat="1" applyFont="1" applyFill="1" applyBorder="1"/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5" fontId="11" fillId="0" borderId="0" xfId="1" applyNumberFormat="1" applyFont="1" applyFill="1" applyBorder="1"/>
    <xf numFmtId="3" fontId="9" fillId="2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/>
    <xf numFmtId="165" fontId="0" fillId="0" borderId="0" xfId="0" applyNumberFormat="1"/>
    <xf numFmtId="0" fontId="0" fillId="0" borderId="2" xfId="0" applyBorder="1"/>
    <xf numFmtId="0" fontId="0" fillId="3" borderId="2" xfId="0" applyFill="1" applyBorder="1"/>
    <xf numFmtId="0" fontId="0" fillId="3" borderId="0" xfId="0" applyFill="1"/>
    <xf numFmtId="165" fontId="0" fillId="3" borderId="0" xfId="1" applyNumberFormat="1" applyFont="1" applyFill="1"/>
    <xf numFmtId="165" fontId="0" fillId="0" borderId="0" xfId="1" applyNumberFormat="1" applyFont="1"/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/>
    </xf>
    <xf numFmtId="165" fontId="1" fillId="4" borderId="0" xfId="1" applyNumberFormat="1" applyFont="1" applyFill="1" applyBorder="1" applyAlignment="1">
      <alignment vertical="center"/>
    </xf>
    <xf numFmtId="0" fontId="13" fillId="4" borderId="5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 wrapText="1"/>
    </xf>
    <xf numFmtId="0" fontId="17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167" fontId="4" fillId="6" borderId="4" xfId="1" applyNumberFormat="1" applyFont="1" applyFill="1" applyBorder="1" applyAlignment="1">
      <alignment vertical="center"/>
    </xf>
    <xf numFmtId="168" fontId="4" fillId="6" borderId="4" xfId="1" applyNumberFormat="1" applyFont="1" applyFill="1" applyBorder="1" applyAlignment="1">
      <alignment vertical="center"/>
    </xf>
    <xf numFmtId="0" fontId="18" fillId="4" borderId="5" xfId="0" applyFont="1" applyFill="1" applyBorder="1" applyAlignment="1">
      <alignment vertical="center"/>
    </xf>
    <xf numFmtId="0" fontId="18" fillId="4" borderId="5" xfId="0" applyFont="1" applyFill="1" applyBorder="1" applyAlignment="1">
      <alignment vertical="center" wrapText="1"/>
    </xf>
    <xf numFmtId="165" fontId="18" fillId="4" borderId="5" xfId="1" applyNumberFormat="1" applyFont="1" applyFill="1" applyBorder="1" applyAlignment="1">
      <alignment vertical="center"/>
    </xf>
    <xf numFmtId="165" fontId="6" fillId="4" borderId="5" xfId="1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165" fontId="5" fillId="5" borderId="0" xfId="1" applyNumberFormat="1" applyFont="1" applyFill="1" applyBorder="1" applyAlignment="1">
      <alignment vertical="center"/>
    </xf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vertical="center" wrapText="1"/>
    </xf>
    <xf numFmtId="165" fontId="18" fillId="4" borderId="0" xfId="1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5" fontId="13" fillId="4" borderId="0" xfId="0" applyNumberFormat="1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165" fontId="18" fillId="4" borderId="0" xfId="1" applyNumberFormat="1" applyFont="1" applyFill="1" applyBorder="1" applyAlignment="1">
      <alignment vertical="center"/>
    </xf>
    <xf numFmtId="0" fontId="26" fillId="4" borderId="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165" fontId="27" fillId="4" borderId="5" xfId="1" applyNumberFormat="1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 wrapText="1"/>
    </xf>
    <xf numFmtId="3" fontId="28" fillId="4" borderId="7" xfId="1" applyNumberFormat="1" applyFont="1" applyFill="1" applyBorder="1" applyAlignment="1">
      <alignment vertical="center" wrapText="1"/>
    </xf>
    <xf numFmtId="165" fontId="30" fillId="0" borderId="5" xfId="1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165" fontId="28" fillId="0" borderId="5" xfId="1" applyNumberFormat="1" applyFont="1" applyFill="1" applyBorder="1" applyAlignment="1">
      <alignment horizontal="right" vertical="center"/>
    </xf>
    <xf numFmtId="3" fontId="28" fillId="0" borderId="7" xfId="1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3" fontId="28" fillId="0" borderId="0" xfId="1" applyNumberFormat="1" applyFont="1" applyFill="1" applyBorder="1" applyAlignment="1">
      <alignment vertical="center" wrapText="1"/>
    </xf>
    <xf numFmtId="165" fontId="28" fillId="0" borderId="0" xfId="1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65" fontId="30" fillId="0" borderId="0" xfId="1" applyNumberFormat="1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center" vertical="center" wrapText="1"/>
    </xf>
    <xf numFmtId="165" fontId="32" fillId="5" borderId="0" xfId="1" applyNumberFormat="1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center" wrapText="1"/>
    </xf>
    <xf numFmtId="165" fontId="13" fillId="4" borderId="0" xfId="1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vertical="center" wrapText="1"/>
    </xf>
    <xf numFmtId="165" fontId="13" fillId="4" borderId="5" xfId="1" applyNumberFormat="1" applyFont="1" applyFill="1" applyBorder="1" applyAlignment="1">
      <alignment horizontal="center" vertical="center"/>
    </xf>
    <xf numFmtId="165" fontId="3" fillId="4" borderId="5" xfId="1" applyNumberFormat="1" applyFont="1" applyFill="1" applyBorder="1" applyAlignment="1">
      <alignment horizontal="center" vertical="center"/>
    </xf>
    <xf numFmtId="165" fontId="3" fillId="4" borderId="5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6" fillId="4" borderId="6" xfId="0" applyFont="1" applyFill="1" applyBorder="1" applyAlignment="1">
      <alignment vertical="center" wrapText="1"/>
    </xf>
    <xf numFmtId="165" fontId="34" fillId="5" borderId="0" xfId="1" applyNumberFormat="1" applyFont="1" applyFill="1" applyBorder="1" applyAlignment="1">
      <alignment vertical="center"/>
    </xf>
    <xf numFmtId="165" fontId="30" fillId="4" borderId="0" xfId="1" applyNumberFormat="1" applyFont="1" applyFill="1" applyBorder="1" applyAlignment="1">
      <alignment vertical="center"/>
    </xf>
    <xf numFmtId="165" fontId="35" fillId="4" borderId="5" xfId="1" applyNumberFormat="1" applyFont="1" applyFill="1" applyBorder="1" applyAlignment="1">
      <alignment vertical="center"/>
    </xf>
    <xf numFmtId="165" fontId="30" fillId="4" borderId="5" xfId="1" applyNumberFormat="1" applyFont="1" applyFill="1" applyBorder="1" applyAlignment="1">
      <alignment vertical="center"/>
    </xf>
    <xf numFmtId="0" fontId="30" fillId="0" borderId="7" xfId="0" applyFont="1" applyFill="1" applyBorder="1" applyAlignment="1">
      <alignment horizontal="left" vertical="center"/>
    </xf>
    <xf numFmtId="165" fontId="30" fillId="0" borderId="5" xfId="1" applyNumberFormat="1" applyFont="1" applyFill="1" applyBorder="1" applyAlignment="1">
      <alignment vertical="center"/>
    </xf>
    <xf numFmtId="0" fontId="29" fillId="0" borderId="6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29" fillId="4" borderId="6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/>
    </xf>
    <xf numFmtId="165" fontId="30" fillId="7" borderId="5" xfId="1" applyNumberFormat="1" applyFont="1" applyFill="1" applyBorder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vertical="center" wrapText="1"/>
    </xf>
    <xf numFmtId="165" fontId="13" fillId="0" borderId="5" xfId="1" applyNumberFormat="1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vertical="center" wrapText="1"/>
    </xf>
    <xf numFmtId="0" fontId="33" fillId="0" borderId="5" xfId="0" applyFont="1" applyFill="1" applyBorder="1" applyAlignment="1">
      <alignment vertical="center" wrapText="1"/>
    </xf>
    <xf numFmtId="165" fontId="35" fillId="0" borderId="5" xfId="1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 wrapText="1"/>
    </xf>
    <xf numFmtId="0" fontId="30" fillId="4" borderId="5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165" fontId="3" fillId="0" borderId="5" xfId="1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vertical="center" wrapText="1"/>
    </xf>
    <xf numFmtId="165" fontId="28" fillId="0" borderId="5" xfId="1" applyNumberFormat="1" applyFont="1" applyFill="1" applyBorder="1" applyAlignment="1">
      <alignment vertical="center"/>
    </xf>
    <xf numFmtId="165" fontId="30" fillId="0" borderId="6" xfId="1" applyNumberFormat="1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 wrapText="1"/>
    </xf>
    <xf numFmtId="165" fontId="32" fillId="5" borderId="0" xfId="1" applyNumberFormat="1" applyFont="1" applyFill="1" applyAlignment="1">
      <alignment vertical="center"/>
    </xf>
    <xf numFmtId="165" fontId="34" fillId="5" borderId="0" xfId="1" applyNumberFormat="1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1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/>
    </xf>
    <xf numFmtId="165" fontId="1" fillId="4" borderId="0" xfId="1" applyNumberFormat="1" applyFont="1" applyFill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 wrapText="1"/>
    </xf>
    <xf numFmtId="165" fontId="1" fillId="4" borderId="3" xfId="1" applyNumberFormat="1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 wrapText="1"/>
    </xf>
    <xf numFmtId="165" fontId="1" fillId="4" borderId="5" xfId="1" applyNumberFormat="1" applyFont="1" applyFill="1" applyBorder="1" applyAlignment="1">
      <alignment vertical="center"/>
    </xf>
    <xf numFmtId="165" fontId="4" fillId="4" borderId="0" xfId="1" applyNumberFormat="1" applyFont="1" applyFill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165" fontId="1" fillId="4" borderId="6" xfId="1" applyNumberFormat="1" applyFont="1" applyFill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6" borderId="4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165" fontId="1" fillId="4" borderId="0" xfId="0" applyNumberFormat="1" applyFont="1" applyFill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165" fontId="1" fillId="4" borderId="5" xfId="1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165" fontId="37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vertical="center"/>
    </xf>
    <xf numFmtId="165" fontId="38" fillId="0" borderId="0" xfId="1" applyNumberFormat="1" applyFont="1" applyFill="1" applyAlignment="1">
      <alignment vertical="center"/>
    </xf>
    <xf numFmtId="165" fontId="1" fillId="0" borderId="5" xfId="1" applyNumberFormat="1" applyFont="1" applyFill="1" applyBorder="1" applyAlignment="1">
      <alignment horizontal="right" vertical="center"/>
    </xf>
    <xf numFmtId="165" fontId="1" fillId="0" borderId="0" xfId="1" applyNumberFormat="1" applyFont="1" applyAlignment="1">
      <alignment vertical="center"/>
    </xf>
    <xf numFmtId="165" fontId="1" fillId="0" borderId="0" xfId="1" applyNumberFormat="1" applyFont="1" applyFill="1" applyAlignment="1">
      <alignment vertical="center"/>
    </xf>
    <xf numFmtId="165" fontId="38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1" fillId="4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165" fontId="31" fillId="0" borderId="5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0" fontId="13" fillId="8" borderId="2" xfId="0" applyFont="1" applyFill="1" applyBorder="1" applyAlignment="1">
      <alignment vertical="center"/>
    </xf>
    <xf numFmtId="0" fontId="20" fillId="8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5" fontId="1" fillId="0" borderId="5" xfId="1" applyNumberFormat="1" applyFont="1" applyFill="1" applyBorder="1" applyAlignment="1">
      <alignment horizontal="center" vertical="center"/>
    </xf>
    <xf numFmtId="165" fontId="1" fillId="0" borderId="5" xfId="1" applyNumberFormat="1" applyFont="1" applyFill="1" applyBorder="1" applyAlignment="1">
      <alignment vertical="center"/>
    </xf>
    <xf numFmtId="165" fontId="13" fillId="0" borderId="5" xfId="1" applyNumberFormat="1" applyFont="1" applyFill="1" applyBorder="1" applyAlignment="1">
      <alignment horizontal="right" vertical="center"/>
    </xf>
    <xf numFmtId="0" fontId="1" fillId="8" borderId="2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2" xfId="1" applyNumberFormat="1" applyFont="1" applyBorder="1" applyAlignment="1">
      <alignment vertical="center"/>
    </xf>
    <xf numFmtId="0" fontId="28" fillId="0" borderId="7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6" fillId="0" borderId="2" xfId="0" applyFont="1" applyFill="1" applyBorder="1" applyAlignment="1">
      <alignment vertical="center"/>
    </xf>
    <xf numFmtId="165" fontId="1" fillId="0" borderId="0" xfId="0" applyNumberFormat="1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165" fontId="1" fillId="7" borderId="5" xfId="1" applyNumberFormat="1" applyFont="1" applyFill="1" applyBorder="1" applyAlignment="1">
      <alignment vertical="center"/>
    </xf>
    <xf numFmtId="165" fontId="1" fillId="8" borderId="2" xfId="0" applyNumberFormat="1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165" fontId="1" fillId="0" borderId="6" xfId="1" applyNumberFormat="1" applyFont="1" applyFill="1" applyBorder="1" applyAlignment="1">
      <alignment horizontal="center" vertical="center"/>
    </xf>
    <xf numFmtId="0" fontId="1" fillId="0" borderId="0" xfId="0" applyFont="1"/>
    <xf numFmtId="0" fontId="1" fillId="8" borderId="0" xfId="0" applyFont="1" applyFill="1" applyAlignment="1">
      <alignment vertical="center"/>
    </xf>
    <xf numFmtId="0" fontId="1" fillId="8" borderId="0" xfId="0" applyFont="1" applyFill="1"/>
    <xf numFmtId="0" fontId="1" fillId="0" borderId="0" xfId="0" applyFont="1" applyBorder="1"/>
    <xf numFmtId="0" fontId="13" fillId="0" borderId="0" xfId="0" applyFont="1"/>
    <xf numFmtId="3" fontId="0" fillId="0" borderId="0" xfId="0" applyNumberFormat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168" fontId="30" fillId="0" borderId="0" xfId="0" applyNumberFormat="1" applyFont="1" applyFill="1" applyAlignment="1">
      <alignment vertical="center"/>
    </xf>
    <xf numFmtId="1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14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0" fillId="0" borderId="0" xfId="0" applyFill="1" applyAlignment="1">
      <alignment vertical="center" wrapText="1"/>
    </xf>
    <xf numFmtId="165" fontId="0" fillId="0" borderId="0" xfId="1" applyNumberFormat="1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165" fontId="0" fillId="9" borderId="0" xfId="1" applyNumberFormat="1" applyFont="1" applyFill="1" applyAlignment="1">
      <alignment vertical="center"/>
    </xf>
    <xf numFmtId="165" fontId="4" fillId="9" borderId="0" xfId="0" applyNumberFormat="1" applyFont="1" applyFill="1" applyAlignment="1">
      <alignment vertical="center"/>
    </xf>
    <xf numFmtId="165" fontId="0" fillId="9" borderId="0" xfId="0" applyNumberFormat="1" applyFont="1" applyFill="1" applyAlignment="1">
      <alignment vertical="center"/>
    </xf>
    <xf numFmtId="166" fontId="0" fillId="9" borderId="0" xfId="2" applyNumberFormat="1" applyFont="1" applyFill="1" applyAlignment="1">
      <alignment vertical="center"/>
    </xf>
    <xf numFmtId="164" fontId="0" fillId="9" borderId="0" xfId="1" applyNumberFormat="1" applyFont="1" applyFill="1" applyAlignment="1">
      <alignment vertical="center"/>
    </xf>
    <xf numFmtId="165" fontId="0" fillId="9" borderId="0" xfId="0" applyNumberFormat="1" applyFill="1" applyAlignment="1">
      <alignment vertical="center" wrapText="1"/>
    </xf>
    <xf numFmtId="9" fontId="0" fillId="9" borderId="0" xfId="2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3" fillId="0" borderId="0" xfId="0" applyFont="1"/>
    <xf numFmtId="165" fontId="3" fillId="0" borderId="0" xfId="1" applyNumberFormat="1" applyFont="1"/>
    <xf numFmtId="0" fontId="4" fillId="0" borderId="0" xfId="0" applyFont="1"/>
    <xf numFmtId="165" fontId="4" fillId="0" borderId="0" xfId="1" applyNumberFormat="1" applyFont="1"/>
    <xf numFmtId="165" fontId="1" fillId="0" borderId="0" xfId="1" applyNumberFormat="1" applyFont="1"/>
    <xf numFmtId="165" fontId="3" fillId="0" borderId="0" xfId="0" applyNumberFormat="1" applyFont="1"/>
    <xf numFmtId="0" fontId="3" fillId="0" borderId="2" xfId="0" applyFont="1" applyBorder="1"/>
    <xf numFmtId="10" fontId="0" fillId="0" borderId="2" xfId="2" applyNumberFormat="1" applyFont="1" applyBorder="1"/>
    <xf numFmtId="165" fontId="0" fillId="0" borderId="2" xfId="1" applyNumberFormat="1" applyFont="1" applyBorder="1"/>
    <xf numFmtId="165" fontId="3" fillId="0" borderId="2" xfId="1" applyNumberFormat="1" applyFont="1" applyBorder="1"/>
    <xf numFmtId="0" fontId="0" fillId="0" borderId="0" xfId="0" applyFont="1" applyFill="1" applyAlignment="1">
      <alignment vertical="center"/>
    </xf>
    <xf numFmtId="165" fontId="41" fillId="0" borderId="5" xfId="1" applyNumberFormat="1" applyFont="1" applyFill="1" applyBorder="1" applyAlignment="1">
      <alignment horizontal="right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left" vertical="center" wrapText="1"/>
    </xf>
    <xf numFmtId="165" fontId="4" fillId="0" borderId="3" xfId="1" applyNumberFormat="1" applyFont="1" applyFill="1" applyBorder="1" applyAlignment="1">
      <alignment vertical="center"/>
    </xf>
    <xf numFmtId="0" fontId="3" fillId="11" borderId="4" xfId="0" applyFont="1" applyFill="1" applyBorder="1" applyAlignment="1">
      <alignment vertical="center"/>
    </xf>
    <xf numFmtId="0" fontId="3" fillId="11" borderId="4" xfId="0" applyFont="1" applyFill="1" applyBorder="1" applyAlignment="1">
      <alignment vertical="center" wrapText="1"/>
    </xf>
    <xf numFmtId="0" fontId="16" fillId="11" borderId="4" xfId="0" applyFont="1" applyFill="1" applyBorder="1" applyAlignment="1">
      <alignment vertical="center"/>
    </xf>
    <xf numFmtId="165" fontId="3" fillId="11" borderId="4" xfId="1" applyNumberFormat="1" applyFont="1" applyFill="1" applyBorder="1" applyAlignment="1">
      <alignment vertical="center"/>
    </xf>
    <xf numFmtId="0" fontId="1" fillId="6" borderId="4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vertical="center"/>
    </xf>
    <xf numFmtId="165" fontId="1" fillId="6" borderId="4" xfId="1" applyNumberFormat="1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1" fillId="6" borderId="0" xfId="0" applyFont="1" applyFill="1" applyAlignment="1">
      <alignment vertical="center" wrapText="1"/>
    </xf>
    <xf numFmtId="0" fontId="18" fillId="6" borderId="0" xfId="0" applyFont="1" applyFill="1" applyAlignment="1">
      <alignment vertical="center" wrapText="1"/>
    </xf>
    <xf numFmtId="0" fontId="13" fillId="6" borderId="0" xfId="0" applyFont="1" applyFill="1" applyAlignment="1">
      <alignment vertical="center"/>
    </xf>
    <xf numFmtId="165" fontId="18" fillId="6" borderId="0" xfId="1" applyNumberFormat="1" applyFont="1" applyFill="1" applyAlignment="1">
      <alignment vertical="center"/>
    </xf>
    <xf numFmtId="165" fontId="21" fillId="6" borderId="0" xfId="1" applyNumberFormat="1" applyFont="1" applyFill="1" applyAlignment="1">
      <alignment vertical="center"/>
    </xf>
    <xf numFmtId="0" fontId="22" fillId="6" borderId="0" xfId="0" applyFont="1" applyFill="1" applyAlignment="1">
      <alignment vertical="center"/>
    </xf>
    <xf numFmtId="0" fontId="4" fillId="6" borderId="0" xfId="0" applyFont="1" applyFill="1" applyAlignment="1">
      <alignment vertical="center" wrapText="1"/>
    </xf>
    <xf numFmtId="0" fontId="23" fillId="6" borderId="0" xfId="0" applyFont="1" applyFill="1" applyAlignment="1">
      <alignment vertical="center" wrapText="1"/>
    </xf>
    <xf numFmtId="0" fontId="17" fillId="6" borderId="0" xfId="0" applyFont="1" applyFill="1" applyAlignment="1">
      <alignment vertical="center"/>
    </xf>
    <xf numFmtId="165" fontId="22" fillId="6" borderId="0" xfId="1" applyNumberFormat="1" applyFont="1" applyFill="1" applyAlignment="1">
      <alignment vertical="center"/>
    </xf>
    <xf numFmtId="0" fontId="24" fillId="6" borderId="0" xfId="0" applyFont="1" applyFill="1" applyAlignment="1">
      <alignment vertical="center"/>
    </xf>
    <xf numFmtId="165" fontId="24" fillId="6" borderId="0" xfId="1" applyNumberFormat="1" applyFont="1" applyFill="1" applyAlignment="1">
      <alignment vertical="center"/>
    </xf>
    <xf numFmtId="165" fontId="21" fillId="11" borderId="0" xfId="1" applyNumberFormat="1" applyFont="1" applyFill="1" applyAlignment="1">
      <alignment vertical="center"/>
    </xf>
    <xf numFmtId="165" fontId="28" fillId="11" borderId="5" xfId="1" applyNumberFormat="1" applyFont="1" applyFill="1" applyBorder="1" applyAlignment="1">
      <alignment horizontal="right" vertical="center"/>
    </xf>
    <xf numFmtId="0" fontId="13" fillId="6" borderId="5" xfId="0" applyFont="1" applyFill="1" applyBorder="1" applyAlignment="1">
      <alignment horizontal="center" vertical="center" wrapText="1"/>
    </xf>
    <xf numFmtId="3" fontId="28" fillId="6" borderId="7" xfId="1" applyNumberFormat="1" applyFont="1" applyFill="1" applyBorder="1" applyAlignment="1">
      <alignment vertical="center" wrapText="1"/>
    </xf>
    <xf numFmtId="0" fontId="13" fillId="6" borderId="5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165" fontId="1" fillId="6" borderId="5" xfId="1" applyNumberFormat="1" applyFont="1" applyFill="1" applyBorder="1" applyAlignment="1">
      <alignment horizontal="right" vertical="center"/>
    </xf>
    <xf numFmtId="165" fontId="30" fillId="6" borderId="5" xfId="1" applyNumberFormat="1" applyFont="1" applyFill="1" applyBorder="1" applyAlignment="1">
      <alignment horizontal="right" vertical="center"/>
    </xf>
    <xf numFmtId="165" fontId="28" fillId="6" borderId="5" xfId="1" applyNumberFormat="1" applyFont="1" applyFill="1" applyBorder="1" applyAlignment="1">
      <alignment horizontal="right" vertical="center"/>
    </xf>
    <xf numFmtId="165" fontId="28" fillId="0" borderId="0" xfId="1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165" fontId="30" fillId="11" borderId="5" xfId="1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42" fillId="14" borderId="0" xfId="0" applyFont="1" applyFill="1" applyBorder="1" applyAlignment="1">
      <alignment horizontal="left" vertical="center" wrapText="1"/>
    </xf>
    <xf numFmtId="0" fontId="5" fillId="14" borderId="0" xfId="0" applyFont="1" applyFill="1" applyBorder="1" applyAlignment="1">
      <alignment horizontal="center" vertical="center" wrapText="1"/>
    </xf>
    <xf numFmtId="0" fontId="3" fillId="0" borderId="10" xfId="0" applyFont="1" applyBorder="1"/>
    <xf numFmtId="165" fontId="0" fillId="0" borderId="10" xfId="1" applyNumberFormat="1" applyFont="1" applyBorder="1"/>
    <xf numFmtId="0" fontId="0" fillId="0" borderId="10" xfId="0" applyBorder="1"/>
    <xf numFmtId="165" fontId="3" fillId="0" borderId="10" xfId="1" applyNumberFormat="1" applyFont="1" applyBorder="1"/>
    <xf numFmtId="0" fontId="0" fillId="0" borderId="10" xfId="0" applyBorder="1" applyAlignment="1">
      <alignment wrapText="1"/>
    </xf>
    <xf numFmtId="0" fontId="0" fillId="0" borderId="10" xfId="0" applyFont="1" applyBorder="1"/>
    <xf numFmtId="165" fontId="3" fillId="0" borderId="10" xfId="0" applyNumberFormat="1" applyFont="1" applyBorder="1"/>
    <xf numFmtId="165" fontId="3" fillId="0" borderId="10" xfId="1" applyNumberFormat="1" applyFont="1" applyFill="1" applyBorder="1"/>
    <xf numFmtId="0" fontId="4" fillId="0" borderId="10" xfId="0" applyFont="1" applyBorder="1"/>
    <xf numFmtId="165" fontId="4" fillId="0" borderId="10" xfId="1" applyNumberFormat="1" applyFont="1" applyBorder="1"/>
    <xf numFmtId="0" fontId="3" fillId="11" borderId="10" xfId="0" applyFont="1" applyFill="1" applyBorder="1"/>
    <xf numFmtId="165" fontId="3" fillId="11" borderId="10" xfId="1" applyNumberFormat="1" applyFont="1" applyFill="1" applyBorder="1"/>
    <xf numFmtId="166" fontId="3" fillId="11" borderId="10" xfId="2" applyNumberFormat="1" applyFont="1" applyFill="1" applyBorder="1"/>
    <xf numFmtId="165" fontId="0" fillId="12" borderId="10" xfId="1" applyNumberFormat="1" applyFont="1" applyFill="1" applyBorder="1"/>
    <xf numFmtId="165" fontId="3" fillId="12" borderId="10" xfId="1" applyNumberFormat="1" applyFont="1" applyFill="1" applyBorder="1"/>
    <xf numFmtId="165" fontId="3" fillId="12" borderId="10" xfId="0" applyNumberFormat="1" applyFont="1" applyFill="1" applyBorder="1"/>
    <xf numFmtId="165" fontId="4" fillId="12" borderId="10" xfId="1" applyNumberFormat="1" applyFont="1" applyFill="1" applyBorder="1"/>
    <xf numFmtId="165" fontId="0" fillId="15" borderId="10" xfId="1" applyNumberFormat="1" applyFont="1" applyFill="1" applyBorder="1"/>
    <xf numFmtId="165" fontId="3" fillId="15" borderId="10" xfId="1" applyNumberFormat="1" applyFont="1" applyFill="1" applyBorder="1"/>
    <xf numFmtId="166" fontId="0" fillId="15" borderId="10" xfId="2" applyNumberFormat="1" applyFont="1" applyFill="1" applyBorder="1"/>
    <xf numFmtId="165" fontId="3" fillId="15" borderId="10" xfId="0" applyNumberFormat="1" applyFont="1" applyFill="1" applyBorder="1"/>
    <xf numFmtId="165" fontId="4" fillId="15" borderId="10" xfId="1" applyNumberFormat="1" applyFont="1" applyFill="1" applyBorder="1"/>
    <xf numFmtId="165" fontId="4" fillId="0" borderId="10" xfId="1" applyNumberFormat="1" applyFont="1" applyFill="1" applyBorder="1"/>
    <xf numFmtId="165" fontId="0" fillId="0" borderId="10" xfId="1" applyNumberFormat="1" applyFont="1" applyFill="1" applyBorder="1"/>
    <xf numFmtId="3" fontId="3" fillId="0" borderId="0" xfId="0" applyNumberFormat="1" applyFont="1" applyAlignment="1">
      <alignment vertical="center" wrapText="1"/>
    </xf>
    <xf numFmtId="0" fontId="5" fillId="13" borderId="1" xfId="0" applyFont="1" applyFill="1" applyBorder="1" applyAlignment="1">
      <alignment horizontal="center" vertical="center"/>
    </xf>
    <xf numFmtId="10" fontId="0" fillId="9" borderId="0" xfId="2" applyNumberFormat="1" applyFont="1" applyFill="1" applyAlignment="1">
      <alignment vertical="center"/>
    </xf>
    <xf numFmtId="10" fontId="0" fillId="0" borderId="0" xfId="2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165" fontId="21" fillId="9" borderId="0" xfId="1" applyNumberFormat="1" applyFont="1" applyFill="1" applyAlignment="1">
      <alignment vertical="center"/>
    </xf>
    <xf numFmtId="165" fontId="21" fillId="0" borderId="0" xfId="1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Komma" xfId="1" builtinId="3"/>
    <cellStyle name="Komma 2" xfId="4"/>
    <cellStyle name="Normal" xfId="0" builtinId="0"/>
    <cellStyle name="Normal 2" xfId="3"/>
    <cellStyle name="Prosent" xfId="2" builtinId="5"/>
    <cellStyle name="Prosent 2" xfId="5"/>
  </cellStyles>
  <dxfs count="1"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'Øk oversikt 2017-2030'!$A$52</c:f>
              <c:strCache>
                <c:ptCount val="1"/>
                <c:pt idx="0">
                  <c:v>Sum drifts- og finansinntekter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'Øk oversikt 2017-2030'!$B$1:$O$1</c:f>
              <c:strCache>
                <c:ptCount val="14"/>
                <c:pt idx="0">
                  <c:v>Opprinnelig budsjett 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strCache>
            </c:strRef>
          </c:cat>
          <c:val>
            <c:numRef>
              <c:f>'Øk oversikt 2017-2030'!$B$52:$O$52</c:f>
              <c:numCache>
                <c:formatCode>_ * #\ ##0_ ;_ * \-#\ ##0_ ;_ * "-"??_ ;_ @_ </c:formatCode>
                <c:ptCount val="14"/>
                <c:pt idx="0">
                  <c:v>5270473</c:v>
                </c:pt>
                <c:pt idx="1">
                  <c:v>5469050</c:v>
                </c:pt>
                <c:pt idx="2">
                  <c:v>5605544</c:v>
                </c:pt>
                <c:pt idx="3">
                  <c:v>5778362</c:v>
                </c:pt>
                <c:pt idx="4">
                  <c:v>5877775</c:v>
                </c:pt>
                <c:pt idx="5">
                  <c:v>5996092.7896624468</c:v>
                </c:pt>
                <c:pt idx="6">
                  <c:v>6086240.1656751055</c:v>
                </c:pt>
                <c:pt idx="7">
                  <c:v>6174676.2655696208</c:v>
                </c:pt>
                <c:pt idx="8">
                  <c:v>6261341.0893459916</c:v>
                </c:pt>
                <c:pt idx="9">
                  <c:v>6349972.10535865</c:v>
                </c:pt>
                <c:pt idx="10">
                  <c:v>6436711.8452531639</c:v>
                </c:pt>
                <c:pt idx="11">
                  <c:v>6510107.9039662443</c:v>
                </c:pt>
                <c:pt idx="12">
                  <c:v>6591619.268839662</c:v>
                </c:pt>
                <c:pt idx="13">
                  <c:v>6674856.8259493671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'Øk oversikt 2017-2030'!$A$53</c:f>
              <c:strCache>
                <c:ptCount val="1"/>
                <c:pt idx="0">
                  <c:v>Sum drifts- og finansutgifter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'Øk oversikt 2017-2030'!$B$1:$O$1</c:f>
              <c:strCache>
                <c:ptCount val="14"/>
                <c:pt idx="0">
                  <c:v>Opprinnelig budsjett 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strCache>
            </c:strRef>
          </c:cat>
          <c:val>
            <c:numRef>
              <c:f>'Øk oversikt 2017-2030'!$B$53:$O$53</c:f>
              <c:numCache>
                <c:formatCode>_ * #\ ##0_ ;_ * \-#\ ##0_ ;_ * "-"??_ ;_ @_ </c:formatCode>
                <c:ptCount val="14"/>
                <c:pt idx="0">
                  <c:v>5270473</c:v>
                </c:pt>
                <c:pt idx="1">
                  <c:v>5469050</c:v>
                </c:pt>
                <c:pt idx="2">
                  <c:v>5605544</c:v>
                </c:pt>
                <c:pt idx="3">
                  <c:v>5778362</c:v>
                </c:pt>
                <c:pt idx="4">
                  <c:v>5877775</c:v>
                </c:pt>
                <c:pt idx="5">
                  <c:v>6094838.241845048</c:v>
                </c:pt>
                <c:pt idx="6">
                  <c:v>6224864.9596903166</c:v>
                </c:pt>
                <c:pt idx="7">
                  <c:v>6352442.208799826</c:v>
                </c:pt>
                <c:pt idx="8">
                  <c:v>6470468.5643459884</c:v>
                </c:pt>
                <c:pt idx="9">
                  <c:v>6598503.8962419061</c:v>
                </c:pt>
                <c:pt idx="10">
                  <c:v>6711501.6100902641</c:v>
                </c:pt>
                <c:pt idx="11">
                  <c:v>6829442.4516512584</c:v>
                </c:pt>
                <c:pt idx="12">
                  <c:v>6951409.6177892527</c:v>
                </c:pt>
                <c:pt idx="13">
                  <c:v>7071082.4310688544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412624"/>
        <c:axId val="247413016"/>
      </c:lineChart>
      <c:catAx>
        <c:axId val="24741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7413016"/>
        <c:crosses val="autoZero"/>
        <c:auto val="1"/>
        <c:lblAlgn val="ctr"/>
        <c:lblOffset val="100"/>
        <c:noMultiLvlLbl val="0"/>
      </c:catAx>
      <c:valAx>
        <c:axId val="247413016"/>
        <c:scaling>
          <c:orientation val="minMax"/>
          <c:max val="7100000"/>
          <c:min val="5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74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54</xdr:row>
      <xdr:rowOff>178593</xdr:rowOff>
    </xdr:from>
    <xdr:to>
      <xdr:col>14</xdr:col>
      <xdr:colOff>762000</xdr:colOff>
      <xdr:row>83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sjett%20og%20analyse/Guri/&#216;konomiplan%202018-2021/Driftskostnader%20for%20nye%20bygg%20-%20tiltaksliste%202018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cbak\Desktop\Kopi%20av%20Driftskostnader%20for%20nye%20bygg%20-%20tiltaksliste%202018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sjett%20og%20analyse/&#216;konomiplan/&#216;konomiplan%202018-2021/Skatt%20og%20rammetilskudd/Prognosemodell%20(Prok1702)%202017-2030%20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iltaksliste%202018-2021%20EN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marbeid.sandnes.kommune.no/rom/204/Lists/dokumenter/Driftstiltak%202018-2021/Tiltaksliste%202018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eldende"/>
      <sheetName val="Ark2"/>
      <sheetName val="Div"/>
    </sheetNames>
    <sheetDataSet>
      <sheetData sheetId="0"/>
      <sheetData sheetId="1"/>
      <sheetData sheetId="2">
        <row r="3">
          <cell r="D3" t="str">
            <v>INTERNHUSLEIE</v>
          </cell>
        </row>
        <row r="4">
          <cell r="D4" t="str">
            <v>RENHOLD</v>
          </cell>
        </row>
        <row r="5">
          <cell r="D5" t="str">
            <v>ENERGI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husleie"/>
      <sheetName val="Ark2"/>
      <sheetName val="Div"/>
    </sheetNames>
    <sheetDataSet>
      <sheetData sheetId="0"/>
      <sheetData sheetId="1"/>
      <sheetData sheetId="2">
        <row r="3">
          <cell r="D3" t="str">
            <v>INTERNHUSLEIE</v>
          </cell>
        </row>
        <row r="4">
          <cell r="D4" t="str">
            <v>RENHOLD</v>
          </cell>
        </row>
        <row r="5">
          <cell r="D5" t="str">
            <v>ENERGI</v>
          </cell>
        </row>
        <row r="6">
          <cell r="D6" t="str">
            <v>KPI-justering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gang"/>
      <sheetName val="Forutsetninger"/>
      <sheetName val="Gdata"/>
      <sheetName val="Rskudd"/>
      <sheetName val="Inntektsutj"/>
      <sheetName val="Distriktogvekst"/>
      <sheetName val="Ingar"/>
      <sheetName val="Bregn"/>
      <sheetName val="Analyse"/>
      <sheetName val="innut17"/>
      <sheetName val="R12"/>
      <sheetName val="R13"/>
      <sheetName val="R14"/>
      <sheetName val="R15"/>
      <sheetName val="R16"/>
      <sheetName val="R17"/>
      <sheetName val="R18"/>
      <sheetName val="Ut12"/>
      <sheetName val="Ut13"/>
      <sheetName val="Ut14"/>
      <sheetName val="Ut15"/>
      <sheetName val="Ut16"/>
      <sheetName val="Ut17"/>
      <sheetName val="Ut18"/>
      <sheetName val="Ut19"/>
      <sheetName val="Ut20"/>
      <sheetName val="Ut21"/>
      <sheetName val="K0kommunestruktur2016"/>
      <sheetName val="K0kommunestruktur2017"/>
      <sheetName val="K1"/>
      <sheetName val="K12"/>
      <sheetName val="K13"/>
      <sheetName val="K14"/>
      <sheetName val="K15"/>
      <sheetName val="Ut17-21"/>
      <sheetName val="Ut 22-30"/>
      <sheetName val="K16"/>
      <sheetName val="K16 ny kommune"/>
      <sheetName val="K17"/>
      <sheetName val="komprpeldre"/>
      <sheetName val="Folke landet"/>
      <sheetName val="Bef.fremskrivning kommunenivå"/>
      <sheetName val="Diagram1"/>
      <sheetName val="Diagram2"/>
      <sheetName val="Diagram3"/>
    </sheetNames>
    <sheetDataSet>
      <sheetData sheetId="0"/>
      <sheetData sheetId="1"/>
      <sheetData sheetId="2">
        <row r="33">
          <cell r="L33">
            <v>0.53671897999999996</v>
          </cell>
        </row>
      </sheetData>
      <sheetData sheetId="3">
        <row r="26">
          <cell r="AC26" t="str">
            <v>2012-2013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eldende"/>
      <sheetName val="Til nett før statsbud"/>
      <sheetName val="Digitaliseringstiltak"/>
      <sheetName val="Ark1"/>
      <sheetName val="Internhusleie"/>
      <sheetName val="Int.husl før saldering"/>
      <sheetName val="Ark2"/>
      <sheetName val="Div"/>
      <sheetName val="Endelig før statsbudsjettet"/>
      <sheetName val="Etter RLG 19.09.2017"/>
      <sheetName val="Før RLG 19.09.2017"/>
      <sheetName val="Før RLG 12.09.2017"/>
      <sheetName val="Etter RLG 29.08.2017"/>
      <sheetName val="Før RLG 29.08.2017"/>
      <sheetName val="Før RLG 20.06.2017"/>
      <sheetName val="Etter RLG 20.06.2017"/>
      <sheetName val="Kopi 28.09.17"/>
    </sheetNames>
    <sheetDataSet>
      <sheetData sheetId="0"/>
      <sheetData sheetId="1"/>
      <sheetData sheetId="2"/>
      <sheetData sheetId="3"/>
      <sheetData sheetId="4">
        <row r="37">
          <cell r="K37">
            <v>-117426</v>
          </cell>
          <cell r="L37">
            <v>-139302</v>
          </cell>
          <cell r="M37">
            <v>-149465</v>
          </cell>
          <cell r="N37">
            <v>-159052</v>
          </cell>
        </row>
        <row r="38">
          <cell r="K38">
            <v>-123759</v>
          </cell>
          <cell r="L38">
            <v>-148094</v>
          </cell>
          <cell r="M38">
            <v>-160547</v>
          </cell>
          <cell r="N38">
            <v>-169467</v>
          </cell>
        </row>
        <row r="39">
          <cell r="K39">
            <v>-4927</v>
          </cell>
          <cell r="L39">
            <v>-6100</v>
          </cell>
          <cell r="M39">
            <v>-7192</v>
          </cell>
          <cell r="N39">
            <v>-6974</v>
          </cell>
        </row>
        <row r="40">
          <cell r="K40">
            <v>-11569</v>
          </cell>
          <cell r="L40">
            <v>-11728</v>
          </cell>
          <cell r="M40">
            <v>-11728</v>
          </cell>
          <cell r="N40">
            <v>-11728</v>
          </cell>
        </row>
        <row r="81">
          <cell r="K81">
            <v>2042</v>
          </cell>
          <cell r="L81">
            <v>21779</v>
          </cell>
          <cell r="M81">
            <v>30219</v>
          </cell>
          <cell r="N81">
            <v>30219</v>
          </cell>
        </row>
        <row r="82">
          <cell r="K82">
            <v>0</v>
          </cell>
          <cell r="L82">
            <v>0</v>
          </cell>
          <cell r="M82">
            <v>12353</v>
          </cell>
          <cell r="N82">
            <v>27215</v>
          </cell>
        </row>
        <row r="96">
          <cell r="K96">
            <v>3559</v>
          </cell>
          <cell r="L96">
            <v>3559</v>
          </cell>
          <cell r="M96">
            <v>3559</v>
          </cell>
          <cell r="N96">
            <v>3559</v>
          </cell>
        </row>
        <row r="105">
          <cell r="K105">
            <v>1088</v>
          </cell>
          <cell r="L105">
            <v>2174</v>
          </cell>
          <cell r="M105">
            <v>2174</v>
          </cell>
          <cell r="N105">
            <v>2174</v>
          </cell>
        </row>
        <row r="119">
          <cell r="K119">
            <v>107</v>
          </cell>
          <cell r="L119">
            <v>692</v>
          </cell>
          <cell r="M119">
            <v>1879</v>
          </cell>
          <cell r="N119">
            <v>2482</v>
          </cell>
        </row>
        <row r="143">
          <cell r="K143">
            <v>3474</v>
          </cell>
          <cell r="L143">
            <v>5959</v>
          </cell>
          <cell r="M143">
            <v>5959</v>
          </cell>
          <cell r="N143">
            <v>7752</v>
          </cell>
        </row>
        <row r="144">
          <cell r="K144">
            <v>0</v>
          </cell>
          <cell r="L144">
            <v>0</v>
          </cell>
          <cell r="M144">
            <v>0</v>
          </cell>
          <cell r="N144">
            <v>2176</v>
          </cell>
        </row>
        <row r="153">
          <cell r="K153">
            <v>2434</v>
          </cell>
          <cell r="L153">
            <v>4093</v>
          </cell>
          <cell r="M153">
            <v>4467</v>
          </cell>
          <cell r="N153">
            <v>4467</v>
          </cell>
        </row>
        <row r="154">
          <cell r="K154">
            <v>280</v>
          </cell>
          <cell r="L154">
            <v>280</v>
          </cell>
          <cell r="M154">
            <v>280</v>
          </cell>
          <cell r="N154">
            <v>280</v>
          </cell>
        </row>
        <row r="176">
          <cell r="K176">
            <v>3654</v>
          </cell>
          <cell r="L176">
            <v>7466</v>
          </cell>
          <cell r="M176">
            <v>11523</v>
          </cell>
          <cell r="N176">
            <v>13806</v>
          </cell>
        </row>
        <row r="177">
          <cell r="K177">
            <v>0</v>
          </cell>
          <cell r="L177">
            <v>0</v>
          </cell>
          <cell r="M177">
            <v>0</v>
          </cell>
          <cell r="N177">
            <v>1789</v>
          </cell>
        </row>
        <row r="193">
          <cell r="K193">
            <v>0</v>
          </cell>
          <cell r="L193">
            <v>0</v>
          </cell>
          <cell r="M193">
            <v>87</v>
          </cell>
          <cell r="N193">
            <v>87</v>
          </cell>
        </row>
        <row r="194">
          <cell r="K194">
            <v>396</v>
          </cell>
          <cell r="L194">
            <v>467</v>
          </cell>
          <cell r="M194">
            <v>467</v>
          </cell>
          <cell r="N194">
            <v>467</v>
          </cell>
        </row>
        <row r="206">
          <cell r="K206">
            <v>636</v>
          </cell>
          <cell r="L206">
            <v>8438</v>
          </cell>
          <cell r="M206">
            <v>15084</v>
          </cell>
          <cell r="N206">
            <v>17828</v>
          </cell>
        </row>
        <row r="225">
          <cell r="K225">
            <v>7411</v>
          </cell>
          <cell r="L225">
            <v>24877</v>
          </cell>
          <cell r="M225">
            <v>24877</v>
          </cell>
          <cell r="N225">
            <v>24877</v>
          </cell>
        </row>
        <row r="226">
          <cell r="M226">
            <v>3130</v>
          </cell>
          <cell r="N226">
            <v>3130</v>
          </cell>
        </row>
        <row r="233">
          <cell r="K233">
            <v>2159</v>
          </cell>
          <cell r="L233">
            <v>2159</v>
          </cell>
          <cell r="M233">
            <v>2159</v>
          </cell>
          <cell r="N233">
            <v>2159</v>
          </cell>
        </row>
        <row r="234">
          <cell r="K234">
            <v>-200</v>
          </cell>
          <cell r="L234">
            <v>-200</v>
          </cell>
          <cell r="M234">
            <v>-200</v>
          </cell>
          <cell r="N234">
            <v>-200</v>
          </cell>
        </row>
        <row r="235">
          <cell r="K235">
            <v>3808</v>
          </cell>
          <cell r="L235">
            <v>9308</v>
          </cell>
          <cell r="M235">
            <v>10909</v>
          </cell>
          <cell r="N235">
            <v>12291</v>
          </cell>
        </row>
        <row r="236">
          <cell r="K236">
            <v>-5014</v>
          </cell>
          <cell r="L236">
            <v>-5014</v>
          </cell>
          <cell r="M236">
            <v>-5014</v>
          </cell>
          <cell r="N236">
            <v>-5014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eldende"/>
      <sheetName val="Til nett før statsbud"/>
      <sheetName val="Digitaliseringstiltak"/>
      <sheetName val="Ark1"/>
      <sheetName val="Internhusleie"/>
      <sheetName val="Int.husl før saldering"/>
      <sheetName val="Ark2"/>
      <sheetName val="Div"/>
      <sheetName val="Endelig før statsbudsjettet"/>
      <sheetName val="Etter RLG 19.09.2017"/>
      <sheetName val="Før RLG 19.09.2017"/>
      <sheetName val="Før RLG 12.09.2017"/>
      <sheetName val="Etter RLG 29.08.2017"/>
      <sheetName val="Før RLG 29.08.2017"/>
      <sheetName val="Før RLG 20.06.2017"/>
      <sheetName val="Etter RLG 20.06.2017"/>
      <sheetName val="Kopi 28.09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ema">
  <a:themeElements>
    <a:clrScheme name="Sandnes alle farger">
      <a:dk1>
        <a:sysClr val="windowText" lastClr="000000"/>
      </a:dk1>
      <a:lt1>
        <a:sysClr val="window" lastClr="FFFFFF"/>
      </a:lt1>
      <a:dk2>
        <a:srgbClr val="0061AA"/>
      </a:dk2>
      <a:lt2>
        <a:srgbClr val="7D7D6D"/>
      </a:lt2>
      <a:accent1>
        <a:srgbClr val="0061AA"/>
      </a:accent1>
      <a:accent2>
        <a:srgbClr val="007C78"/>
      </a:accent2>
      <a:accent3>
        <a:srgbClr val="E3284A"/>
      </a:accent3>
      <a:accent4>
        <a:srgbClr val="F26631"/>
      </a:accent4>
      <a:accent5>
        <a:srgbClr val="004C39"/>
      </a:accent5>
      <a:accent6>
        <a:srgbClr val="7D7D6D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zoomScale="80" zoomScaleNormal="8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45" style="3" customWidth="1"/>
    <col min="2" max="2" width="14" style="222" customWidth="1"/>
    <col min="3" max="15" width="14" style="2" customWidth="1"/>
    <col min="16" max="16384" width="11.42578125" style="2"/>
  </cols>
  <sheetData>
    <row r="1" spans="1:15" s="8" customFormat="1" ht="30.75" customHeight="1" x14ac:dyDescent="0.25">
      <c r="A1" s="280" t="s">
        <v>0</v>
      </c>
      <c r="B1" s="281" t="s">
        <v>436</v>
      </c>
      <c r="C1" s="281">
        <v>2018</v>
      </c>
      <c r="D1" s="281">
        <v>2019</v>
      </c>
      <c r="E1" s="281">
        <v>2020</v>
      </c>
      <c r="F1" s="281">
        <v>2021</v>
      </c>
      <c r="G1" s="281">
        <v>2022</v>
      </c>
      <c r="H1" s="281">
        <v>2023</v>
      </c>
      <c r="I1" s="281">
        <v>2024</v>
      </c>
      <c r="J1" s="281">
        <v>2025</v>
      </c>
      <c r="K1" s="281">
        <v>2026</v>
      </c>
      <c r="L1" s="281">
        <v>2027</v>
      </c>
      <c r="M1" s="281">
        <v>2028</v>
      </c>
      <c r="N1" s="281">
        <v>2029</v>
      </c>
      <c r="O1" s="307">
        <v>2030</v>
      </c>
    </row>
    <row r="2" spans="1:15" s="8" customFormat="1" x14ac:dyDescent="0.25">
      <c r="A2" s="6"/>
      <c r="B2" s="22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1" t="s">
        <v>1</v>
      </c>
    </row>
    <row r="4" spans="1:15" x14ac:dyDescent="0.25">
      <c r="A4" s="3" t="s">
        <v>13</v>
      </c>
      <c r="B4" s="223">
        <v>6635</v>
      </c>
      <c r="C4" s="4">
        <v>6585.3089203834534</v>
      </c>
      <c r="D4" s="4">
        <v>6549.7831654548654</v>
      </c>
      <c r="E4" s="4">
        <v>6532.1850910186768</v>
      </c>
      <c r="F4" s="4">
        <v>6492.0479197502136</v>
      </c>
      <c r="G4" s="4">
        <v>6503.75501537323</v>
      </c>
      <c r="H4" s="4">
        <v>6457.2460379600525</v>
      </c>
      <c r="I4" s="4">
        <v>6464.9578542709351</v>
      </c>
      <c r="J4" s="4">
        <v>6483.2476553916931</v>
      </c>
      <c r="K4" s="4">
        <v>6513.2877039909363</v>
      </c>
      <c r="L4" s="4">
        <v>6552.1280174255371</v>
      </c>
      <c r="M4" s="4">
        <v>6598.5171022415161</v>
      </c>
      <c r="N4" s="4">
        <v>6654.4443035125732</v>
      </c>
      <c r="O4" s="4">
        <v>6711.3302202224731</v>
      </c>
    </row>
    <row r="5" spans="1:15" x14ac:dyDescent="0.25">
      <c r="A5" s="3" t="s">
        <v>14</v>
      </c>
      <c r="B5" s="223">
        <v>10272</v>
      </c>
      <c r="C5" s="4">
        <v>10475.310773611069</v>
      </c>
      <c r="D5" s="4">
        <v>10685.924168586731</v>
      </c>
      <c r="E5" s="4">
        <v>10813.675229072571</v>
      </c>
      <c r="F5" s="4">
        <v>11023.347926616669</v>
      </c>
      <c r="G5" s="4">
        <v>11132.629698753357</v>
      </c>
      <c r="H5" s="4">
        <v>11253.320742607117</v>
      </c>
      <c r="I5" s="4">
        <v>11330.910440444946</v>
      </c>
      <c r="J5" s="4">
        <v>11368.662414550781</v>
      </c>
      <c r="K5" s="4">
        <v>11406.018679618835</v>
      </c>
      <c r="L5" s="4">
        <v>11371.494350910187</v>
      </c>
      <c r="M5" s="4">
        <v>11377.796052455904</v>
      </c>
      <c r="N5" s="4">
        <v>11390.867363452911</v>
      </c>
      <c r="O5" s="4">
        <v>11418.035943508148</v>
      </c>
    </row>
    <row r="6" spans="1:15" x14ac:dyDescent="0.25">
      <c r="A6" s="3" t="s">
        <v>15</v>
      </c>
      <c r="B6" s="223">
        <v>50844</v>
      </c>
      <c r="C6" s="4">
        <v>51319.471104860306</v>
      </c>
      <c r="D6" s="4">
        <v>51821.682677745819</v>
      </c>
      <c r="E6" s="4">
        <v>52485.837819337845</v>
      </c>
      <c r="F6" s="4">
        <v>53106.301094293594</v>
      </c>
      <c r="G6" s="4">
        <v>53769.462225675583</v>
      </c>
      <c r="H6" s="4">
        <v>54500.780452728271</v>
      </c>
      <c r="I6" s="4">
        <v>55214.27758038044</v>
      </c>
      <c r="J6" s="4">
        <v>55995.73032605648</v>
      </c>
      <c r="K6" s="4">
        <v>56783.876663446426</v>
      </c>
      <c r="L6" s="4">
        <v>57561.77814745903</v>
      </c>
      <c r="M6" s="4">
        <v>58300.631942152977</v>
      </c>
      <c r="N6" s="4">
        <v>58975.860208630562</v>
      </c>
      <c r="O6" s="4">
        <v>59670.612741470337</v>
      </c>
    </row>
    <row r="7" spans="1:15" x14ac:dyDescent="0.25">
      <c r="A7" s="3" t="s">
        <v>16</v>
      </c>
      <c r="B7" s="223">
        <v>5574</v>
      </c>
      <c r="C7" s="4">
        <v>5825.843263101764</v>
      </c>
      <c r="D7" s="4">
        <v>6080.0443169772625</v>
      </c>
      <c r="E7" s="4">
        <v>6308.6738599315286</v>
      </c>
      <c r="F7" s="4">
        <v>6585.5132448077202</v>
      </c>
      <c r="G7" s="4">
        <v>6872.9775909781456</v>
      </c>
      <c r="H7" s="4">
        <v>7118.0602615475655</v>
      </c>
      <c r="I7" s="4">
        <v>7328.6266563534737</v>
      </c>
      <c r="J7" s="4">
        <v>7501.2889688611031</v>
      </c>
      <c r="K7" s="4">
        <v>7627.979548573494</v>
      </c>
      <c r="L7" s="4">
        <v>7817.3455656766891</v>
      </c>
      <c r="M7" s="4">
        <v>7970.5523818135262</v>
      </c>
      <c r="N7" s="4">
        <v>8181.1848467588425</v>
      </c>
      <c r="O7" s="4">
        <v>8377.9658434391022</v>
      </c>
    </row>
    <row r="8" spans="1:15" x14ac:dyDescent="0.25">
      <c r="A8" s="3" t="s">
        <v>17</v>
      </c>
      <c r="B8" s="223">
        <v>1768</v>
      </c>
      <c r="C8" s="4">
        <v>1784.6617794241758</v>
      </c>
      <c r="D8" s="4">
        <v>1816.5478886794299</v>
      </c>
      <c r="E8" s="4">
        <v>1887.3147521018984</v>
      </c>
      <c r="F8" s="4">
        <v>1929.2908746786416</v>
      </c>
      <c r="G8" s="4">
        <v>1997.8699544034896</v>
      </c>
      <c r="H8" s="4">
        <v>2077.4464715328063</v>
      </c>
      <c r="I8" s="4">
        <v>2209.120047532022</v>
      </c>
      <c r="J8" s="4">
        <v>2348.6542060486972</v>
      </c>
      <c r="K8" s="4">
        <v>2519.5544546470046</v>
      </c>
      <c r="L8" s="4">
        <v>2681.3388373292983</v>
      </c>
      <c r="M8" s="4">
        <v>2849.2203506305814</v>
      </c>
      <c r="N8" s="4">
        <v>2993.81007348001</v>
      </c>
      <c r="O8" s="4">
        <v>3103.1102331280708</v>
      </c>
    </row>
    <row r="9" spans="1:15" x14ac:dyDescent="0.25">
      <c r="A9" s="3" t="s">
        <v>18</v>
      </c>
      <c r="B9" s="223">
        <v>404</v>
      </c>
      <c r="C9" s="4">
        <v>411.94345413800323</v>
      </c>
      <c r="D9" s="4">
        <v>441.37713688611979</v>
      </c>
      <c r="E9" s="4">
        <v>450.45140537805861</v>
      </c>
      <c r="F9" s="4">
        <v>479.36634458973998</v>
      </c>
      <c r="G9" s="4">
        <v>491.67595064453786</v>
      </c>
      <c r="H9" s="4">
        <v>529.89432879816741</v>
      </c>
      <c r="I9" s="4">
        <v>533.49491375032812</v>
      </c>
      <c r="J9" s="4">
        <v>543.71028021443635</v>
      </c>
      <c r="K9" s="4">
        <v>566.73604565486346</v>
      </c>
      <c r="L9" s="4">
        <v>581.75370982568734</v>
      </c>
      <c r="M9" s="4">
        <v>588.7927979947998</v>
      </c>
      <c r="N9" s="4">
        <v>607.14305000752211</v>
      </c>
      <c r="O9" s="4">
        <v>636.51007306436111</v>
      </c>
    </row>
    <row r="10" spans="1:15" s="11" customFormat="1" x14ac:dyDescent="0.25">
      <c r="A10" s="9" t="s">
        <v>19</v>
      </c>
      <c r="B10" s="224">
        <v>75497</v>
      </c>
      <c r="C10" s="10">
        <v>76402.539295518771</v>
      </c>
      <c r="D10" s="10">
        <v>77395.359354330227</v>
      </c>
      <c r="E10" s="10">
        <v>78478.138156840578</v>
      </c>
      <c r="F10" s="10">
        <v>79615.867404736578</v>
      </c>
      <c r="G10" s="10">
        <v>80768.370435828343</v>
      </c>
      <c r="H10" s="10">
        <v>81936.74829517398</v>
      </c>
      <c r="I10" s="10">
        <v>83081.387492732145</v>
      </c>
      <c r="J10" s="10">
        <v>84241.293851123191</v>
      </c>
      <c r="K10" s="10">
        <v>85417.45309593156</v>
      </c>
      <c r="L10" s="10">
        <v>86565.838628626429</v>
      </c>
      <c r="M10" s="10">
        <v>87685.510627289303</v>
      </c>
      <c r="N10" s="10">
        <v>88803.309845842421</v>
      </c>
      <c r="O10" s="10">
        <v>89917.565054832492</v>
      </c>
    </row>
    <row r="11" spans="1:15" s="13" customFormat="1" x14ac:dyDescent="0.25">
      <c r="A11" s="12" t="s">
        <v>21</v>
      </c>
      <c r="B11" s="225"/>
      <c r="C11" s="5">
        <v>1.1994374551555304E-2</v>
      </c>
      <c r="D11" s="5">
        <v>1.2994595048357087E-2</v>
      </c>
      <c r="E11" s="5">
        <v>1.3990229020750327E-2</v>
      </c>
      <c r="F11" s="5">
        <v>1.4497403667021503E-2</v>
      </c>
      <c r="G11" s="5">
        <v>1.4475795700785127E-2</v>
      </c>
      <c r="H11" s="5">
        <v>1.4465784725394833E-2</v>
      </c>
      <c r="I11" s="5">
        <v>1.3969790373357825E-2</v>
      </c>
      <c r="J11" s="5">
        <v>1.3961085549907477E-2</v>
      </c>
      <c r="K11" s="5">
        <v>1.3961789889967206E-2</v>
      </c>
      <c r="L11" s="5">
        <v>1.3444389771316729E-2</v>
      </c>
      <c r="M11" s="5">
        <v>1.2934340109224219E-2</v>
      </c>
      <c r="N11" s="5">
        <v>1.2747821282633203E-2</v>
      </c>
      <c r="O11" s="5">
        <v>1.2547451338518301E-2</v>
      </c>
    </row>
    <row r="13" spans="1:15" x14ac:dyDescent="0.25">
      <c r="A13" s="3" t="s">
        <v>20</v>
      </c>
      <c r="B13" s="223">
        <v>5258317</v>
      </c>
      <c r="C13" s="4">
        <v>5299961</v>
      </c>
      <c r="D13" s="4">
        <v>5362947</v>
      </c>
      <c r="E13" s="4">
        <v>5413907</v>
      </c>
      <c r="F13" s="4">
        <v>5461868</v>
      </c>
      <c r="G13" s="4">
        <v>5519270</v>
      </c>
      <c r="H13" s="4">
        <v>5567756</v>
      </c>
      <c r="I13" s="4">
        <v>5616383</v>
      </c>
      <c r="J13" s="4">
        <v>5665147</v>
      </c>
      <c r="K13" s="4">
        <v>5713987</v>
      </c>
      <c r="L13" s="4">
        <v>5762487</v>
      </c>
      <c r="M13" s="4">
        <v>5822574</v>
      </c>
      <c r="N13" s="4">
        <v>5869664</v>
      </c>
      <c r="O13" s="4">
        <v>5916134</v>
      </c>
    </row>
    <row r="14" spans="1:15" x14ac:dyDescent="0.25">
      <c r="A14" s="12" t="s">
        <v>22</v>
      </c>
      <c r="C14" s="5">
        <v>8.0000000000000002E-3</v>
      </c>
      <c r="D14" s="5">
        <v>1.2E-2</v>
      </c>
      <c r="E14" s="5">
        <v>0.01</v>
      </c>
      <c r="F14" s="5">
        <v>8.843707508770688E-3</v>
      </c>
      <c r="G14" s="5">
        <v>8.7972541001060285E-3</v>
      </c>
      <c r="H14" s="5">
        <v>8.7848574177382156E-3</v>
      </c>
      <c r="I14" s="5">
        <v>8.7336801397187667E-3</v>
      </c>
      <c r="J14" s="5">
        <v>8.6824563068437464E-3</v>
      </c>
      <c r="K14" s="5">
        <v>8.6211355151066694E-3</v>
      </c>
      <c r="L14" s="5">
        <v>8.4879437072572974E-3</v>
      </c>
      <c r="M14" s="5">
        <v>1.0427268642862014E-2</v>
      </c>
      <c r="N14" s="5">
        <v>8.0874884544189559E-3</v>
      </c>
      <c r="O14" s="5">
        <v>7.9169778713057519E-3</v>
      </c>
    </row>
    <row r="16" spans="1:15" x14ac:dyDescent="0.25">
      <c r="A16" s="1" t="s">
        <v>11</v>
      </c>
    </row>
    <row r="17" spans="1:15" x14ac:dyDescent="0.25">
      <c r="A17" s="3" t="s">
        <v>2</v>
      </c>
      <c r="C17" s="4">
        <v>1800000</v>
      </c>
      <c r="D17" s="4">
        <v>1890000</v>
      </c>
      <c r="E17" s="4">
        <v>1550000</v>
      </c>
      <c r="F17" s="4">
        <v>1500000</v>
      </c>
      <c r="G17" s="4">
        <v>1500000</v>
      </c>
      <c r="H17" s="4">
        <v>1500000</v>
      </c>
      <c r="I17" s="4">
        <v>1500000</v>
      </c>
      <c r="J17" s="4">
        <v>1500000</v>
      </c>
      <c r="K17" s="4">
        <v>1500000</v>
      </c>
      <c r="L17" s="4">
        <v>1500000</v>
      </c>
      <c r="M17" s="4">
        <v>1500000</v>
      </c>
      <c r="N17" s="4">
        <v>1500000</v>
      </c>
      <c r="O17" s="4">
        <v>1500000</v>
      </c>
    </row>
    <row r="18" spans="1:15" x14ac:dyDescent="0.25">
      <c r="A18" s="3" t="s">
        <v>3</v>
      </c>
      <c r="C18" s="4">
        <v>1800000</v>
      </c>
      <c r="D18" s="4">
        <v>1560000</v>
      </c>
      <c r="E18" s="4">
        <v>1250000</v>
      </c>
      <c r="F18" s="4">
        <v>1200000</v>
      </c>
      <c r="G18" s="4">
        <v>1200000</v>
      </c>
      <c r="H18" s="4">
        <v>1200000</v>
      </c>
      <c r="I18" s="4">
        <v>1200000</v>
      </c>
      <c r="J18" s="4">
        <v>1200000</v>
      </c>
      <c r="K18" s="4">
        <v>1200000</v>
      </c>
      <c r="L18" s="4">
        <v>1200000</v>
      </c>
      <c r="M18" s="4">
        <v>1200000</v>
      </c>
      <c r="N18" s="4">
        <v>1200000</v>
      </c>
      <c r="O18" s="4">
        <v>1200000</v>
      </c>
    </row>
    <row r="20" spans="1:15" x14ac:dyDescent="0.25">
      <c r="A20" s="3" t="s">
        <v>4</v>
      </c>
      <c r="B20" s="226">
        <v>3.2880799735159671E-2</v>
      </c>
      <c r="C20" s="5">
        <v>2.4298823833527099E-2</v>
      </c>
      <c r="D20" s="5">
        <v>1.2E-2</v>
      </c>
      <c r="E20" s="5">
        <v>0.01</v>
      </c>
      <c r="F20" s="5">
        <v>9.2478421701602982E-3</v>
      </c>
      <c r="G20" s="5">
        <v>9.1631032376298122E-3</v>
      </c>
      <c r="H20" s="5">
        <v>9.079903147699759E-3</v>
      </c>
      <c r="I20" s="5">
        <v>8.9982003599280158E-3</v>
      </c>
      <c r="J20" s="5">
        <v>8.9179548156956018E-3</v>
      </c>
      <c r="K20" s="5">
        <v>8.8391278727165609E-3</v>
      </c>
      <c r="L20" s="5">
        <v>8.7616822429906569E-3</v>
      </c>
      <c r="M20" s="5">
        <v>8.6855819339895814E-3</v>
      </c>
      <c r="N20" s="5">
        <v>8.6107921928817513E-3</v>
      </c>
      <c r="O20" s="5">
        <v>8.5372794536141203E-3</v>
      </c>
    </row>
    <row r="21" spans="1:15" x14ac:dyDescent="0.25">
      <c r="A21" s="3" t="s">
        <v>5</v>
      </c>
      <c r="B21" s="226">
        <v>-8.983949149878323E-3</v>
      </c>
      <c r="C21" s="5">
        <v>3.8724168168089657E-2</v>
      </c>
      <c r="D21" s="5">
        <v>2.3373479922574214E-2</v>
      </c>
      <c r="E21" s="5">
        <v>2.3976254092238358E-2</v>
      </c>
      <c r="F21" s="5">
        <v>2.505284118507789E-2</v>
      </c>
      <c r="G21" s="5">
        <v>1.4843704211030762E-2</v>
      </c>
      <c r="H21" s="5">
        <v>1.4762491992335258E-2</v>
      </c>
      <c r="I21" s="5">
        <v>1.4235683658687659E-2</v>
      </c>
      <c r="J21" s="5">
        <v>1.41978164677381E-2</v>
      </c>
      <c r="K21" s="5">
        <v>1.4180936518290999E-2</v>
      </c>
      <c r="L21" s="5">
        <v>1.3719473658074355E-2</v>
      </c>
      <c r="M21" s="5">
        <v>1.1188331928448925E-2</v>
      </c>
      <c r="N21" s="5">
        <v>1.3273544225400613E-2</v>
      </c>
      <c r="O21" s="5">
        <v>1.3170602649605456E-2</v>
      </c>
    </row>
    <row r="23" spans="1:15" x14ac:dyDescent="0.25">
      <c r="A23" s="3" t="s">
        <v>7</v>
      </c>
      <c r="B23" s="223">
        <v>29774.849305042881</v>
      </c>
      <c r="C23" s="4">
        <v>30561.291993758306</v>
      </c>
      <c r="D23" s="4">
        <v>30867</v>
      </c>
      <c r="E23" s="4">
        <v>31182</v>
      </c>
      <c r="F23" s="4">
        <v>31506</v>
      </c>
      <c r="G23" s="4">
        <v>31514.298323968662</v>
      </c>
      <c r="H23" s="4">
        <v>31523.515511444119</v>
      </c>
      <c r="I23" s="4">
        <v>31531.781922518745</v>
      </c>
      <c r="J23" s="4">
        <v>31539.14369190194</v>
      </c>
      <c r="K23" s="4">
        <v>31545.960217997119</v>
      </c>
      <c r="L23" s="4">
        <v>31554.522883532456</v>
      </c>
      <c r="M23" s="4">
        <v>31500.131939407514</v>
      </c>
      <c r="N23" s="4">
        <v>31516.483830483197</v>
      </c>
      <c r="O23" s="4">
        <v>31535.879996256819</v>
      </c>
    </row>
    <row r="24" spans="1:15" x14ac:dyDescent="0.25">
      <c r="A24" s="3" t="s">
        <v>6</v>
      </c>
      <c r="B24" s="226">
        <v>1.0117978303809305</v>
      </c>
      <c r="C24" s="5">
        <v>1.0219158086847402</v>
      </c>
      <c r="D24" s="5">
        <v>1.0321349667715876</v>
      </c>
      <c r="E24" s="5">
        <v>1.042456316439303</v>
      </c>
      <c r="F24" s="5">
        <v>1.0528808796036959</v>
      </c>
      <c r="G24" s="5">
        <v>1.0528808796036957</v>
      </c>
      <c r="H24" s="5">
        <v>1.0528808796036959</v>
      </c>
      <c r="I24" s="5">
        <v>1.0528808796036959</v>
      </c>
      <c r="J24" s="5">
        <v>1.0528808796036961</v>
      </c>
      <c r="K24" s="5">
        <v>1.0528808796036959</v>
      </c>
      <c r="L24" s="5">
        <v>1.0528808796036966</v>
      </c>
      <c r="M24" s="5">
        <v>1.0528808796036964</v>
      </c>
      <c r="N24" s="5">
        <v>1.0528808796036964</v>
      </c>
      <c r="O24" s="5">
        <v>1.0528808796036961</v>
      </c>
    </row>
    <row r="26" spans="1:15" x14ac:dyDescent="0.25">
      <c r="A26" s="3" t="s">
        <v>8</v>
      </c>
      <c r="B26" s="223">
        <v>-2248000</v>
      </c>
      <c r="C26" s="4">
        <v>-2335000</v>
      </c>
      <c r="D26" s="4">
        <v>-2390000</v>
      </c>
      <c r="E26" s="4">
        <v>-2447000</v>
      </c>
      <c r="F26" s="4">
        <v>-2508000</v>
      </c>
      <c r="G26" s="4">
        <v>-2545000</v>
      </c>
      <c r="H26" s="4">
        <v>-2583000</v>
      </c>
      <c r="I26" s="4">
        <v>-2620000</v>
      </c>
      <c r="J26" s="4">
        <v>-2657000</v>
      </c>
      <c r="K26" s="4">
        <v>-2695000</v>
      </c>
      <c r="L26" s="4">
        <v>-2732000</v>
      </c>
      <c r="M26" s="4">
        <v>-2762000</v>
      </c>
      <c r="N26" s="4">
        <v>-2799000</v>
      </c>
      <c r="O26" s="4">
        <v>-2836000</v>
      </c>
    </row>
    <row r="27" spans="1:15" x14ac:dyDescent="0.25">
      <c r="A27" s="3" t="s">
        <v>9</v>
      </c>
      <c r="B27" s="223">
        <v>-1621000</v>
      </c>
      <c r="C27" s="4">
        <v>-1672000</v>
      </c>
      <c r="D27" s="4">
        <v>-1657000</v>
      </c>
      <c r="E27" s="4">
        <v>-1652000</v>
      </c>
      <c r="F27" s="4">
        <v>-1655000</v>
      </c>
      <c r="G27" s="4">
        <v>-1673000</v>
      </c>
      <c r="H27" s="4">
        <v>-1700000</v>
      </c>
      <c r="I27" s="4">
        <v>-1727000</v>
      </c>
      <c r="J27" s="4">
        <v>-1753000</v>
      </c>
      <c r="K27" s="4">
        <v>-1780000</v>
      </c>
      <c r="L27" s="4">
        <v>-1807000</v>
      </c>
      <c r="M27" s="4">
        <v>-1831000</v>
      </c>
      <c r="N27" s="4">
        <v>-1855000</v>
      </c>
      <c r="O27" s="4">
        <v>-1881000</v>
      </c>
    </row>
    <row r="28" spans="1:15" x14ac:dyDescent="0.25">
      <c r="A28" s="3" t="s">
        <v>10</v>
      </c>
      <c r="B28" s="227">
        <v>0</v>
      </c>
      <c r="C28" s="4">
        <v>0</v>
      </c>
      <c r="D28" s="4">
        <v>0</v>
      </c>
      <c r="E28" s="4">
        <v>-105000</v>
      </c>
      <c r="F28" s="4">
        <v>-105000</v>
      </c>
      <c r="G28" s="4">
        <v>-105000</v>
      </c>
      <c r="H28" s="4">
        <v>-105000</v>
      </c>
      <c r="I28" s="4">
        <v>-105000</v>
      </c>
      <c r="J28" s="4">
        <v>-105000</v>
      </c>
      <c r="K28" s="4">
        <v>-105000</v>
      </c>
      <c r="L28" s="4">
        <v>-105000</v>
      </c>
      <c r="M28" s="4">
        <v>-105000</v>
      </c>
      <c r="N28" s="4">
        <v>-105000</v>
      </c>
      <c r="O28" s="4">
        <v>-105000</v>
      </c>
    </row>
    <row r="29" spans="1:15" ht="30" x14ac:dyDescent="0.25">
      <c r="A29" s="12" t="s">
        <v>495</v>
      </c>
      <c r="B29" s="228"/>
      <c r="C29" s="4"/>
      <c r="D29" s="4"/>
      <c r="E29" s="4"/>
      <c r="F29" s="4"/>
      <c r="G29" s="4">
        <f>(G26+G27)/0.79*0.21</f>
        <v>-1121240.5063291139</v>
      </c>
      <c r="H29" s="4">
        <f t="shared" ref="H29:O29" si="0">(H26+H27)/0.79*0.21</f>
        <v>-1138518.9873417721</v>
      </c>
      <c r="I29" s="4">
        <f t="shared" si="0"/>
        <v>-1155531.6455696202</v>
      </c>
      <c r="J29" s="4">
        <f t="shared" si="0"/>
        <v>-1172278.4810126582</v>
      </c>
      <c r="K29" s="4">
        <f t="shared" si="0"/>
        <v>-1189556.9620253164</v>
      </c>
      <c r="L29" s="4">
        <f t="shared" si="0"/>
        <v>-1206569.6202531646</v>
      </c>
      <c r="M29" s="4">
        <f t="shared" si="0"/>
        <v>-1220924.0506329113</v>
      </c>
      <c r="N29" s="4">
        <f t="shared" si="0"/>
        <v>-1237139.2405063289</v>
      </c>
      <c r="O29" s="4">
        <f t="shared" si="0"/>
        <v>-1253886.0759493671</v>
      </c>
    </row>
    <row r="30" spans="1:15" x14ac:dyDescent="0.25">
      <c r="B30" s="22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1" t="s">
        <v>12</v>
      </c>
    </row>
    <row r="32" spans="1:15" x14ac:dyDescent="0.25">
      <c r="B32" s="22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3" t="s">
        <v>58</v>
      </c>
      <c r="B33" s="223"/>
      <c r="C33" s="4"/>
      <c r="D33" s="4"/>
      <c r="E33" s="4"/>
      <c r="F33" s="4"/>
      <c r="G33" s="4">
        <v>39490</v>
      </c>
      <c r="H33" s="4">
        <v>39490</v>
      </c>
      <c r="I33" s="4">
        <v>38670</v>
      </c>
      <c r="J33" s="4">
        <v>38670</v>
      </c>
      <c r="K33" s="4">
        <v>38670</v>
      </c>
      <c r="L33" s="4">
        <v>38670</v>
      </c>
      <c r="M33" s="4">
        <v>38670</v>
      </c>
      <c r="N33" s="4">
        <v>38670</v>
      </c>
      <c r="O33" s="4">
        <v>38670</v>
      </c>
    </row>
    <row r="34" spans="1:15" x14ac:dyDescent="0.25">
      <c r="B34" s="22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5">
      <c r="A35" s="3" t="s">
        <v>25</v>
      </c>
      <c r="C35" s="4"/>
      <c r="D35" s="4"/>
      <c r="E35" s="4"/>
      <c r="F35" s="4"/>
      <c r="G35" s="4">
        <v>16049.672343281252</v>
      </c>
      <c r="H35" s="4">
        <v>17725.295543328069</v>
      </c>
      <c r="I35" s="4">
        <v>11395.214436619597</v>
      </c>
      <c r="J35" s="4">
        <v>5544.4453623320542</v>
      </c>
      <c r="K35" s="4">
        <v>5486.329536833613</v>
      </c>
      <c r="L35" s="4">
        <v>-5070.4170769895954</v>
      </c>
      <c r="M35" s="4">
        <v>925.49967882479416</v>
      </c>
      <c r="N35" s="4">
        <v>1919.7186730893761</v>
      </c>
      <c r="O35" s="4">
        <v>3990.1147226397029</v>
      </c>
    </row>
    <row r="36" spans="1:15" x14ac:dyDescent="0.25">
      <c r="A36" s="3" t="s">
        <v>24</v>
      </c>
      <c r="C36" s="4"/>
      <c r="D36" s="4"/>
      <c r="E36" s="4"/>
      <c r="F36" s="4"/>
      <c r="G36" s="4">
        <v>29056.058911495471</v>
      </c>
      <c r="H36" s="4">
        <v>36138.507549497277</v>
      </c>
      <c r="I36" s="4">
        <v>32644.494206725576</v>
      </c>
      <c r="J36" s="4">
        <v>34419.881971086455</v>
      </c>
      <c r="K36" s="4">
        <v>40410.704373087239</v>
      </c>
      <c r="L36" s="4">
        <v>39183.235226927063</v>
      </c>
      <c r="M36" s="4">
        <v>36370.259374375244</v>
      </c>
      <c r="N36" s="4">
        <v>37989.735981274061</v>
      </c>
      <c r="O36" s="4">
        <v>35754.964254629827</v>
      </c>
    </row>
    <row r="37" spans="1:15" x14ac:dyDescent="0.25">
      <c r="A37" s="3" t="s">
        <v>26</v>
      </c>
      <c r="C37" s="4"/>
      <c r="D37" s="4"/>
      <c r="E37" s="4"/>
      <c r="F37" s="4"/>
      <c r="G37" s="4">
        <v>3292.4875144514617</v>
      </c>
      <c r="H37" s="4">
        <v>-9657.1548740024591</v>
      </c>
      <c r="I37" s="4">
        <v>629.55295768700671</v>
      </c>
      <c r="J37" s="4">
        <v>1258.4979100583678</v>
      </c>
      <c r="K37" s="4">
        <v>3703.6139878797867</v>
      </c>
      <c r="L37" s="4">
        <v>5511.8474119695238</v>
      </c>
      <c r="M37" s="4">
        <v>7205.2108724811997</v>
      </c>
      <c r="N37" s="4">
        <v>9258.4942064058814</v>
      </c>
      <c r="O37" s="4">
        <v>9433.3088955481344</v>
      </c>
    </row>
    <row r="38" spans="1:15" ht="30" x14ac:dyDescent="0.25">
      <c r="A38" s="3" t="s">
        <v>27</v>
      </c>
      <c r="C38" s="4"/>
      <c r="D38" s="4"/>
      <c r="E38" s="4"/>
      <c r="F38" s="4"/>
      <c r="G38" s="4">
        <v>9659.0625336622325</v>
      </c>
      <c r="H38" s="4">
        <v>9559.9954456081705</v>
      </c>
      <c r="I38" s="4">
        <v>9601.7214974456292</v>
      </c>
      <c r="J38" s="4">
        <v>9666.4620999392228</v>
      </c>
      <c r="K38" s="4">
        <v>9953.4806713357939</v>
      </c>
      <c r="L38" s="4">
        <v>9147.7406908432768</v>
      </c>
      <c r="M38" s="4">
        <v>9473.2986901722124</v>
      </c>
      <c r="N38" s="4">
        <v>9256.1379557615928</v>
      </c>
      <c r="O38" s="4">
        <v>9304.7273287902772</v>
      </c>
    </row>
    <row r="39" spans="1:15" s="11" customFormat="1" x14ac:dyDescent="0.25">
      <c r="A39" s="9" t="s">
        <v>23</v>
      </c>
      <c r="B39" s="230"/>
      <c r="C39" s="14"/>
      <c r="D39" s="14"/>
      <c r="E39" s="14"/>
      <c r="F39" s="14"/>
      <c r="G39" s="14">
        <v>58057.281302890413</v>
      </c>
      <c r="H39" s="14">
        <v>53766.643664431052</v>
      </c>
      <c r="I39" s="14">
        <v>54270.983098477809</v>
      </c>
      <c r="J39" s="14">
        <v>50889.287343416094</v>
      </c>
      <c r="K39" s="14">
        <v>59554.128569136432</v>
      </c>
      <c r="L39" s="14">
        <v>48772.406252750268</v>
      </c>
      <c r="M39" s="14">
        <v>53974.268615853449</v>
      </c>
      <c r="N39" s="14">
        <v>58424.086816530915</v>
      </c>
      <c r="O39" s="14">
        <v>58483.115201607943</v>
      </c>
    </row>
    <row r="40" spans="1:15" s="11" customFormat="1" x14ac:dyDescent="0.25">
      <c r="A40" s="9"/>
      <c r="B40" s="230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ht="30" x14ac:dyDescent="0.25">
      <c r="A41" s="219" t="s">
        <v>496</v>
      </c>
      <c r="C41" s="220"/>
      <c r="D41" s="220"/>
      <c r="E41" s="220"/>
      <c r="F41" s="220"/>
      <c r="G41" s="220">
        <f>(G33+G39)/0.78*0.22</f>
        <v>27513.335752097297</v>
      </c>
      <c r="H41" s="220">
        <f t="shared" ref="H41:O41" si="1">(H33+H39)/0.78*0.22</f>
        <v>26303.155905352352</v>
      </c>
      <c r="I41" s="220">
        <f t="shared" si="1"/>
        <v>26214.123438032202</v>
      </c>
      <c r="J41" s="220">
        <f t="shared" si="1"/>
        <v>25260.311814809669</v>
      </c>
      <c r="K41" s="220">
        <f t="shared" si="1"/>
        <v>27704.24139129489</v>
      </c>
      <c r="L41" s="220">
        <f t="shared" si="1"/>
        <v>24663.242789237254</v>
      </c>
      <c r="M41" s="220">
        <f t="shared" si="1"/>
        <v>26130.434737804819</v>
      </c>
      <c r="N41" s="220">
        <f t="shared" si="1"/>
        <v>27385.511666201026</v>
      </c>
      <c r="O41" s="220">
        <f t="shared" si="1"/>
        <v>27402.16069788942</v>
      </c>
    </row>
    <row r="42" spans="1:15" x14ac:dyDescent="0.25">
      <c r="A42" s="3" t="s">
        <v>28</v>
      </c>
      <c r="C42" s="4"/>
      <c r="D42" s="4"/>
      <c r="E42" s="4"/>
      <c r="F42" s="4"/>
      <c r="G42" s="4">
        <v>30958.029685264832</v>
      </c>
      <c r="H42" s="4">
        <v>18524.612422666698</v>
      </c>
      <c r="I42" s="4">
        <v>18524.612422666698</v>
      </c>
      <c r="J42" s="4">
        <v>18524.612422666713</v>
      </c>
      <c r="K42" s="4">
        <v>18524.612422666698</v>
      </c>
      <c r="L42" s="4">
        <v>18524.612422666713</v>
      </c>
      <c r="M42" s="4">
        <v>18524.612422666669</v>
      </c>
      <c r="N42" s="4">
        <v>18524.612422667025</v>
      </c>
      <c r="O42" s="4">
        <v>18524.612422665985</v>
      </c>
    </row>
    <row r="43" spans="1:15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25">
      <c r="A44" s="1" t="s">
        <v>402</v>
      </c>
      <c r="B44" s="22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25">
      <c r="A45" s="209" t="s">
        <v>401</v>
      </c>
      <c r="B45" s="223">
        <v>273774</v>
      </c>
      <c r="C45" s="4">
        <v>273331</v>
      </c>
      <c r="D45" s="4">
        <v>314315</v>
      </c>
      <c r="E45" s="4">
        <v>340085</v>
      </c>
      <c r="F45" s="4">
        <v>362403</v>
      </c>
      <c r="G45" s="4">
        <v>370657.28333333333</v>
      </c>
      <c r="H45" s="4">
        <v>378526.17833333334</v>
      </c>
      <c r="I45" s="4">
        <v>385949.62</v>
      </c>
      <c r="J45" s="4">
        <v>392867.6083333334</v>
      </c>
      <c r="K45" s="4">
        <v>399220.14333333331</v>
      </c>
      <c r="L45" s="4">
        <v>404947.22500000003</v>
      </c>
      <c r="M45" s="4">
        <v>409988.85333333339</v>
      </c>
      <c r="N45" s="4">
        <v>414285.02833333332</v>
      </c>
      <c r="O45" s="4">
        <v>417775.75</v>
      </c>
    </row>
    <row r="46" spans="1:15" x14ac:dyDescent="0.25">
      <c r="A46" s="209" t="s">
        <v>399</v>
      </c>
      <c r="B46" s="223">
        <v>121909</v>
      </c>
      <c r="C46" s="4">
        <v>135328</v>
      </c>
      <c r="D46" s="4">
        <v>159822</v>
      </c>
      <c r="E46" s="4">
        <v>172275</v>
      </c>
      <c r="F46" s="4">
        <v>181195</v>
      </c>
      <c r="G46" s="4">
        <v>181195</v>
      </c>
      <c r="H46" s="4">
        <v>181195</v>
      </c>
      <c r="I46" s="4">
        <v>181195</v>
      </c>
      <c r="J46" s="4">
        <v>181195</v>
      </c>
      <c r="K46" s="4">
        <v>181195</v>
      </c>
      <c r="L46" s="4">
        <v>181195</v>
      </c>
      <c r="M46" s="4">
        <v>181195</v>
      </c>
      <c r="N46" s="4">
        <v>181195</v>
      </c>
      <c r="O46" s="4">
        <v>181195</v>
      </c>
    </row>
    <row r="47" spans="1:15" x14ac:dyDescent="0.25">
      <c r="A47" s="209"/>
      <c r="B47" s="22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5">
      <c r="A48" s="306" t="s">
        <v>397</v>
      </c>
      <c r="B48" s="22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s="209" t="s">
        <v>102</v>
      </c>
      <c r="B49" s="223">
        <v>109754</v>
      </c>
      <c r="C49" s="4">
        <v>99445</v>
      </c>
      <c r="D49" s="4">
        <v>116061</v>
      </c>
      <c r="E49" s="4">
        <v>137722</v>
      </c>
      <c r="F49" s="4">
        <v>152941</v>
      </c>
      <c r="G49" s="4">
        <v>161904.4419600087</v>
      </c>
      <c r="H49" s="4">
        <v>175639.23946511938</v>
      </c>
      <c r="I49" s="4">
        <v>188144.71485424091</v>
      </c>
      <c r="J49" s="4">
        <v>198117.32515534616</v>
      </c>
      <c r="K49" s="4">
        <v>207207.7042951422</v>
      </c>
      <c r="L49" s="4">
        <v>215330.30655898576</v>
      </c>
      <c r="M49" s="4">
        <v>222323.07927020828</v>
      </c>
      <c r="N49" s="4">
        <v>227798.41012133964</v>
      </c>
      <c r="O49" s="4">
        <v>231402.07567621744</v>
      </c>
    </row>
    <row r="50" spans="1:15" x14ac:dyDescent="0.25">
      <c r="A50" s="209" t="s">
        <v>104</v>
      </c>
      <c r="B50" s="223">
        <v>209953</v>
      </c>
      <c r="C50" s="4">
        <v>225266</v>
      </c>
      <c r="D50" s="4">
        <v>251805</v>
      </c>
      <c r="E50" s="4">
        <v>266839</v>
      </c>
      <c r="F50" s="4">
        <v>273769</v>
      </c>
      <c r="G50" s="4">
        <v>282199.27972706576</v>
      </c>
      <c r="H50" s="4">
        <v>297428.43364439462</v>
      </c>
      <c r="I50" s="4">
        <v>311060.10865876992</v>
      </c>
      <c r="J50" s="4">
        <v>322047.23725964315</v>
      </c>
      <c r="K50" s="4">
        <v>332740.8532022885</v>
      </c>
      <c r="L50" s="4">
        <v>343225.32357531361</v>
      </c>
      <c r="M50" s="4">
        <v>353493.44373736822</v>
      </c>
      <c r="N50" s="4">
        <v>363334.61242262955</v>
      </c>
      <c r="O50" s="4">
        <v>372601.46676189936</v>
      </c>
    </row>
    <row r="51" spans="1:15" x14ac:dyDescent="0.25">
      <c r="A51" s="209" t="s">
        <v>395</v>
      </c>
      <c r="B51" s="223">
        <v>500</v>
      </c>
      <c r="C51" s="4">
        <v>500</v>
      </c>
      <c r="D51" s="4">
        <v>500</v>
      </c>
      <c r="E51" s="4">
        <v>500</v>
      </c>
      <c r="F51" s="4">
        <v>500</v>
      </c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 s="209"/>
      <c r="B52" s="22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209" t="s">
        <v>497</v>
      </c>
      <c r="B53" s="223">
        <v>70604</v>
      </c>
      <c r="C53" s="4">
        <v>91067</v>
      </c>
      <c r="D53" s="4">
        <v>51496</v>
      </c>
      <c r="E53" s="4">
        <v>125002</v>
      </c>
      <c r="F53" s="4">
        <v>147678</v>
      </c>
      <c r="G53" s="4">
        <v>156189.87341772151</v>
      </c>
      <c r="H53" s="4">
        <v>158658.22784810126</v>
      </c>
      <c r="I53" s="4">
        <v>161088.60759493671</v>
      </c>
      <c r="J53" s="4">
        <v>163481.01265822782</v>
      </c>
      <c r="K53" s="4">
        <v>165949.36708860757</v>
      </c>
      <c r="L53" s="4">
        <v>168379.74683544305</v>
      </c>
      <c r="M53" s="4">
        <v>170430.37974683542</v>
      </c>
      <c r="N53" s="4">
        <v>172746.83544303797</v>
      </c>
      <c r="O53" s="4">
        <v>175139.24050632908</v>
      </c>
    </row>
    <row r="54" spans="1:15" x14ac:dyDescent="0.25">
      <c r="A54" s="209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3" t="s">
        <v>437</v>
      </c>
      <c r="B56" s="308">
        <v>8.3000000000000001E-3</v>
      </c>
      <c r="C56" s="309">
        <v>8.8000000000000005E-3</v>
      </c>
      <c r="D56" s="309">
        <v>1.09E-2</v>
      </c>
      <c r="E56" s="309">
        <v>1.47E-2</v>
      </c>
      <c r="F56" s="309">
        <v>1.7999999999999999E-2</v>
      </c>
      <c r="G56" s="309">
        <v>0.02</v>
      </c>
      <c r="H56" s="309">
        <v>2.1999999999999999E-2</v>
      </c>
      <c r="I56" s="309">
        <v>2.4E-2</v>
      </c>
      <c r="J56" s="309">
        <v>2.5999999999999999E-2</v>
      </c>
      <c r="K56" s="309">
        <v>2.8000000000000001E-2</v>
      </c>
      <c r="L56" s="309">
        <v>0.03</v>
      </c>
      <c r="M56" s="309">
        <v>3.2000000000000001E-2</v>
      </c>
      <c r="N56" s="309">
        <v>3.4000000000000002E-2</v>
      </c>
      <c r="O56" s="309">
        <v>3.5999999999999997E-2</v>
      </c>
    </row>
    <row r="57" spans="1:15" x14ac:dyDescent="0.25">
      <c r="A57" s="3" t="s">
        <v>438</v>
      </c>
      <c r="B57" s="308">
        <v>1.43E-2</v>
      </c>
      <c r="C57" s="309">
        <v>1.1800000000000001E-2</v>
      </c>
      <c r="D57" s="309">
        <v>1.3899999999999999E-2</v>
      </c>
      <c r="E57" s="309">
        <v>1.77E-2</v>
      </c>
      <c r="F57" s="309">
        <v>2.0999999999999998E-2</v>
      </c>
      <c r="G57" s="309">
        <v>2.3E-2</v>
      </c>
      <c r="H57" s="309">
        <v>2.4999999999999998E-2</v>
      </c>
      <c r="I57" s="309">
        <v>2.7E-2</v>
      </c>
      <c r="J57" s="309">
        <v>2.8999999999999998E-2</v>
      </c>
      <c r="K57" s="309">
        <v>3.1E-2</v>
      </c>
      <c r="L57" s="309">
        <v>3.3000000000000002E-2</v>
      </c>
      <c r="M57" s="309">
        <v>3.5000000000000003E-2</v>
      </c>
      <c r="N57" s="309">
        <v>3.7000000000000005E-2</v>
      </c>
      <c r="O57" s="309">
        <v>3.9E-2</v>
      </c>
    </row>
    <row r="58" spans="1:15" x14ac:dyDescent="0.25">
      <c r="A58" s="3" t="s">
        <v>439</v>
      </c>
      <c r="B58" s="308">
        <v>1.23E-2</v>
      </c>
      <c r="C58" s="309">
        <v>1.2800000000000001E-2</v>
      </c>
      <c r="D58" s="309">
        <v>1.49E-2</v>
      </c>
      <c r="E58" s="309">
        <v>1.8700000000000001E-2</v>
      </c>
      <c r="F58" s="309">
        <v>2.1999999999999999E-2</v>
      </c>
      <c r="G58" s="309">
        <v>2.4E-2</v>
      </c>
      <c r="H58" s="309">
        <v>2.5999999999999999E-2</v>
      </c>
      <c r="I58" s="309">
        <v>2.8000000000000001E-2</v>
      </c>
      <c r="J58" s="309">
        <v>0.03</v>
      </c>
      <c r="K58" s="309">
        <v>3.2000000000000001E-2</v>
      </c>
      <c r="L58" s="309">
        <v>3.4000000000000002E-2</v>
      </c>
      <c r="M58" s="309">
        <v>3.6000000000000004E-2</v>
      </c>
      <c r="N58" s="309">
        <v>3.8000000000000006E-2</v>
      </c>
      <c r="O58" s="309">
        <v>3.9999999999999994E-2</v>
      </c>
    </row>
    <row r="59" spans="1:15" x14ac:dyDescent="0.25">
      <c r="A59" s="3" t="s">
        <v>440</v>
      </c>
      <c r="B59" s="223">
        <v>1500000</v>
      </c>
      <c r="C59" s="4">
        <v>1066000</v>
      </c>
      <c r="D59" s="4">
        <v>1066000</v>
      </c>
      <c r="E59" s="4">
        <v>1066000</v>
      </c>
      <c r="F59" s="4">
        <v>1066000</v>
      </c>
      <c r="G59" s="4">
        <v>1066000</v>
      </c>
      <c r="H59" s="4">
        <v>1066000</v>
      </c>
      <c r="I59" s="4">
        <v>1066000</v>
      </c>
      <c r="J59" s="4">
        <v>1066000</v>
      </c>
      <c r="K59" s="4">
        <v>1066000</v>
      </c>
      <c r="L59" s="4">
        <v>1066000</v>
      </c>
      <c r="M59" s="4">
        <v>1066000</v>
      </c>
      <c r="N59" s="4">
        <v>1066000</v>
      </c>
      <c r="O59" s="4">
        <v>1066000</v>
      </c>
    </row>
    <row r="60" spans="1:15" s="313" customFormat="1" x14ac:dyDescent="0.25">
      <c r="A60" s="310" t="s">
        <v>441</v>
      </c>
      <c r="B60" s="311">
        <v>-14800</v>
      </c>
      <c r="C60" s="312">
        <v>-14442.8</v>
      </c>
      <c r="D60" s="312">
        <v>-16681.400000000001</v>
      </c>
      <c r="E60" s="312">
        <v>-20732.2</v>
      </c>
      <c r="F60" s="312">
        <v>-24250</v>
      </c>
      <c r="G60" s="312">
        <v>-26382</v>
      </c>
      <c r="H60" s="312">
        <v>-28514</v>
      </c>
      <c r="I60" s="312">
        <v>-30646</v>
      </c>
      <c r="J60" s="312">
        <v>-32778</v>
      </c>
      <c r="K60" s="312">
        <v>-34910</v>
      </c>
      <c r="L60" s="312">
        <v>-37042</v>
      </c>
      <c r="M60" s="312">
        <v>-39174</v>
      </c>
      <c r="N60" s="312">
        <v>-41306</v>
      </c>
      <c r="O60" s="312">
        <v>-43437.999999999993</v>
      </c>
    </row>
    <row r="61" spans="1:15" s="313" customFormat="1" x14ac:dyDescent="0.25">
      <c r="A61" s="310" t="s">
        <v>493</v>
      </c>
      <c r="B61" s="311">
        <v>93748.800000000003</v>
      </c>
      <c r="C61" s="312">
        <v>97655</v>
      </c>
      <c r="D61" s="312">
        <v>107420.5</v>
      </c>
      <c r="E61" s="312">
        <v>112303.25</v>
      </c>
      <c r="F61" s="312">
        <v>117186</v>
      </c>
      <c r="G61" s="312">
        <v>121092.20000000001</v>
      </c>
      <c r="H61" s="312">
        <v>124998.40000000001</v>
      </c>
      <c r="I61" s="312">
        <v>128904.6</v>
      </c>
      <c r="J61" s="312">
        <v>132810.80000000002</v>
      </c>
      <c r="K61" s="312">
        <v>136717</v>
      </c>
      <c r="L61" s="312">
        <v>140623.20000000001</v>
      </c>
      <c r="M61" s="312">
        <v>144529.4</v>
      </c>
      <c r="N61" s="312">
        <v>148435.6</v>
      </c>
      <c r="O61" s="312">
        <v>152341.80000000002</v>
      </c>
    </row>
    <row r="62" spans="1:15" s="313" customFormat="1" x14ac:dyDescent="0.25">
      <c r="A62" s="310" t="s">
        <v>442</v>
      </c>
      <c r="B62" s="311">
        <v>4456055.0093434341</v>
      </c>
      <c r="C62" s="312">
        <v>5308881.4271212118</v>
      </c>
      <c r="D62" s="312">
        <v>5607222.4797138032</v>
      </c>
      <c r="E62" s="312">
        <v>5710645.0465656547</v>
      </c>
      <c r="F62" s="312">
        <v>5494758.5754545433</v>
      </c>
      <c r="G62" s="312">
        <v>5648143.0904625338</v>
      </c>
      <c r="H62" s="312">
        <v>5828880.0971228164</v>
      </c>
      <c r="I62" s="312">
        <v>5857555.0490218876</v>
      </c>
      <c r="J62" s="312">
        <v>5855000.4672567938</v>
      </c>
      <c r="K62" s="312">
        <v>5844383.9151186757</v>
      </c>
      <c r="L62" s="312">
        <v>5808102.5128606968</v>
      </c>
      <c r="M62" s="312">
        <v>5763752.3575292705</v>
      </c>
      <c r="N62" s="312">
        <v>5681744.5778163802</v>
      </c>
      <c r="O62" s="312">
        <v>5583827.5387009298</v>
      </c>
    </row>
    <row r="63" spans="1:15" s="313" customFormat="1" x14ac:dyDescent="0.25">
      <c r="A63" s="310" t="s">
        <v>85</v>
      </c>
      <c r="B63" s="311">
        <v>93523</v>
      </c>
      <c r="C63" s="312">
        <v>91255.927726666661</v>
      </c>
      <c r="D63" s="312">
        <v>105029.77741377777</v>
      </c>
      <c r="E63" s="312">
        <v>122081.63439222221</v>
      </c>
      <c r="F63" s="312">
        <v>133326.45354833332</v>
      </c>
      <c r="G63" s="312">
        <v>139950.7919600087</v>
      </c>
      <c r="H63" s="312">
        <v>151636.88946511937</v>
      </c>
      <c r="I63" s="312">
        <v>162443.66485424089</v>
      </c>
      <c r="J63" s="312">
        <v>171127.57515534616</v>
      </c>
      <c r="K63" s="312">
        <v>179399.25429514219</v>
      </c>
      <c r="L63" s="312">
        <v>187233.15655898573</v>
      </c>
      <c r="M63" s="312">
        <v>194527.22927020828</v>
      </c>
      <c r="N63" s="312">
        <v>200953.86012133962</v>
      </c>
      <c r="O63" s="312">
        <v>206218.82567621741</v>
      </c>
    </row>
    <row r="64" spans="1:15" s="313" customFormat="1" x14ac:dyDescent="0.25">
      <c r="A64" s="310" t="s">
        <v>443</v>
      </c>
      <c r="B64" s="311">
        <v>209953</v>
      </c>
      <c r="C64" s="312">
        <v>225266.24888888889</v>
      </c>
      <c r="D64" s="312">
        <v>251804.61407407408</v>
      </c>
      <c r="E64" s="312">
        <v>266839.09981481481</v>
      </c>
      <c r="F64" s="312">
        <v>273769.1377777778</v>
      </c>
      <c r="G64" s="312">
        <v>282199.27972706576</v>
      </c>
      <c r="H64" s="312">
        <v>297428.43364439462</v>
      </c>
      <c r="I64" s="312">
        <v>311060.10865876992</v>
      </c>
      <c r="J64" s="312">
        <v>322047.23725964315</v>
      </c>
      <c r="K64" s="312">
        <v>332740.8532022885</v>
      </c>
      <c r="L64" s="312">
        <v>343225.32357531361</v>
      </c>
      <c r="M64" s="312">
        <v>353493.44373736822</v>
      </c>
      <c r="N64" s="312">
        <v>363334.61242262955</v>
      </c>
      <c r="O64" s="312">
        <v>372601.46676189936</v>
      </c>
    </row>
    <row r="65" spans="1:15" s="313" customFormat="1" x14ac:dyDescent="0.25">
      <c r="A65" s="310" t="s">
        <v>444</v>
      </c>
      <c r="B65" s="311">
        <v>-16170</v>
      </c>
      <c r="C65" s="312">
        <v>-15706.328000000001</v>
      </c>
      <c r="D65" s="312">
        <v>-15995.03741666667</v>
      </c>
      <c r="E65" s="312">
        <v>-16968.106250000004</v>
      </c>
      <c r="F65" s="312">
        <v>-17540.985000000001</v>
      </c>
      <c r="G65" s="312">
        <v>-17418.433333333334</v>
      </c>
      <c r="H65" s="312">
        <v>-17200.428333333333</v>
      </c>
      <c r="I65" s="312">
        <v>-16886.97</v>
      </c>
      <c r="J65" s="312">
        <v>-16478.058333333334</v>
      </c>
      <c r="K65" s="312">
        <v>-15973.693333333336</v>
      </c>
      <c r="L65" s="312">
        <v>-15373.875000000002</v>
      </c>
      <c r="M65" s="312">
        <v>-14678.603333333336</v>
      </c>
      <c r="N65" s="312">
        <v>-13887.878333333338</v>
      </c>
      <c r="O65" s="312">
        <v>-13001.7</v>
      </c>
    </row>
    <row r="66" spans="1:15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1" t="s">
        <v>445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3" t="s">
        <v>446</v>
      </c>
      <c r="B68" s="223">
        <v>-204739</v>
      </c>
      <c r="C68" s="4">
        <v>-210534</v>
      </c>
      <c r="D68" s="4">
        <v>-110383</v>
      </c>
      <c r="E68" s="4">
        <v>-91611</v>
      </c>
      <c r="F68" s="4">
        <v>-40487</v>
      </c>
      <c r="G68" s="4">
        <v>-108641.82379166665</v>
      </c>
      <c r="H68" s="4">
        <v>-116591.82379166665</v>
      </c>
      <c r="I68" s="4">
        <v>-92591.823791666655</v>
      </c>
      <c r="J68" s="4">
        <v>-89441.823791666655</v>
      </c>
      <c r="K68" s="4">
        <v>-90341.823791666655</v>
      </c>
      <c r="L68" s="4">
        <v>-88091.823791666655</v>
      </c>
      <c r="M68" s="4">
        <v>-88841.823791666655</v>
      </c>
      <c r="N68" s="4">
        <v>-84341.823791666655</v>
      </c>
      <c r="O68" s="4">
        <v>-83591.823791666655</v>
      </c>
    </row>
    <row r="69" spans="1:15" x14ac:dyDescent="0.25">
      <c r="A69" s="3" t="s">
        <v>447</v>
      </c>
      <c r="B69" s="22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3" t="s">
        <v>448</v>
      </c>
      <c r="B70" s="223">
        <v>355100</v>
      </c>
      <c r="C70" s="4">
        <v>443150</v>
      </c>
      <c r="D70" s="4">
        <v>338500</v>
      </c>
      <c r="E70" s="4">
        <v>200500</v>
      </c>
      <c r="F70" s="4">
        <v>73000</v>
      </c>
      <c r="G70" s="4">
        <v>92000</v>
      </c>
      <c r="H70" s="4">
        <v>45000</v>
      </c>
      <c r="I70" s="4">
        <v>25000</v>
      </c>
      <c r="J70" s="4">
        <v>25000</v>
      </c>
      <c r="K70" s="4">
        <v>25000</v>
      </c>
      <c r="L70" s="4">
        <v>25000</v>
      </c>
      <c r="M70" s="4">
        <v>25000</v>
      </c>
      <c r="N70" s="4">
        <v>25000</v>
      </c>
      <c r="O70" s="4">
        <v>25000</v>
      </c>
    </row>
    <row r="71" spans="1:15" x14ac:dyDescent="0.25">
      <c r="A71" s="3" t="s">
        <v>449</v>
      </c>
      <c r="B71" s="223">
        <v>50200</v>
      </c>
      <c r="C71" s="4">
        <v>52115</v>
      </c>
      <c r="D71" s="4">
        <v>4000</v>
      </c>
      <c r="E71" s="4">
        <v>1000</v>
      </c>
      <c r="F71" s="4">
        <v>1000</v>
      </c>
      <c r="G71" s="4">
        <v>12000</v>
      </c>
      <c r="H71" s="4">
        <v>12000</v>
      </c>
      <c r="I71" s="4">
        <v>12000</v>
      </c>
      <c r="J71" s="4">
        <v>12000</v>
      </c>
      <c r="K71" s="4">
        <v>12000</v>
      </c>
      <c r="L71" s="4">
        <v>32000</v>
      </c>
      <c r="M71" s="4">
        <v>47000</v>
      </c>
      <c r="N71" s="4">
        <v>17000</v>
      </c>
      <c r="O71" s="4">
        <v>12000</v>
      </c>
    </row>
    <row r="72" spans="1:15" x14ac:dyDescent="0.25">
      <c r="A72" s="3" t="s">
        <v>450</v>
      </c>
      <c r="B72" s="223">
        <v>250780</v>
      </c>
      <c r="C72" s="4">
        <v>171335</v>
      </c>
      <c r="D72" s="4">
        <v>179260</v>
      </c>
      <c r="E72" s="4">
        <v>169230</v>
      </c>
      <c r="F72" s="4">
        <v>30320</v>
      </c>
      <c r="G72" s="4">
        <v>146667.71416666667</v>
      </c>
      <c r="H72" s="4">
        <v>146667.71416666667</v>
      </c>
      <c r="I72" s="4">
        <v>156667.71416666667</v>
      </c>
      <c r="J72" s="4">
        <v>185667.71416666667</v>
      </c>
      <c r="K72" s="4">
        <v>191667.71416666667</v>
      </c>
      <c r="L72" s="4">
        <v>156667.71416666667</v>
      </c>
      <c r="M72" s="4">
        <v>146667.71416666667</v>
      </c>
      <c r="N72" s="4">
        <v>146667.71416666667</v>
      </c>
      <c r="O72" s="4">
        <v>146667.71416666667</v>
      </c>
    </row>
    <row r="73" spans="1:15" x14ac:dyDescent="0.25">
      <c r="A73" s="3" t="s">
        <v>451</v>
      </c>
      <c r="B73" s="223">
        <v>21100</v>
      </c>
      <c r="C73" s="4">
        <v>13998</v>
      </c>
      <c r="D73" s="4">
        <v>3919</v>
      </c>
      <c r="E73" s="4">
        <v>1234</v>
      </c>
      <c r="F73" s="4">
        <v>645</v>
      </c>
      <c r="G73" s="4">
        <v>5000</v>
      </c>
      <c r="H73" s="4">
        <v>5000</v>
      </c>
      <c r="I73" s="4">
        <v>5000</v>
      </c>
      <c r="J73" s="4">
        <v>5000</v>
      </c>
      <c r="K73" s="4">
        <v>5000</v>
      </c>
      <c r="L73" s="4">
        <v>5000</v>
      </c>
      <c r="M73" s="4">
        <v>5000</v>
      </c>
      <c r="N73" s="4">
        <v>5000</v>
      </c>
      <c r="O73" s="4">
        <v>5000</v>
      </c>
    </row>
    <row r="74" spans="1:15" x14ac:dyDescent="0.25">
      <c r="A74" s="3" t="s">
        <v>452</v>
      </c>
      <c r="B74" s="223">
        <v>212554</v>
      </c>
      <c r="C74" s="4">
        <v>251431</v>
      </c>
      <c r="D74" s="4">
        <v>128059</v>
      </c>
      <c r="E74" s="4">
        <v>47496</v>
      </c>
      <c r="F74" s="4">
        <v>-6854</v>
      </c>
      <c r="G74" s="4">
        <v>70000</v>
      </c>
      <c r="H74" s="4">
        <v>70000</v>
      </c>
      <c r="I74" s="4">
        <v>70000</v>
      </c>
      <c r="J74" s="4">
        <v>70000</v>
      </c>
      <c r="K74" s="4">
        <v>70000</v>
      </c>
      <c r="L74" s="4">
        <v>70000</v>
      </c>
      <c r="M74" s="4">
        <v>70000</v>
      </c>
      <c r="N74" s="4">
        <v>70000</v>
      </c>
      <c r="O74" s="4">
        <v>70000</v>
      </c>
    </row>
    <row r="75" spans="1:15" x14ac:dyDescent="0.25">
      <c r="A75" s="3" t="s">
        <v>453</v>
      </c>
      <c r="B75" s="223">
        <v>130400</v>
      </c>
      <c r="C75" s="4">
        <v>99412</v>
      </c>
      <c r="D75" s="4">
        <v>76400</v>
      </c>
      <c r="E75" s="4">
        <v>68500</v>
      </c>
      <c r="F75" s="4">
        <v>82000</v>
      </c>
      <c r="G75" s="4">
        <v>87500</v>
      </c>
      <c r="H75" s="4">
        <v>87500</v>
      </c>
      <c r="I75" s="4">
        <v>87500</v>
      </c>
      <c r="J75" s="4">
        <v>87500</v>
      </c>
      <c r="K75" s="4">
        <v>87500</v>
      </c>
      <c r="L75" s="4">
        <v>87500</v>
      </c>
      <c r="M75" s="4">
        <v>87500</v>
      </c>
      <c r="N75" s="4">
        <v>87500</v>
      </c>
      <c r="O75" s="4">
        <v>87500</v>
      </c>
    </row>
    <row r="76" spans="1:15" x14ac:dyDescent="0.25">
      <c r="A76" s="3" t="s">
        <v>454</v>
      </c>
      <c r="B76" s="223">
        <v>312995</v>
      </c>
      <c r="C76" s="4">
        <v>328316</v>
      </c>
      <c r="D76" s="4">
        <v>-14200</v>
      </c>
      <c r="E76" s="4">
        <v>106178</v>
      </c>
      <c r="F76" s="4">
        <v>73200</v>
      </c>
      <c r="G76" s="4">
        <v>165000</v>
      </c>
      <c r="H76" s="4">
        <v>265000</v>
      </c>
      <c r="I76" s="4">
        <v>115000</v>
      </c>
      <c r="J76" s="4">
        <v>65000</v>
      </c>
      <c r="K76" s="4">
        <v>65000</v>
      </c>
      <c r="L76" s="4">
        <v>65000</v>
      </c>
      <c r="M76" s="4">
        <v>65000</v>
      </c>
      <c r="N76" s="4">
        <v>65000</v>
      </c>
      <c r="O76" s="4">
        <v>65000</v>
      </c>
    </row>
    <row r="77" spans="1:15" x14ac:dyDescent="0.25">
      <c r="A77" s="3" t="s">
        <v>455</v>
      </c>
      <c r="B77" s="223">
        <v>27800</v>
      </c>
      <c r="C77" s="4">
        <v>43800</v>
      </c>
      <c r="D77" s="4">
        <v>19950</v>
      </c>
      <c r="E77" s="4">
        <v>16600</v>
      </c>
      <c r="F77" s="4">
        <v>16600</v>
      </c>
      <c r="G77" s="4">
        <v>35000</v>
      </c>
      <c r="H77" s="4">
        <v>35000</v>
      </c>
      <c r="I77" s="4">
        <v>35000</v>
      </c>
      <c r="J77" s="4">
        <v>35000</v>
      </c>
      <c r="K77" s="4">
        <v>35000</v>
      </c>
      <c r="L77" s="4">
        <v>35000</v>
      </c>
      <c r="M77" s="4">
        <v>35000</v>
      </c>
      <c r="N77" s="4">
        <v>35000</v>
      </c>
      <c r="O77" s="4">
        <v>35000</v>
      </c>
    </row>
    <row r="78" spans="1:15" x14ac:dyDescent="0.25">
      <c r="A78" s="3" t="s">
        <v>456</v>
      </c>
      <c r="B78" s="223">
        <v>0</v>
      </c>
      <c r="C78" s="4">
        <v>0</v>
      </c>
      <c r="D78" s="4">
        <v>0</v>
      </c>
      <c r="E78" s="4">
        <v>0</v>
      </c>
      <c r="F78" s="4">
        <v>0</v>
      </c>
      <c r="G78" s="4">
        <v>111111.11111111111</v>
      </c>
      <c r="H78" s="4">
        <v>111111.11111111111</v>
      </c>
      <c r="I78" s="4">
        <v>111111.11111111111</v>
      </c>
      <c r="J78" s="4">
        <v>111111.11111111111</v>
      </c>
      <c r="K78" s="4">
        <v>111111.11111111111</v>
      </c>
      <c r="L78" s="4">
        <v>111111.11111111111</v>
      </c>
      <c r="M78" s="4">
        <v>111111.11111111111</v>
      </c>
      <c r="N78" s="4">
        <v>111111.11111111111</v>
      </c>
      <c r="O78" s="4">
        <v>111111.11111111111</v>
      </c>
    </row>
    <row r="79" spans="1:15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3" t="s">
        <v>459</v>
      </c>
      <c r="B80" s="223">
        <v>-1061723</v>
      </c>
      <c r="C80" s="4">
        <v>-1078092.6666666667</v>
      </c>
      <c r="D80" s="4">
        <v>-550145.66666666674</v>
      </c>
      <c r="E80" s="4">
        <v>-370261.66666666669</v>
      </c>
      <c r="F80" s="4">
        <v>-57882.666666666686</v>
      </c>
      <c r="G80" s="4">
        <v>-435583.79473505623</v>
      </c>
      <c r="H80" s="4">
        <v>-478165.44030467654</v>
      </c>
      <c r="I80" s="4">
        <v>-339735.06055784109</v>
      </c>
      <c r="J80" s="4">
        <v>-319492.65549454989</v>
      </c>
      <c r="K80" s="4">
        <v>-322124.3010641702</v>
      </c>
      <c r="L80" s="4">
        <v>-306943.92131733475</v>
      </c>
      <c r="M80" s="4">
        <v>-309143.28840594238</v>
      </c>
      <c r="N80" s="4">
        <v>-281326.8327097398</v>
      </c>
      <c r="O80" s="4">
        <v>-274684.42764644872</v>
      </c>
    </row>
    <row r="81" spans="1:15" x14ac:dyDescent="0.25">
      <c r="A81" s="3" t="s">
        <v>460</v>
      </c>
      <c r="B81" s="223">
        <v>-23863</v>
      </c>
      <c r="C81" s="4">
        <v>-23863.333333333336</v>
      </c>
      <c r="D81" s="4">
        <v>-23863.333333333336</v>
      </c>
      <c r="E81" s="4">
        <v>-23863.333333333336</v>
      </c>
      <c r="F81" s="4">
        <v>-23863.333333333336</v>
      </c>
      <c r="G81" s="4">
        <v>-23863.333333333336</v>
      </c>
      <c r="H81" s="4">
        <v>-23863.333333333336</v>
      </c>
      <c r="I81" s="4">
        <v>-23863.333333333336</v>
      </c>
      <c r="J81" s="4">
        <v>-23863.333333333336</v>
      </c>
      <c r="K81" s="4">
        <v>-23863.333333333336</v>
      </c>
      <c r="L81" s="4">
        <v>-23863.333333333336</v>
      </c>
      <c r="M81" s="4">
        <v>-23863.333333333336</v>
      </c>
      <c r="N81" s="4">
        <v>-23863.333333333336</v>
      </c>
      <c r="O81" s="4">
        <v>-23863.333333333336</v>
      </c>
    </row>
    <row r="82" spans="1:15" x14ac:dyDescent="0.25">
      <c r="A82" s="3" t="s">
        <v>461</v>
      </c>
      <c r="B82" s="223">
        <v>-70604</v>
      </c>
      <c r="C82" s="4">
        <v>-91067</v>
      </c>
      <c r="D82" s="4">
        <v>-51496</v>
      </c>
      <c r="E82" s="4">
        <v>-125002</v>
      </c>
      <c r="F82" s="4">
        <v>-147678</v>
      </c>
      <c r="G82" s="4">
        <v>-156189.87341772151</v>
      </c>
      <c r="H82" s="4">
        <v>-158658.22784810126</v>
      </c>
      <c r="I82" s="4">
        <v>-161088.60759493671</v>
      </c>
      <c r="J82" s="4">
        <v>-163481.01265822782</v>
      </c>
      <c r="K82" s="4">
        <v>-165949.36708860757</v>
      </c>
      <c r="L82" s="4">
        <v>-168379.74683544305</v>
      </c>
      <c r="M82" s="4">
        <v>-170430.37974683542</v>
      </c>
      <c r="N82" s="4">
        <v>-172746.83544303797</v>
      </c>
      <c r="O82" s="4">
        <v>-175139.24050632908</v>
      </c>
    </row>
  </sheetData>
  <pageMargins left="0.7" right="0.7" top="0.75" bottom="0.75" header="0.3" footer="0.3"/>
  <pageSetup paperSize="9" scale="3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80" zoomScaleNormal="80" workbookViewId="0">
      <selection activeCell="F49" sqref="F49"/>
    </sheetView>
  </sheetViews>
  <sheetFormatPr baseColWidth="10" defaultRowHeight="15" x14ac:dyDescent="0.25"/>
  <cols>
    <col min="1" max="1" width="36.42578125" bestFit="1" customWidth="1"/>
    <col min="2" max="2" width="13.5703125" customWidth="1"/>
    <col min="3" max="3" width="12.85546875" bestFit="1" customWidth="1"/>
    <col min="4" max="15" width="12.28515625" bestFit="1" customWidth="1"/>
  </cols>
  <sheetData>
    <row r="1" spans="1:15" ht="30" x14ac:dyDescent="0.25">
      <c r="A1" s="245" t="s">
        <v>494</v>
      </c>
      <c r="B1" s="244" t="s">
        <v>436</v>
      </c>
      <c r="C1" s="243">
        <v>2018</v>
      </c>
      <c r="D1" s="243">
        <v>2019</v>
      </c>
      <c r="E1" s="243">
        <v>2020</v>
      </c>
      <c r="F1" s="243">
        <v>2021</v>
      </c>
      <c r="G1" s="243">
        <v>2022</v>
      </c>
      <c r="H1" s="243">
        <v>2023</v>
      </c>
      <c r="I1" s="243">
        <v>2024</v>
      </c>
      <c r="J1" s="243">
        <v>2025</v>
      </c>
      <c r="K1" s="243">
        <v>2026</v>
      </c>
      <c r="L1" s="243">
        <v>2027</v>
      </c>
      <c r="M1" s="243">
        <v>2028</v>
      </c>
      <c r="N1" s="243">
        <v>2029</v>
      </c>
      <c r="O1" s="243">
        <v>2030</v>
      </c>
    </row>
    <row r="2" spans="1:15" x14ac:dyDescent="0.25">
      <c r="A2" s="30" t="s">
        <v>437</v>
      </c>
      <c r="B2" s="238">
        <v>8.3000000000000001E-3</v>
      </c>
      <c r="C2" s="238">
        <v>8.8000000000000005E-3</v>
      </c>
      <c r="D2" s="238">
        <v>1.09E-2</v>
      </c>
      <c r="E2" s="238">
        <v>1.47E-2</v>
      </c>
      <c r="F2" s="238">
        <v>1.7999999999999999E-2</v>
      </c>
      <c r="G2" s="238">
        <v>0.02</v>
      </c>
      <c r="H2" s="238">
        <v>2.1999999999999999E-2</v>
      </c>
      <c r="I2" s="238">
        <v>2.4E-2</v>
      </c>
      <c r="J2" s="238">
        <v>2.5999999999999999E-2</v>
      </c>
      <c r="K2" s="238">
        <v>2.8000000000000001E-2</v>
      </c>
      <c r="L2" s="238">
        <v>0.03</v>
      </c>
      <c r="M2" s="238">
        <v>3.2000000000000001E-2</v>
      </c>
      <c r="N2" s="238">
        <v>3.4000000000000002E-2</v>
      </c>
      <c r="O2" s="238">
        <v>3.5999999999999997E-2</v>
      </c>
    </row>
    <row r="3" spans="1:15" x14ac:dyDescent="0.25">
      <c r="A3" s="30" t="s">
        <v>438</v>
      </c>
      <c r="B3" s="238">
        <v>1.43E-2</v>
      </c>
      <c r="C3" s="238">
        <v>1.1800000000000001E-2</v>
      </c>
      <c r="D3" s="238">
        <v>1.3899999999999999E-2</v>
      </c>
      <c r="E3" s="238">
        <v>1.77E-2</v>
      </c>
      <c r="F3" s="238">
        <v>2.0999999999999998E-2</v>
      </c>
      <c r="G3" s="238">
        <v>2.3E-2</v>
      </c>
      <c r="H3" s="238">
        <v>2.4999999999999998E-2</v>
      </c>
      <c r="I3" s="238">
        <v>2.7E-2</v>
      </c>
      <c r="J3" s="238">
        <v>2.8999999999999998E-2</v>
      </c>
      <c r="K3" s="238">
        <v>3.1E-2</v>
      </c>
      <c r="L3" s="238">
        <v>3.3000000000000002E-2</v>
      </c>
      <c r="M3" s="238">
        <v>3.5000000000000003E-2</v>
      </c>
      <c r="N3" s="238">
        <v>3.7000000000000005E-2</v>
      </c>
      <c r="O3" s="238">
        <v>3.9E-2</v>
      </c>
    </row>
    <row r="4" spans="1:15" x14ac:dyDescent="0.25">
      <c r="A4" s="30" t="s">
        <v>439</v>
      </c>
      <c r="B4" s="238">
        <v>1.23E-2</v>
      </c>
      <c r="C4" s="238">
        <v>1.2800000000000001E-2</v>
      </c>
      <c r="D4" s="238">
        <v>1.49E-2</v>
      </c>
      <c r="E4" s="238">
        <v>1.8700000000000001E-2</v>
      </c>
      <c r="F4" s="238">
        <v>2.1999999999999999E-2</v>
      </c>
      <c r="G4" s="238">
        <v>2.4E-2</v>
      </c>
      <c r="H4" s="238">
        <v>2.5999999999999999E-2</v>
      </c>
      <c r="I4" s="238">
        <v>2.8000000000000001E-2</v>
      </c>
      <c r="J4" s="238">
        <v>0.03</v>
      </c>
      <c r="K4" s="238">
        <v>3.2000000000000001E-2</v>
      </c>
      <c r="L4" s="238">
        <v>3.4000000000000002E-2</v>
      </c>
      <c r="M4" s="238">
        <v>3.6000000000000004E-2</v>
      </c>
      <c r="N4" s="238">
        <v>3.8000000000000006E-2</v>
      </c>
      <c r="O4" s="238">
        <v>3.9999999999999994E-2</v>
      </c>
    </row>
    <row r="5" spans="1:15" x14ac:dyDescent="0.25">
      <c r="A5" s="30" t="s">
        <v>440</v>
      </c>
      <c r="B5" s="239">
        <v>1500000</v>
      </c>
      <c r="C5" s="239">
        <v>1066000</v>
      </c>
      <c r="D5" s="239">
        <v>1066000</v>
      </c>
      <c r="E5" s="239">
        <v>1066000</v>
      </c>
      <c r="F5" s="239">
        <v>1066000</v>
      </c>
      <c r="G5" s="239">
        <v>1066000</v>
      </c>
      <c r="H5" s="239">
        <v>1066000</v>
      </c>
      <c r="I5" s="239">
        <v>1066000</v>
      </c>
      <c r="J5" s="239">
        <v>1066000</v>
      </c>
      <c r="K5" s="239">
        <v>1066000</v>
      </c>
      <c r="L5" s="239">
        <v>1066000</v>
      </c>
      <c r="M5" s="239">
        <v>1066000</v>
      </c>
      <c r="N5" s="239">
        <v>1066000</v>
      </c>
      <c r="O5" s="239">
        <v>1066000</v>
      </c>
    </row>
    <row r="6" spans="1:15" x14ac:dyDescent="0.25">
      <c r="A6" s="30" t="s">
        <v>441</v>
      </c>
      <c r="B6" s="239">
        <v>-14800</v>
      </c>
      <c r="C6" s="239">
        <v>-14442.8</v>
      </c>
      <c r="D6" s="239">
        <v>-16681.400000000001</v>
      </c>
      <c r="E6" s="239">
        <v>-20732.2</v>
      </c>
      <c r="F6" s="239">
        <v>-24250</v>
      </c>
      <c r="G6" s="239">
        <v>-26382</v>
      </c>
      <c r="H6" s="239">
        <v>-28514</v>
      </c>
      <c r="I6" s="239">
        <v>-30646</v>
      </c>
      <c r="J6" s="239">
        <v>-32778</v>
      </c>
      <c r="K6" s="239">
        <v>-34910</v>
      </c>
      <c r="L6" s="239">
        <v>-37042</v>
      </c>
      <c r="M6" s="239">
        <v>-39174</v>
      </c>
      <c r="N6" s="239">
        <v>-41306</v>
      </c>
      <c r="O6" s="239">
        <v>-43437.999999999993</v>
      </c>
    </row>
    <row r="7" spans="1:15" x14ac:dyDescent="0.25">
      <c r="A7" s="30" t="s">
        <v>493</v>
      </c>
      <c r="B7" s="239">
        <v>93748.800000000003</v>
      </c>
      <c r="C7" s="239">
        <v>97655</v>
      </c>
      <c r="D7" s="239">
        <v>107420.5</v>
      </c>
      <c r="E7" s="239">
        <v>112303.25</v>
      </c>
      <c r="F7" s="239">
        <v>117186</v>
      </c>
      <c r="G7" s="239">
        <v>121092.20000000001</v>
      </c>
      <c r="H7" s="239">
        <v>124998.40000000001</v>
      </c>
      <c r="I7" s="239">
        <v>128904.6</v>
      </c>
      <c r="J7" s="239">
        <v>132810.80000000002</v>
      </c>
      <c r="K7" s="239">
        <v>136717</v>
      </c>
      <c r="L7" s="239">
        <v>140623.20000000001</v>
      </c>
      <c r="M7" s="239">
        <v>144529.4</v>
      </c>
      <c r="N7" s="239">
        <v>148435.6</v>
      </c>
      <c r="O7" s="239">
        <v>152341.80000000002</v>
      </c>
    </row>
    <row r="8" spans="1:15" x14ac:dyDescent="0.25">
      <c r="A8" s="30" t="s">
        <v>442</v>
      </c>
      <c r="B8" s="239">
        <v>4456055.0093434341</v>
      </c>
      <c r="C8" s="239">
        <v>5308881.4271212118</v>
      </c>
      <c r="D8" s="239">
        <v>5607222.4797138032</v>
      </c>
      <c r="E8" s="239">
        <v>5710645.0465656547</v>
      </c>
      <c r="F8" s="239">
        <v>5494758.5754545433</v>
      </c>
      <c r="G8" s="239">
        <v>5648143.0904625338</v>
      </c>
      <c r="H8" s="239">
        <v>5828880.0971228164</v>
      </c>
      <c r="I8" s="239">
        <v>5857555.0490218876</v>
      </c>
      <c r="J8" s="239">
        <v>5855000.4672567938</v>
      </c>
      <c r="K8" s="239">
        <v>5844383.9151186757</v>
      </c>
      <c r="L8" s="239">
        <v>5808102.5128606968</v>
      </c>
      <c r="M8" s="239">
        <v>5763752.3575292705</v>
      </c>
      <c r="N8" s="239">
        <v>5681744.5778163802</v>
      </c>
      <c r="O8" s="239">
        <v>5583827.5387009298</v>
      </c>
    </row>
    <row r="9" spans="1:15" x14ac:dyDescent="0.25">
      <c r="A9" s="30" t="s">
        <v>85</v>
      </c>
      <c r="B9" s="239">
        <v>93523</v>
      </c>
      <c r="C9" s="239">
        <v>91255.927726666661</v>
      </c>
      <c r="D9" s="239">
        <v>105029.77741377777</v>
      </c>
      <c r="E9" s="239">
        <v>122081.63439222221</v>
      </c>
      <c r="F9" s="239">
        <v>133326.45354833332</v>
      </c>
      <c r="G9" s="239">
        <v>139950.7919600087</v>
      </c>
      <c r="H9" s="239">
        <v>151636.88946511937</v>
      </c>
      <c r="I9" s="239">
        <v>162443.66485424089</v>
      </c>
      <c r="J9" s="239">
        <v>171127.57515534616</v>
      </c>
      <c r="K9" s="239">
        <v>179399.25429514219</v>
      </c>
      <c r="L9" s="239">
        <v>187233.15655898573</v>
      </c>
      <c r="M9" s="239">
        <v>194527.22927020828</v>
      </c>
      <c r="N9" s="239">
        <v>200953.86012133962</v>
      </c>
      <c r="O9" s="239">
        <v>206218.82567621741</v>
      </c>
    </row>
    <row r="10" spans="1:15" x14ac:dyDescent="0.25">
      <c r="A10" s="30" t="s">
        <v>443</v>
      </c>
      <c r="B10" s="239">
        <v>209953</v>
      </c>
      <c r="C10" s="239">
        <v>225266.24888888889</v>
      </c>
      <c r="D10" s="239">
        <v>251804.61407407408</v>
      </c>
      <c r="E10" s="239">
        <v>266839.09981481481</v>
      </c>
      <c r="F10" s="239">
        <v>273769.1377777778</v>
      </c>
      <c r="G10" s="239">
        <v>282199.27972706576</v>
      </c>
      <c r="H10" s="239">
        <v>297428.43364439462</v>
      </c>
      <c r="I10" s="239">
        <v>311060.10865876992</v>
      </c>
      <c r="J10" s="239">
        <v>322047.23725964315</v>
      </c>
      <c r="K10" s="239">
        <v>332740.8532022885</v>
      </c>
      <c r="L10" s="239">
        <v>343225.32357531361</v>
      </c>
      <c r="M10" s="239">
        <v>353493.44373736822</v>
      </c>
      <c r="N10" s="239">
        <v>363334.61242262955</v>
      </c>
      <c r="O10" s="239">
        <v>372601.46676189936</v>
      </c>
    </row>
    <row r="11" spans="1:15" x14ac:dyDescent="0.25">
      <c r="A11" s="30" t="s">
        <v>444</v>
      </c>
      <c r="B11" s="239">
        <v>-16170</v>
      </c>
      <c r="C11" s="239">
        <v>-15706.328000000001</v>
      </c>
      <c r="D11" s="239">
        <v>-15995.03741666667</v>
      </c>
      <c r="E11" s="239">
        <v>-16968.106250000004</v>
      </c>
      <c r="F11" s="239">
        <v>-17540.985000000001</v>
      </c>
      <c r="G11" s="239">
        <v>-17418.433333333334</v>
      </c>
      <c r="H11" s="239">
        <v>-17200.428333333333</v>
      </c>
      <c r="I11" s="239">
        <v>-16886.97</v>
      </c>
      <c r="J11" s="239">
        <v>-16478.058333333334</v>
      </c>
      <c r="K11" s="239">
        <v>-15973.693333333336</v>
      </c>
      <c r="L11" s="239">
        <v>-15373.875000000002</v>
      </c>
      <c r="M11" s="239">
        <v>-14678.603333333336</v>
      </c>
      <c r="N11" s="239">
        <v>-13887.878333333338</v>
      </c>
      <c r="O11" s="239">
        <v>-13001.7</v>
      </c>
    </row>
    <row r="13" spans="1:15" ht="30" x14ac:dyDescent="0.25">
      <c r="A13" s="245" t="s">
        <v>445</v>
      </c>
      <c r="B13" s="244" t="s">
        <v>436</v>
      </c>
      <c r="C13" s="243">
        <v>2018</v>
      </c>
      <c r="D13" s="243">
        <v>2019</v>
      </c>
      <c r="E13" s="243">
        <v>2020</v>
      </c>
      <c r="F13" s="243">
        <v>2021</v>
      </c>
      <c r="G13" s="243">
        <v>2022</v>
      </c>
      <c r="H13" s="243">
        <v>2023</v>
      </c>
      <c r="I13" s="243">
        <v>2024</v>
      </c>
      <c r="J13" s="243">
        <v>2025</v>
      </c>
      <c r="K13" s="243">
        <v>2026</v>
      </c>
      <c r="L13" s="243">
        <v>2027</v>
      </c>
      <c r="M13" s="243">
        <v>2028</v>
      </c>
      <c r="N13" s="243">
        <v>2029</v>
      </c>
      <c r="O13" s="243">
        <v>2030</v>
      </c>
    </row>
    <row r="14" spans="1:15" x14ac:dyDescent="0.25">
      <c r="A14" s="30" t="s">
        <v>446</v>
      </c>
      <c r="B14" s="239">
        <v>-204739</v>
      </c>
      <c r="C14" s="239">
        <v>-210534</v>
      </c>
      <c r="D14" s="239">
        <v>-110383</v>
      </c>
      <c r="E14" s="239">
        <v>-91611</v>
      </c>
      <c r="F14" s="239">
        <v>-40487</v>
      </c>
      <c r="G14" s="239">
        <v>-108641.82379166665</v>
      </c>
      <c r="H14" s="239">
        <v>-116591.82379166665</v>
      </c>
      <c r="I14" s="239">
        <v>-92591.823791666655</v>
      </c>
      <c r="J14" s="239">
        <v>-89441.823791666655</v>
      </c>
      <c r="K14" s="239">
        <v>-90341.823791666655</v>
      </c>
      <c r="L14" s="239">
        <v>-88091.823791666655</v>
      </c>
      <c r="M14" s="239">
        <v>-88841.823791666655</v>
      </c>
      <c r="N14" s="239">
        <v>-84341.823791666655</v>
      </c>
      <c r="O14" s="239">
        <v>-83591.823791666655</v>
      </c>
    </row>
    <row r="15" spans="1:15" x14ac:dyDescent="0.25">
      <c r="A15" s="30" t="s">
        <v>447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</row>
    <row r="16" spans="1:15" x14ac:dyDescent="0.25">
      <c r="A16" s="30" t="s">
        <v>448</v>
      </c>
      <c r="B16" s="239">
        <v>355100</v>
      </c>
      <c r="C16" s="239">
        <v>443150</v>
      </c>
      <c r="D16" s="239">
        <v>338500</v>
      </c>
      <c r="E16" s="239">
        <v>200500</v>
      </c>
      <c r="F16" s="239">
        <v>73000</v>
      </c>
      <c r="G16" s="239">
        <v>92000</v>
      </c>
      <c r="H16" s="239">
        <v>45000</v>
      </c>
      <c r="I16" s="239">
        <v>25000</v>
      </c>
      <c r="J16" s="239">
        <v>25000</v>
      </c>
      <c r="K16" s="239">
        <v>25000</v>
      </c>
      <c r="L16" s="239">
        <v>25000</v>
      </c>
      <c r="M16" s="239">
        <v>25000</v>
      </c>
      <c r="N16" s="239">
        <v>25000</v>
      </c>
      <c r="O16" s="239">
        <v>25000</v>
      </c>
    </row>
    <row r="17" spans="1:15" x14ac:dyDescent="0.25">
      <c r="A17" s="30" t="s">
        <v>449</v>
      </c>
      <c r="B17" s="239">
        <v>50200</v>
      </c>
      <c r="C17" s="239">
        <v>52115</v>
      </c>
      <c r="D17" s="239">
        <v>4000</v>
      </c>
      <c r="E17" s="239">
        <v>1000</v>
      </c>
      <c r="F17" s="239">
        <v>1000</v>
      </c>
      <c r="G17" s="239">
        <v>12000</v>
      </c>
      <c r="H17" s="239">
        <v>12000</v>
      </c>
      <c r="I17" s="239">
        <v>12000</v>
      </c>
      <c r="J17" s="239">
        <v>12000</v>
      </c>
      <c r="K17" s="239">
        <v>12000</v>
      </c>
      <c r="L17" s="239">
        <v>32000</v>
      </c>
      <c r="M17" s="239">
        <v>47000</v>
      </c>
      <c r="N17" s="239">
        <v>17000</v>
      </c>
      <c r="O17" s="239">
        <v>12000</v>
      </c>
    </row>
    <row r="18" spans="1:15" x14ac:dyDescent="0.25">
      <c r="A18" s="30" t="s">
        <v>450</v>
      </c>
      <c r="B18" s="239">
        <v>250780</v>
      </c>
      <c r="C18" s="239">
        <v>171335</v>
      </c>
      <c r="D18" s="239">
        <v>179260</v>
      </c>
      <c r="E18" s="239">
        <v>169230</v>
      </c>
      <c r="F18" s="239">
        <v>30320</v>
      </c>
      <c r="G18" s="239">
        <v>146667.71416666667</v>
      </c>
      <c r="H18" s="239">
        <v>146667.71416666667</v>
      </c>
      <c r="I18" s="239">
        <v>156667.71416666667</v>
      </c>
      <c r="J18" s="239">
        <v>185667.71416666667</v>
      </c>
      <c r="K18" s="239">
        <v>191667.71416666667</v>
      </c>
      <c r="L18" s="239">
        <v>156667.71416666667</v>
      </c>
      <c r="M18" s="239">
        <v>146667.71416666667</v>
      </c>
      <c r="N18" s="239">
        <v>146667.71416666667</v>
      </c>
      <c r="O18" s="239">
        <v>146667.71416666667</v>
      </c>
    </row>
    <row r="19" spans="1:15" x14ac:dyDescent="0.25">
      <c r="A19" s="30" t="s">
        <v>451</v>
      </c>
      <c r="B19" s="239">
        <v>21100</v>
      </c>
      <c r="C19" s="239">
        <v>13998</v>
      </c>
      <c r="D19" s="239">
        <v>3919</v>
      </c>
      <c r="E19" s="239">
        <v>1234</v>
      </c>
      <c r="F19" s="239">
        <v>645</v>
      </c>
      <c r="G19" s="239">
        <v>5000</v>
      </c>
      <c r="H19" s="239">
        <v>5000</v>
      </c>
      <c r="I19" s="239">
        <v>5000</v>
      </c>
      <c r="J19" s="239">
        <v>5000</v>
      </c>
      <c r="K19" s="239">
        <v>5000</v>
      </c>
      <c r="L19" s="239">
        <v>5000</v>
      </c>
      <c r="M19" s="239">
        <v>5000</v>
      </c>
      <c r="N19" s="239">
        <v>5000</v>
      </c>
      <c r="O19" s="239">
        <v>5000</v>
      </c>
    </row>
    <row r="20" spans="1:15" x14ac:dyDescent="0.25">
      <c r="A20" s="30" t="s">
        <v>452</v>
      </c>
      <c r="B20" s="239">
        <v>212554</v>
      </c>
      <c r="C20" s="239">
        <v>251431</v>
      </c>
      <c r="D20" s="239">
        <v>128059</v>
      </c>
      <c r="E20" s="239">
        <v>47496</v>
      </c>
      <c r="F20" s="239">
        <v>-6854</v>
      </c>
      <c r="G20" s="239">
        <v>70000</v>
      </c>
      <c r="H20" s="239">
        <v>70000</v>
      </c>
      <c r="I20" s="239">
        <v>70000</v>
      </c>
      <c r="J20" s="239">
        <v>70000</v>
      </c>
      <c r="K20" s="239">
        <v>70000</v>
      </c>
      <c r="L20" s="239">
        <v>70000</v>
      </c>
      <c r="M20" s="239">
        <v>70000</v>
      </c>
      <c r="N20" s="239">
        <v>70000</v>
      </c>
      <c r="O20" s="239">
        <v>70000</v>
      </c>
    </row>
    <row r="21" spans="1:15" x14ac:dyDescent="0.25">
      <c r="A21" s="30" t="s">
        <v>453</v>
      </c>
      <c r="B21" s="239">
        <v>130400</v>
      </c>
      <c r="C21" s="239">
        <v>99412</v>
      </c>
      <c r="D21" s="239">
        <v>76400</v>
      </c>
      <c r="E21" s="239">
        <v>68500</v>
      </c>
      <c r="F21" s="239">
        <v>82000</v>
      </c>
      <c r="G21" s="239">
        <v>87500</v>
      </c>
      <c r="H21" s="239">
        <v>87500</v>
      </c>
      <c r="I21" s="239">
        <v>87500</v>
      </c>
      <c r="J21" s="239">
        <v>87500</v>
      </c>
      <c r="K21" s="239">
        <v>87500</v>
      </c>
      <c r="L21" s="239">
        <v>87500</v>
      </c>
      <c r="M21" s="239">
        <v>87500</v>
      </c>
      <c r="N21" s="239">
        <v>87500</v>
      </c>
      <c r="O21" s="239">
        <v>87500</v>
      </c>
    </row>
    <row r="22" spans="1:15" x14ac:dyDescent="0.25">
      <c r="A22" s="30" t="s">
        <v>454</v>
      </c>
      <c r="B22" s="239">
        <v>312995</v>
      </c>
      <c r="C22" s="239">
        <v>328316</v>
      </c>
      <c r="D22" s="239">
        <v>-14200</v>
      </c>
      <c r="E22" s="239">
        <v>106178</v>
      </c>
      <c r="F22" s="239">
        <v>73200</v>
      </c>
      <c r="G22" s="239">
        <v>165000</v>
      </c>
      <c r="H22" s="239">
        <v>265000</v>
      </c>
      <c r="I22" s="239">
        <v>115000</v>
      </c>
      <c r="J22" s="239">
        <v>65000</v>
      </c>
      <c r="K22" s="239">
        <v>65000</v>
      </c>
      <c r="L22" s="239">
        <v>65000</v>
      </c>
      <c r="M22" s="239">
        <v>65000</v>
      </c>
      <c r="N22" s="239">
        <v>65000</v>
      </c>
      <c r="O22" s="239">
        <v>65000</v>
      </c>
    </row>
    <row r="23" spans="1:15" x14ac:dyDescent="0.25">
      <c r="A23" s="30" t="s">
        <v>455</v>
      </c>
      <c r="B23" s="239">
        <v>27800</v>
      </c>
      <c r="C23" s="239">
        <v>43800</v>
      </c>
      <c r="D23" s="239">
        <v>19950</v>
      </c>
      <c r="E23" s="239">
        <v>16600</v>
      </c>
      <c r="F23" s="239">
        <v>16600</v>
      </c>
      <c r="G23" s="239">
        <v>35000</v>
      </c>
      <c r="H23" s="239">
        <v>35000</v>
      </c>
      <c r="I23" s="239">
        <v>35000</v>
      </c>
      <c r="J23" s="239">
        <v>35000</v>
      </c>
      <c r="K23" s="239">
        <v>35000</v>
      </c>
      <c r="L23" s="239">
        <v>35000</v>
      </c>
      <c r="M23" s="239">
        <v>35000</v>
      </c>
      <c r="N23" s="239">
        <v>35000</v>
      </c>
      <c r="O23" s="239">
        <v>35000</v>
      </c>
    </row>
    <row r="24" spans="1:15" x14ac:dyDescent="0.25">
      <c r="A24" s="30" t="s">
        <v>456</v>
      </c>
      <c r="B24" s="239">
        <v>0</v>
      </c>
      <c r="C24" s="239">
        <v>0</v>
      </c>
      <c r="D24" s="239">
        <v>0</v>
      </c>
      <c r="E24" s="239">
        <v>0</v>
      </c>
      <c r="F24" s="239">
        <v>0</v>
      </c>
      <c r="G24" s="239">
        <v>111111.11111111111</v>
      </c>
      <c r="H24" s="239">
        <v>111111.11111111111</v>
      </c>
      <c r="I24" s="239">
        <v>111111.11111111111</v>
      </c>
      <c r="J24" s="239">
        <v>111111.11111111111</v>
      </c>
      <c r="K24" s="239">
        <v>111111.11111111111</v>
      </c>
      <c r="L24" s="239">
        <v>111111.11111111111</v>
      </c>
      <c r="M24" s="239">
        <v>111111.11111111111</v>
      </c>
      <c r="N24" s="239">
        <v>111111.11111111111</v>
      </c>
      <c r="O24" s="239">
        <v>111111.11111111111</v>
      </c>
    </row>
    <row r="25" spans="1:15" x14ac:dyDescent="0.25">
      <c r="A25" s="237" t="s">
        <v>457</v>
      </c>
      <c r="B25" s="240">
        <v>1156190</v>
      </c>
      <c r="C25" s="240">
        <v>1193023</v>
      </c>
      <c r="D25" s="240">
        <v>625505</v>
      </c>
      <c r="E25" s="240">
        <v>519127</v>
      </c>
      <c r="F25" s="240">
        <v>229424</v>
      </c>
      <c r="G25" s="240">
        <v>615637.00148611108</v>
      </c>
      <c r="H25" s="240">
        <v>660687.00148611108</v>
      </c>
      <c r="I25" s="240">
        <v>524687.00148611108</v>
      </c>
      <c r="J25" s="240">
        <v>506837.00148611114</v>
      </c>
      <c r="K25" s="240">
        <v>511937.00148611114</v>
      </c>
      <c r="L25" s="240">
        <v>499187.00148611114</v>
      </c>
      <c r="M25" s="240">
        <v>503437.00148611114</v>
      </c>
      <c r="N25" s="240">
        <v>477937.00148611114</v>
      </c>
      <c r="O25" s="240">
        <v>473687.00148611114</v>
      </c>
    </row>
    <row r="26" spans="1:15" x14ac:dyDescent="0.25">
      <c r="A26" s="237" t="s">
        <v>458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</row>
    <row r="27" spans="1:15" x14ac:dyDescent="0.25">
      <c r="A27" s="30" t="s">
        <v>459</v>
      </c>
      <c r="B27" s="239">
        <v>-1061723</v>
      </c>
      <c r="C27" s="239">
        <v>-1078092.6666666667</v>
      </c>
      <c r="D27" s="239">
        <v>-550145.66666666674</v>
      </c>
      <c r="E27" s="239">
        <v>-370261.66666666669</v>
      </c>
      <c r="F27" s="239">
        <v>-57882.666666666686</v>
      </c>
      <c r="G27" s="239">
        <v>-435583.79473505623</v>
      </c>
      <c r="H27" s="239">
        <v>-478165.44030467654</v>
      </c>
      <c r="I27" s="239">
        <v>-339735.06055784109</v>
      </c>
      <c r="J27" s="239">
        <v>-319492.65549454989</v>
      </c>
      <c r="K27" s="239">
        <v>-322124.3010641702</v>
      </c>
      <c r="L27" s="239">
        <v>-306943.92131733475</v>
      </c>
      <c r="M27" s="239">
        <v>-309143.28840594238</v>
      </c>
      <c r="N27" s="239">
        <v>-281326.8327097398</v>
      </c>
      <c r="O27" s="239">
        <v>-274684.42764644872</v>
      </c>
    </row>
    <row r="28" spans="1:15" x14ac:dyDescent="0.25">
      <c r="A28" s="30" t="s">
        <v>460</v>
      </c>
      <c r="B28" s="239">
        <v>-23863</v>
      </c>
      <c r="C28" s="239">
        <v>-23863.333333333336</v>
      </c>
      <c r="D28" s="239">
        <v>-23863.333333333336</v>
      </c>
      <c r="E28" s="239">
        <v>-23863.333333333336</v>
      </c>
      <c r="F28" s="239">
        <v>-23863.333333333336</v>
      </c>
      <c r="G28" s="239">
        <v>-23863.333333333336</v>
      </c>
      <c r="H28" s="239">
        <v>-23863.333333333336</v>
      </c>
      <c r="I28" s="239">
        <v>-23863.333333333336</v>
      </c>
      <c r="J28" s="239">
        <v>-23863.333333333336</v>
      </c>
      <c r="K28" s="239">
        <v>-23863.333333333336</v>
      </c>
      <c r="L28" s="239">
        <v>-23863.333333333336</v>
      </c>
      <c r="M28" s="239">
        <v>-23863.333333333336</v>
      </c>
      <c r="N28" s="239">
        <v>-23863.333333333336</v>
      </c>
      <c r="O28" s="239">
        <v>-23863.333333333336</v>
      </c>
    </row>
    <row r="29" spans="1:15" x14ac:dyDescent="0.25">
      <c r="A29" s="30" t="s">
        <v>461</v>
      </c>
      <c r="B29" s="239">
        <v>-70604</v>
      </c>
      <c r="C29" s="239">
        <v>-91067</v>
      </c>
      <c r="D29" s="239">
        <v>-51496</v>
      </c>
      <c r="E29" s="239">
        <v>-125002</v>
      </c>
      <c r="F29" s="239">
        <v>-147678</v>
      </c>
      <c r="G29" s="239">
        <v>-156189.87341772151</v>
      </c>
      <c r="H29" s="239">
        <v>-158658.22784810126</v>
      </c>
      <c r="I29" s="239">
        <v>-161088.60759493671</v>
      </c>
      <c r="J29" s="239">
        <v>-163481.01265822782</v>
      </c>
      <c r="K29" s="239">
        <v>-165949.36708860757</v>
      </c>
      <c r="L29" s="239">
        <v>-168379.74683544305</v>
      </c>
      <c r="M29" s="239">
        <v>-170430.37974683542</v>
      </c>
      <c r="N29" s="239">
        <v>-172746.83544303797</v>
      </c>
      <c r="O29" s="239">
        <v>-175139.24050632908</v>
      </c>
    </row>
    <row r="30" spans="1:15" x14ac:dyDescent="0.25">
      <c r="A30" s="237" t="s">
        <v>462</v>
      </c>
      <c r="B30" s="240">
        <v>-1156190</v>
      </c>
      <c r="C30" s="240">
        <v>-1193023</v>
      </c>
      <c r="D30" s="240">
        <v>-625505.00000000012</v>
      </c>
      <c r="E30" s="240">
        <v>-519127</v>
      </c>
      <c r="F30" s="240">
        <v>-229424.00000000003</v>
      </c>
      <c r="G30" s="240">
        <v>-615637.00148611108</v>
      </c>
      <c r="H30" s="240">
        <v>-660687.00148611108</v>
      </c>
      <c r="I30" s="240">
        <v>-524687.00148611108</v>
      </c>
      <c r="J30" s="240">
        <v>-506837.00148611102</v>
      </c>
      <c r="K30" s="240">
        <v>-511937.00148611108</v>
      </c>
      <c r="L30" s="240">
        <v>-499187.00148611108</v>
      </c>
      <c r="M30" s="240">
        <v>-503437.00148611108</v>
      </c>
      <c r="N30" s="240">
        <v>-477937.00148611108</v>
      </c>
      <c r="O30" s="240">
        <v>-473687.00148611108</v>
      </c>
    </row>
    <row r="31" spans="1:15" x14ac:dyDescent="0.25">
      <c r="A31" s="237" t="s">
        <v>380</v>
      </c>
      <c r="B31" s="240">
        <v>0</v>
      </c>
      <c r="C31" s="240">
        <v>0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63"/>
  <sheetViews>
    <sheetView showGridLines="0" zoomScale="80" zoomScaleNormal="80" workbookViewId="0">
      <selection activeCell="P25" sqref="P25"/>
    </sheetView>
  </sheetViews>
  <sheetFormatPr baseColWidth="10" defaultRowHeight="15" x14ac:dyDescent="0.25"/>
  <cols>
    <col min="1" max="1" width="54.42578125" bestFit="1" customWidth="1"/>
    <col min="2" max="15" width="11.7109375" customWidth="1"/>
  </cols>
  <sheetData>
    <row r="1" spans="1:21" s="6" customFormat="1" ht="45" x14ac:dyDescent="0.25">
      <c r="A1" s="280" t="s">
        <v>463</v>
      </c>
      <c r="B1" s="281" t="s">
        <v>436</v>
      </c>
      <c r="C1" s="281">
        <v>2018</v>
      </c>
      <c r="D1" s="281">
        <v>2019</v>
      </c>
      <c r="E1" s="281">
        <v>2020</v>
      </c>
      <c r="F1" s="281">
        <v>2021</v>
      </c>
      <c r="G1" s="281">
        <v>2022</v>
      </c>
      <c r="H1" s="281">
        <v>2023</v>
      </c>
      <c r="I1" s="281">
        <v>2024</v>
      </c>
      <c r="J1" s="281">
        <v>2025</v>
      </c>
      <c r="K1" s="281">
        <v>2026</v>
      </c>
      <c r="L1" s="281">
        <v>2027</v>
      </c>
      <c r="M1" s="281">
        <v>2028</v>
      </c>
      <c r="N1" s="281">
        <v>2029</v>
      </c>
      <c r="O1" s="281">
        <v>2030</v>
      </c>
    </row>
    <row r="2" spans="1:21" x14ac:dyDescent="0.25">
      <c r="A2" s="282" t="s">
        <v>11</v>
      </c>
      <c r="B2" s="295"/>
      <c r="C2" s="299"/>
      <c r="D2" s="299"/>
      <c r="E2" s="299"/>
      <c r="F2" s="299"/>
      <c r="G2" s="283"/>
      <c r="H2" s="283"/>
      <c r="I2" s="283"/>
      <c r="J2" s="283"/>
      <c r="K2" s="283"/>
      <c r="L2" s="283"/>
      <c r="M2" s="283"/>
      <c r="N2" s="283"/>
      <c r="O2" s="283"/>
      <c r="P2" s="34"/>
      <c r="Q2" s="34"/>
      <c r="R2" s="34"/>
    </row>
    <row r="3" spans="1:21" x14ac:dyDescent="0.25">
      <c r="A3" s="284" t="s">
        <v>8</v>
      </c>
      <c r="B3" s="295">
        <f>'Øk oversikt 2017-2021'!B10</f>
        <v>2319000</v>
      </c>
      <c r="C3" s="299">
        <f>'Øk oversikt 2017-2021'!C10</f>
        <v>2335000</v>
      </c>
      <c r="D3" s="299">
        <f>'Øk oversikt 2017-2021'!D10</f>
        <v>2390000</v>
      </c>
      <c r="E3" s="299">
        <f>'Øk oversikt 2017-2021'!E10</f>
        <v>2447000</v>
      </c>
      <c r="F3" s="299">
        <f>'Øk oversikt 2017-2021'!F10</f>
        <v>2508000</v>
      </c>
      <c r="G3" s="283">
        <f>-'Forutsetninger drift'!G26</f>
        <v>2545000</v>
      </c>
      <c r="H3" s="283">
        <f>-'Forutsetninger drift'!H26</f>
        <v>2583000</v>
      </c>
      <c r="I3" s="283">
        <f>-'Forutsetninger drift'!I26</f>
        <v>2620000</v>
      </c>
      <c r="J3" s="283">
        <f>-'Forutsetninger drift'!J26</f>
        <v>2657000</v>
      </c>
      <c r="K3" s="283">
        <f>-'Forutsetninger drift'!K26</f>
        <v>2695000</v>
      </c>
      <c r="L3" s="283">
        <f>-'Forutsetninger drift'!L26</f>
        <v>2732000</v>
      </c>
      <c r="M3" s="283">
        <f>-'Forutsetninger drift'!M26</f>
        <v>2762000</v>
      </c>
      <c r="N3" s="283">
        <f>-'Forutsetninger drift'!N26</f>
        <v>2799000</v>
      </c>
      <c r="O3" s="283">
        <f>-'Forutsetninger drift'!O26</f>
        <v>2836000</v>
      </c>
      <c r="P3" s="34"/>
      <c r="Q3" s="34"/>
      <c r="R3" s="34"/>
    </row>
    <row r="4" spans="1:21" x14ac:dyDescent="0.25">
      <c r="A4" s="284" t="s">
        <v>9</v>
      </c>
      <c r="B4" s="295">
        <f>'Øk oversikt 2017-2021'!B7</f>
        <v>1535634</v>
      </c>
      <c r="C4" s="299">
        <f>'Øk oversikt 2017-2021'!C7</f>
        <v>1672000</v>
      </c>
      <c r="D4" s="299">
        <f>'Øk oversikt 2017-2021'!D7</f>
        <v>1657000</v>
      </c>
      <c r="E4" s="299">
        <f>'Øk oversikt 2017-2021'!E7</f>
        <v>1652000</v>
      </c>
      <c r="F4" s="299">
        <f>'Øk oversikt 2017-2021'!F7</f>
        <v>1655000</v>
      </c>
      <c r="G4" s="283">
        <f>-'Forutsetninger drift'!G27</f>
        <v>1673000</v>
      </c>
      <c r="H4" s="283">
        <f>-'Forutsetninger drift'!H27</f>
        <v>1700000</v>
      </c>
      <c r="I4" s="283">
        <f>-'Forutsetninger drift'!I27</f>
        <v>1727000</v>
      </c>
      <c r="J4" s="283">
        <f>-'Forutsetninger drift'!J27</f>
        <v>1753000</v>
      </c>
      <c r="K4" s="283">
        <f>-'Forutsetninger drift'!K27</f>
        <v>1780000</v>
      </c>
      <c r="L4" s="283">
        <f>-'Forutsetninger drift'!L27</f>
        <v>1807000</v>
      </c>
      <c r="M4" s="283">
        <f>-'Forutsetninger drift'!M27</f>
        <v>1831000</v>
      </c>
      <c r="N4" s="283">
        <f>-'Forutsetninger drift'!N27</f>
        <v>1855000</v>
      </c>
      <c r="O4" s="283">
        <f>-'Forutsetninger drift'!O27</f>
        <v>1881000</v>
      </c>
      <c r="P4" s="34"/>
      <c r="Q4" s="34"/>
      <c r="R4" s="34"/>
    </row>
    <row r="5" spans="1:21" x14ac:dyDescent="0.25">
      <c r="A5" s="284" t="s">
        <v>10</v>
      </c>
      <c r="B5" s="295">
        <f>'Øk oversikt 2017-2021'!B11</f>
        <v>0</v>
      </c>
      <c r="C5" s="299">
        <f>'Øk oversikt 2017-2021'!C11</f>
        <v>0</v>
      </c>
      <c r="D5" s="299">
        <f>'Øk oversikt 2017-2021'!D11</f>
        <v>0</v>
      </c>
      <c r="E5" s="299">
        <f>'Øk oversikt 2017-2021'!E11</f>
        <v>105000</v>
      </c>
      <c r="F5" s="299">
        <f>'Øk oversikt 2017-2021'!F11</f>
        <v>105000</v>
      </c>
      <c r="G5" s="283">
        <f>-'Forutsetninger drift'!G28</f>
        <v>105000</v>
      </c>
      <c r="H5" s="283">
        <f>-'Forutsetninger drift'!H28</f>
        <v>105000</v>
      </c>
      <c r="I5" s="283">
        <f>-'Forutsetninger drift'!I28</f>
        <v>105000</v>
      </c>
      <c r="J5" s="283">
        <f>-'Forutsetninger drift'!J28</f>
        <v>105000</v>
      </c>
      <c r="K5" s="283">
        <f>-'Forutsetninger drift'!K28</f>
        <v>105000</v>
      </c>
      <c r="L5" s="283">
        <f>-'Forutsetninger drift'!L28</f>
        <v>105000</v>
      </c>
      <c r="M5" s="283">
        <f>-'Forutsetninger drift'!M28</f>
        <v>105000</v>
      </c>
      <c r="N5" s="283">
        <f>-'Forutsetninger drift'!N28</f>
        <v>105000</v>
      </c>
      <c r="O5" s="283">
        <f>-'Forutsetninger drift'!O28</f>
        <v>105000</v>
      </c>
      <c r="P5" s="34"/>
      <c r="Q5" s="34"/>
      <c r="R5" s="34"/>
    </row>
    <row r="6" spans="1:21" x14ac:dyDescent="0.25">
      <c r="A6" s="284" t="s">
        <v>425</v>
      </c>
      <c r="B6" s="295">
        <f>'Øk oversikt 2017-2021'!B4+'Øk oversikt 2017-2021'!B5+'Øk oversikt 2017-2021'!B6+'Øk oversikt 2017-2021'!B8+'Øk oversikt 2017-2021'!B9+'Øk oversikt 2017-2021'!B12</f>
        <v>1020156</v>
      </c>
      <c r="C6" s="299">
        <f>'Øk oversikt 2017-2021'!C4+'Øk oversikt 2017-2021'!C5+'Øk oversikt 2017-2021'!C6+'Øk oversikt 2017-2021'!C8+'Øk oversikt 2017-2021'!C9+'Øk oversikt 2017-2021'!C12</f>
        <v>1053391</v>
      </c>
      <c r="D6" s="299">
        <f>'Øk oversikt 2017-2021'!D4+'Øk oversikt 2017-2021'!D5+'Øk oversikt 2017-2021'!D6+'Øk oversikt 2017-2021'!D8+'Øk oversikt 2017-2021'!D9+'Øk oversikt 2017-2021'!D12</f>
        <v>1084407</v>
      </c>
      <c r="E6" s="299">
        <f>'Øk oversikt 2017-2021'!E4+'Øk oversikt 2017-2021'!E5+'Øk oversikt 2017-2021'!E6+'Øk oversikt 2017-2021'!E8+'Øk oversikt 2017-2021'!E9+'Øk oversikt 2017-2021'!E12</f>
        <v>1062002</v>
      </c>
      <c r="F6" s="299">
        <f>'Øk oversikt 2017-2021'!F4+'Øk oversikt 2017-2021'!F5+'Øk oversikt 2017-2021'!F6+'Øk oversikt 2017-2021'!F8+'Øk oversikt 2017-2021'!F9+'Øk oversikt 2017-2021'!F12</f>
        <v>1066177</v>
      </c>
      <c r="G6" s="283">
        <f>-'Forutsetninger drift'!G29</f>
        <v>1121240.5063291139</v>
      </c>
      <c r="H6" s="283">
        <f>-'Forutsetninger drift'!H29</f>
        <v>1138518.9873417721</v>
      </c>
      <c r="I6" s="283">
        <f>-'Forutsetninger drift'!I29</f>
        <v>1155531.6455696202</v>
      </c>
      <c r="J6" s="283">
        <f>-'Forutsetninger drift'!J29</f>
        <v>1172278.4810126582</v>
      </c>
      <c r="K6" s="283">
        <f>-'Forutsetninger drift'!K29</f>
        <v>1189556.9620253164</v>
      </c>
      <c r="L6" s="283">
        <f>-'Forutsetninger drift'!L29</f>
        <v>1206569.6202531646</v>
      </c>
      <c r="M6" s="283">
        <f>-'Forutsetninger drift'!M29</f>
        <v>1220924.0506329113</v>
      </c>
      <c r="N6" s="283">
        <f>-'Forutsetninger drift'!N29</f>
        <v>1237139.2405063289</v>
      </c>
      <c r="O6" s="283">
        <f>-'Forutsetninger drift'!O29</f>
        <v>1253886.0759493671</v>
      </c>
      <c r="P6" s="34"/>
      <c r="Q6" s="34"/>
      <c r="R6" s="34"/>
    </row>
    <row r="7" spans="1:21" x14ac:dyDescent="0.25">
      <c r="A7" s="282" t="s">
        <v>412</v>
      </c>
      <c r="B7" s="296">
        <f>SUM(B3:B6)</f>
        <v>4874790</v>
      </c>
      <c r="C7" s="300">
        <f>SUM(C3:C6)</f>
        <v>5060391</v>
      </c>
      <c r="D7" s="300">
        <f t="shared" ref="D7:O7" si="0">SUM(D3:D6)</f>
        <v>5131407</v>
      </c>
      <c r="E7" s="300">
        <f t="shared" si="0"/>
        <v>5266002</v>
      </c>
      <c r="F7" s="300">
        <f t="shared" si="0"/>
        <v>5334177</v>
      </c>
      <c r="G7" s="285">
        <f t="shared" si="0"/>
        <v>5444240.5063291136</v>
      </c>
      <c r="H7" s="285">
        <f t="shared" si="0"/>
        <v>5526518.9873417718</v>
      </c>
      <c r="I7" s="285">
        <f t="shared" si="0"/>
        <v>5607531.6455696207</v>
      </c>
      <c r="J7" s="285">
        <f t="shared" si="0"/>
        <v>5687278.4810126582</v>
      </c>
      <c r="K7" s="285">
        <f t="shared" si="0"/>
        <v>5769556.9620253164</v>
      </c>
      <c r="L7" s="285">
        <f t="shared" si="0"/>
        <v>5850569.6202531643</v>
      </c>
      <c r="M7" s="285">
        <f t="shared" si="0"/>
        <v>5918924.0506329108</v>
      </c>
      <c r="N7" s="285">
        <f t="shared" si="0"/>
        <v>5996139.2405063286</v>
      </c>
      <c r="O7" s="285">
        <f t="shared" si="0"/>
        <v>6075886.0759493671</v>
      </c>
      <c r="P7" s="34"/>
      <c r="Q7" s="34"/>
      <c r="R7" s="34"/>
      <c r="U7" s="29"/>
    </row>
    <row r="8" spans="1:21" x14ac:dyDescent="0.25">
      <c r="A8" s="284"/>
      <c r="B8" s="295"/>
      <c r="C8" s="301"/>
      <c r="D8" s="301"/>
      <c r="E8" s="301"/>
      <c r="F8" s="301"/>
      <c r="G8" s="283"/>
      <c r="H8" s="283"/>
      <c r="I8" s="283"/>
      <c r="J8" s="283"/>
      <c r="K8" s="283"/>
      <c r="L8" s="283"/>
      <c r="M8" s="283"/>
      <c r="N8" s="283"/>
      <c r="O8" s="283"/>
      <c r="P8" s="34"/>
      <c r="Q8" s="34"/>
      <c r="R8" s="34"/>
    </row>
    <row r="9" spans="1:21" x14ac:dyDescent="0.25">
      <c r="A9" s="282" t="s">
        <v>12</v>
      </c>
      <c r="B9" s="295"/>
      <c r="C9" s="299"/>
      <c r="D9" s="299"/>
      <c r="E9" s="299"/>
      <c r="F9" s="299"/>
      <c r="G9" s="283"/>
      <c r="H9" s="283"/>
      <c r="I9" s="283"/>
      <c r="J9" s="283"/>
      <c r="K9" s="283"/>
      <c r="L9" s="283"/>
      <c r="M9" s="283"/>
      <c r="N9" s="283"/>
      <c r="O9" s="283"/>
      <c r="P9" s="34"/>
      <c r="Q9" s="34"/>
      <c r="R9" s="34"/>
    </row>
    <row r="10" spans="1:21" x14ac:dyDescent="0.25">
      <c r="A10" s="284" t="s">
        <v>498</v>
      </c>
      <c r="B10" s="295"/>
      <c r="C10" s="299"/>
      <c r="D10" s="299"/>
      <c r="E10" s="299"/>
      <c r="F10" s="299"/>
      <c r="G10" s="283">
        <f t="shared" ref="G10:O10" si="1">F15</f>
        <v>5378016</v>
      </c>
      <c r="H10" s="283">
        <f t="shared" si="1"/>
        <v>5494544.6467402522</v>
      </c>
      <c r="I10" s="283">
        <f t="shared" si="1"/>
        <v>5593139.0587327015</v>
      </c>
      <c r="J10" s="283">
        <f t="shared" si="1"/>
        <v>5692148.7776918784</v>
      </c>
      <c r="K10" s="283">
        <f t="shared" si="1"/>
        <v>5786822.9892727705</v>
      </c>
      <c r="L10" s="283">
        <f t="shared" si="1"/>
        <v>5892605.971655868</v>
      </c>
      <c r="M10" s="283">
        <f t="shared" si="1"/>
        <v>5984566.2331205215</v>
      </c>
      <c r="N10" s="283">
        <f t="shared" si="1"/>
        <v>6083195.5488968464</v>
      </c>
      <c r="O10" s="283">
        <f t="shared" si="1"/>
        <v>6187529.7598022455</v>
      </c>
      <c r="P10" s="34"/>
      <c r="Q10" s="34"/>
      <c r="R10" s="34"/>
    </row>
    <row r="11" spans="1:21" x14ac:dyDescent="0.25">
      <c r="A11" s="284" t="s">
        <v>426</v>
      </c>
      <c r="B11" s="295"/>
      <c r="C11" s="299"/>
      <c r="D11" s="299"/>
      <c r="E11" s="299"/>
      <c r="F11" s="299"/>
      <c r="G11" s="283">
        <f>'Forutsetninger drift'!G39</f>
        <v>58057.281302890413</v>
      </c>
      <c r="H11" s="283">
        <f>'Forutsetninger drift'!H39</f>
        <v>53766.643664431052</v>
      </c>
      <c r="I11" s="283">
        <f>'Forutsetninger drift'!I39</f>
        <v>54270.983098477809</v>
      </c>
      <c r="J11" s="283">
        <f>'Forutsetninger drift'!J39</f>
        <v>50889.287343416094</v>
      </c>
      <c r="K11" s="283">
        <f>'Forutsetninger drift'!K39</f>
        <v>59554.128569136432</v>
      </c>
      <c r="L11" s="283">
        <f>'Forutsetninger drift'!L39</f>
        <v>48772.406252750268</v>
      </c>
      <c r="M11" s="283">
        <f>'Forutsetninger drift'!M39</f>
        <v>53974.268615853449</v>
      </c>
      <c r="N11" s="283">
        <f>'Forutsetninger drift'!N39</f>
        <v>58424.086816530915</v>
      </c>
      <c r="O11" s="283">
        <f>'Forutsetninger drift'!O39</f>
        <v>58483.115201607943</v>
      </c>
      <c r="P11" s="34"/>
      <c r="Q11" s="34"/>
      <c r="R11" s="34"/>
    </row>
    <row r="12" spans="1:21" ht="30" x14ac:dyDescent="0.25">
      <c r="A12" s="286" t="s">
        <v>429</v>
      </c>
      <c r="B12" s="295"/>
      <c r="C12" s="299"/>
      <c r="D12" s="299"/>
      <c r="E12" s="299"/>
      <c r="F12" s="299"/>
      <c r="G12" s="283">
        <f>'Forutsetninger drift'!G41</f>
        <v>27513.335752097297</v>
      </c>
      <c r="H12" s="283">
        <f>'Forutsetninger drift'!H41</f>
        <v>26303.155905352352</v>
      </c>
      <c r="I12" s="283">
        <f>'Forutsetninger drift'!I41</f>
        <v>26214.123438032202</v>
      </c>
      <c r="J12" s="283">
        <f>'Forutsetninger drift'!J41</f>
        <v>25260.311814809669</v>
      </c>
      <c r="K12" s="283">
        <f>'Forutsetninger drift'!K41</f>
        <v>27704.24139129489</v>
      </c>
      <c r="L12" s="283">
        <f>'Forutsetninger drift'!L41</f>
        <v>24663.242789237254</v>
      </c>
      <c r="M12" s="283">
        <f>'Forutsetninger drift'!M41</f>
        <v>26130.434737804819</v>
      </c>
      <c r="N12" s="283">
        <f>'Forutsetninger drift'!N41</f>
        <v>27385.511666201026</v>
      </c>
      <c r="O12" s="283">
        <f>'Forutsetninger drift'!O41</f>
        <v>27402.16069788942</v>
      </c>
      <c r="P12" s="34"/>
      <c r="Q12" s="34"/>
      <c r="R12" s="34"/>
    </row>
    <row r="13" spans="1:21" x14ac:dyDescent="0.25">
      <c r="A13" s="284" t="s">
        <v>427</v>
      </c>
      <c r="B13" s="295"/>
      <c r="C13" s="299"/>
      <c r="D13" s="299"/>
      <c r="E13" s="299"/>
      <c r="F13" s="299"/>
      <c r="G13" s="283">
        <f>'Forutsetninger drift'!G42</f>
        <v>30958.029685264832</v>
      </c>
      <c r="H13" s="283">
        <f>'Forutsetninger drift'!H42</f>
        <v>18524.612422666698</v>
      </c>
      <c r="I13" s="283">
        <f>'Forutsetninger drift'!I42</f>
        <v>18524.612422666698</v>
      </c>
      <c r="J13" s="283">
        <f>'Forutsetninger drift'!J42</f>
        <v>18524.612422666713</v>
      </c>
      <c r="K13" s="283">
        <f>'Forutsetninger drift'!K42</f>
        <v>18524.612422666698</v>
      </c>
      <c r="L13" s="283">
        <f>'Forutsetninger drift'!L42</f>
        <v>18524.612422666713</v>
      </c>
      <c r="M13" s="283">
        <f>'Forutsetninger drift'!M42</f>
        <v>18524.612422666669</v>
      </c>
      <c r="N13" s="283">
        <f>'Forutsetninger drift'!N42</f>
        <v>18524.612422667025</v>
      </c>
      <c r="O13" s="283">
        <f>'Forutsetninger drift'!O42</f>
        <v>18524.612422665985</v>
      </c>
      <c r="P13" s="34"/>
      <c r="Q13" s="34"/>
      <c r="R13" s="34"/>
    </row>
    <row r="14" spans="1:21" x14ac:dyDescent="0.25">
      <c r="A14" s="284" t="s">
        <v>428</v>
      </c>
      <c r="B14" s="295"/>
      <c r="C14" s="299"/>
      <c r="D14" s="299"/>
      <c r="E14" s="299"/>
      <c r="F14" s="299"/>
      <c r="G14" s="295"/>
      <c r="H14" s="295"/>
      <c r="I14" s="295"/>
      <c r="J14" s="295"/>
      <c r="K14" s="295"/>
      <c r="L14" s="295"/>
      <c r="M14" s="295"/>
      <c r="N14" s="295"/>
      <c r="O14" s="295"/>
      <c r="P14" s="34"/>
      <c r="Q14" s="34"/>
      <c r="R14" s="34"/>
    </row>
    <row r="15" spans="1:21" s="231" customFormat="1" x14ac:dyDescent="0.25">
      <c r="A15" s="282" t="s">
        <v>404</v>
      </c>
      <c r="B15" s="296">
        <f>'Øk oversikt 2017-2021'!B23</f>
        <v>4993628</v>
      </c>
      <c r="C15" s="300">
        <f>'Øk oversikt 2017-2021'!C23</f>
        <v>5178074</v>
      </c>
      <c r="D15" s="300">
        <f>'Øk oversikt 2017-2021'!D23</f>
        <v>5266181</v>
      </c>
      <c r="E15" s="300">
        <f>'Øk oversikt 2017-2021'!E23</f>
        <v>5321552</v>
      </c>
      <c r="F15" s="300">
        <f>'Øk oversikt 2017-2021'!F23</f>
        <v>5378016</v>
      </c>
      <c r="G15" s="285">
        <f t="shared" ref="G15:O15" si="2">SUM(G10:G14)</f>
        <v>5494544.6467402522</v>
      </c>
      <c r="H15" s="285">
        <f t="shared" si="2"/>
        <v>5593139.0587327015</v>
      </c>
      <c r="I15" s="285">
        <f t="shared" si="2"/>
        <v>5692148.7776918784</v>
      </c>
      <c r="J15" s="285">
        <f t="shared" si="2"/>
        <v>5786822.9892727705</v>
      </c>
      <c r="K15" s="285">
        <f t="shared" si="2"/>
        <v>5892605.971655868</v>
      </c>
      <c r="L15" s="285">
        <f t="shared" si="2"/>
        <v>5984566.2331205215</v>
      </c>
      <c r="M15" s="285">
        <f t="shared" si="2"/>
        <v>6083195.5488968464</v>
      </c>
      <c r="N15" s="285">
        <f t="shared" si="2"/>
        <v>6187529.7598022455</v>
      </c>
      <c r="O15" s="285">
        <f t="shared" si="2"/>
        <v>6291939.6481244089</v>
      </c>
      <c r="P15" s="232"/>
      <c r="Q15" s="232"/>
      <c r="R15" s="232"/>
      <c r="U15" s="236"/>
    </row>
    <row r="16" spans="1:21" x14ac:dyDescent="0.25">
      <c r="A16" s="284"/>
      <c r="B16" s="295"/>
      <c r="C16" s="299"/>
      <c r="D16" s="299"/>
      <c r="E16" s="299"/>
      <c r="F16" s="299"/>
      <c r="G16" s="283"/>
      <c r="H16" s="283"/>
      <c r="I16" s="283"/>
      <c r="J16" s="283"/>
      <c r="K16" s="283"/>
      <c r="L16" s="283"/>
      <c r="M16" s="283"/>
      <c r="N16" s="283"/>
      <c r="O16" s="283"/>
      <c r="P16" s="34"/>
      <c r="Q16" s="34"/>
      <c r="R16" s="34"/>
    </row>
    <row r="17" spans="1:21" s="231" customFormat="1" x14ac:dyDescent="0.25">
      <c r="A17" s="282" t="s">
        <v>403</v>
      </c>
      <c r="B17" s="296">
        <f t="shared" ref="B17:O17" si="3">B7-B15</f>
        <v>-118838</v>
      </c>
      <c r="C17" s="300">
        <f t="shared" si="3"/>
        <v>-117683</v>
      </c>
      <c r="D17" s="300">
        <f t="shared" si="3"/>
        <v>-134774</v>
      </c>
      <c r="E17" s="300">
        <f t="shared" si="3"/>
        <v>-55550</v>
      </c>
      <c r="F17" s="300">
        <f t="shared" si="3"/>
        <v>-43839</v>
      </c>
      <c r="G17" s="285">
        <f t="shared" si="3"/>
        <v>-50304.140411138535</v>
      </c>
      <c r="H17" s="285">
        <f t="shared" si="3"/>
        <v>-66620.071390929632</v>
      </c>
      <c r="I17" s="285">
        <f t="shared" si="3"/>
        <v>-84617.132122257724</v>
      </c>
      <c r="J17" s="285">
        <f t="shared" si="3"/>
        <v>-99544.508260112256</v>
      </c>
      <c r="K17" s="285">
        <f t="shared" si="3"/>
        <v>-123049.00963055156</v>
      </c>
      <c r="L17" s="285">
        <f t="shared" si="3"/>
        <v>-133996.61286735721</v>
      </c>
      <c r="M17" s="285">
        <f t="shared" si="3"/>
        <v>-164271.49826393556</v>
      </c>
      <c r="N17" s="285">
        <f t="shared" si="3"/>
        <v>-191390.51929591689</v>
      </c>
      <c r="O17" s="285">
        <f t="shared" si="3"/>
        <v>-216053.57217504177</v>
      </c>
      <c r="P17" s="232"/>
      <c r="Q17" s="232"/>
      <c r="R17" s="232"/>
    </row>
    <row r="18" spans="1:21" x14ac:dyDescent="0.25">
      <c r="A18" s="284"/>
      <c r="B18" s="295"/>
      <c r="C18" s="299"/>
      <c r="D18" s="299"/>
      <c r="E18" s="299"/>
      <c r="F18" s="299"/>
      <c r="G18" s="283"/>
      <c r="H18" s="283"/>
      <c r="I18" s="283"/>
      <c r="J18" s="283"/>
      <c r="K18" s="283"/>
      <c r="L18" s="283"/>
      <c r="M18" s="283"/>
      <c r="N18" s="283"/>
      <c r="O18" s="283"/>
      <c r="P18" s="34"/>
      <c r="Q18" s="34"/>
      <c r="R18" s="34"/>
    </row>
    <row r="19" spans="1:21" x14ac:dyDescent="0.25">
      <c r="A19" s="284"/>
      <c r="B19" s="295"/>
      <c r="C19" s="299"/>
      <c r="D19" s="299"/>
      <c r="E19" s="299"/>
      <c r="F19" s="299"/>
      <c r="G19" s="283"/>
      <c r="H19" s="283"/>
      <c r="I19" s="283"/>
      <c r="J19" s="283"/>
      <c r="K19" s="283"/>
      <c r="L19" s="283"/>
      <c r="M19" s="283"/>
      <c r="N19" s="283"/>
      <c r="O19" s="283"/>
      <c r="P19" s="34"/>
      <c r="Q19" s="34"/>
      <c r="R19" s="34"/>
    </row>
    <row r="20" spans="1:21" x14ac:dyDescent="0.25">
      <c r="A20" s="282" t="s">
        <v>402</v>
      </c>
      <c r="B20" s="295"/>
      <c r="C20" s="299"/>
      <c r="D20" s="299"/>
      <c r="E20" s="299"/>
      <c r="F20" s="299"/>
      <c r="G20" s="283"/>
      <c r="H20" s="283"/>
      <c r="I20" s="283"/>
      <c r="J20" s="283"/>
      <c r="K20" s="283"/>
      <c r="L20" s="283"/>
      <c r="M20" s="283"/>
      <c r="N20" s="283"/>
      <c r="O20" s="283"/>
      <c r="P20" s="34"/>
      <c r="Q20" s="34"/>
      <c r="R20" s="34"/>
    </row>
    <row r="21" spans="1:21" x14ac:dyDescent="0.25">
      <c r="A21" s="284" t="s">
        <v>401</v>
      </c>
      <c r="B21" s="295">
        <f>'Forutsetninger drift'!B45</f>
        <v>273774</v>
      </c>
      <c r="C21" s="299">
        <f>'Forutsetninger drift'!C45</f>
        <v>273331</v>
      </c>
      <c r="D21" s="299">
        <f>'Forutsetninger drift'!D45</f>
        <v>314315</v>
      </c>
      <c r="E21" s="299">
        <f>'Forutsetninger drift'!E45</f>
        <v>340085</v>
      </c>
      <c r="F21" s="299">
        <f>'Forutsetninger drift'!F45</f>
        <v>362403</v>
      </c>
      <c r="G21" s="283">
        <f>'Forutsetninger drift'!G45</f>
        <v>370657.28333333333</v>
      </c>
      <c r="H21" s="283">
        <f>'Forutsetninger drift'!H45</f>
        <v>378526.17833333334</v>
      </c>
      <c r="I21" s="283">
        <f>'Forutsetninger drift'!I45</f>
        <v>385949.62</v>
      </c>
      <c r="J21" s="283">
        <f>'Forutsetninger drift'!J45</f>
        <v>392867.6083333334</v>
      </c>
      <c r="K21" s="283">
        <f>'Forutsetninger drift'!K45</f>
        <v>399220.14333333331</v>
      </c>
      <c r="L21" s="283">
        <f>'Forutsetninger drift'!L45</f>
        <v>404947.22500000003</v>
      </c>
      <c r="M21" s="283">
        <f>'Forutsetninger drift'!M45</f>
        <v>409988.85333333339</v>
      </c>
      <c r="N21" s="283">
        <f>'Forutsetninger drift'!N45</f>
        <v>414285.02833333332</v>
      </c>
      <c r="O21" s="283">
        <f>'Forutsetninger drift'!O45</f>
        <v>417775.75</v>
      </c>
      <c r="P21" s="34"/>
      <c r="Q21" s="34"/>
      <c r="R21" s="34"/>
    </row>
    <row r="22" spans="1:21" x14ac:dyDescent="0.25">
      <c r="A22" s="284" t="s">
        <v>399</v>
      </c>
      <c r="B22" s="295">
        <f>'Forutsetninger drift'!B46</f>
        <v>121909</v>
      </c>
      <c r="C22" s="299">
        <f>'Forutsetninger drift'!C46</f>
        <v>135328</v>
      </c>
      <c r="D22" s="299">
        <f>'Forutsetninger drift'!D46</f>
        <v>159822</v>
      </c>
      <c r="E22" s="299">
        <f>'Forutsetninger drift'!E46</f>
        <v>172275</v>
      </c>
      <c r="F22" s="299">
        <f>'Forutsetninger drift'!F46</f>
        <v>181195</v>
      </c>
      <c r="G22" s="283">
        <f>'Forutsetninger drift'!G46</f>
        <v>181195</v>
      </c>
      <c r="H22" s="283">
        <f>'Forutsetninger drift'!H46</f>
        <v>181195</v>
      </c>
      <c r="I22" s="283">
        <f>'Forutsetninger drift'!I46</f>
        <v>181195</v>
      </c>
      <c r="J22" s="283">
        <f>'Forutsetninger drift'!J46</f>
        <v>181195</v>
      </c>
      <c r="K22" s="283">
        <f>'Forutsetninger drift'!K46</f>
        <v>181195</v>
      </c>
      <c r="L22" s="283">
        <f>'Forutsetninger drift'!L46</f>
        <v>181195</v>
      </c>
      <c r="M22" s="283">
        <f>'Forutsetninger drift'!M46</f>
        <v>181195</v>
      </c>
      <c r="N22" s="283">
        <f>'Forutsetninger drift'!N46</f>
        <v>181195</v>
      </c>
      <c r="O22" s="283">
        <f>'Forutsetninger drift'!O46</f>
        <v>181195</v>
      </c>
      <c r="P22" s="34"/>
      <c r="Q22" s="34"/>
      <c r="R22" s="34"/>
    </row>
    <row r="23" spans="1:21" s="231" customFormat="1" x14ac:dyDescent="0.25">
      <c r="A23" s="282" t="s">
        <v>398</v>
      </c>
      <c r="B23" s="296">
        <f t="shared" ref="B23" si="4">SUM(B21:B22)</f>
        <v>395683</v>
      </c>
      <c r="C23" s="300">
        <f t="shared" ref="C23:O23" si="5">SUM(C21:C22)</f>
        <v>408659</v>
      </c>
      <c r="D23" s="300">
        <f t="shared" si="5"/>
        <v>474137</v>
      </c>
      <c r="E23" s="300">
        <f t="shared" si="5"/>
        <v>512360</v>
      </c>
      <c r="F23" s="300">
        <f t="shared" si="5"/>
        <v>543598</v>
      </c>
      <c r="G23" s="285">
        <f t="shared" si="5"/>
        <v>551852.28333333333</v>
      </c>
      <c r="H23" s="285">
        <f t="shared" si="5"/>
        <v>559721.17833333334</v>
      </c>
      <c r="I23" s="285">
        <f t="shared" si="5"/>
        <v>567144.62</v>
      </c>
      <c r="J23" s="285">
        <f t="shared" si="5"/>
        <v>574062.6083333334</v>
      </c>
      <c r="K23" s="285">
        <f t="shared" si="5"/>
        <v>580415.14333333331</v>
      </c>
      <c r="L23" s="285">
        <f t="shared" si="5"/>
        <v>586142.22500000009</v>
      </c>
      <c r="M23" s="285">
        <f t="shared" si="5"/>
        <v>591183.85333333339</v>
      </c>
      <c r="N23" s="285">
        <f t="shared" si="5"/>
        <v>595480.02833333332</v>
      </c>
      <c r="O23" s="285">
        <f t="shared" si="5"/>
        <v>598970.75</v>
      </c>
      <c r="P23" s="232"/>
      <c r="Q23" s="232"/>
      <c r="R23" s="232"/>
      <c r="U23" s="236"/>
    </row>
    <row r="24" spans="1:21" x14ac:dyDescent="0.25">
      <c r="A24" s="284"/>
      <c r="B24" s="295"/>
      <c r="C24" s="299"/>
      <c r="D24" s="299"/>
      <c r="E24" s="299"/>
      <c r="F24" s="299"/>
      <c r="G24" s="283"/>
      <c r="H24" s="283"/>
      <c r="I24" s="283"/>
      <c r="J24" s="283"/>
      <c r="K24" s="283"/>
      <c r="L24" s="283"/>
      <c r="M24" s="283"/>
      <c r="N24" s="283"/>
      <c r="O24" s="283"/>
      <c r="P24" s="34"/>
      <c r="Q24" s="34"/>
      <c r="R24" s="34"/>
    </row>
    <row r="25" spans="1:21" x14ac:dyDescent="0.25">
      <c r="A25" s="282" t="s">
        <v>397</v>
      </c>
      <c r="B25" s="295"/>
      <c r="C25" s="299"/>
      <c r="D25" s="299"/>
      <c r="E25" s="299"/>
      <c r="F25" s="299"/>
      <c r="G25" s="283"/>
      <c r="H25" s="283"/>
      <c r="I25" s="283"/>
      <c r="J25" s="283"/>
      <c r="K25" s="283"/>
      <c r="L25" s="283"/>
      <c r="M25" s="283"/>
      <c r="N25" s="283"/>
      <c r="O25" s="283"/>
      <c r="P25" s="34"/>
      <c r="Q25" s="34"/>
      <c r="R25" s="34"/>
    </row>
    <row r="26" spans="1:21" x14ac:dyDescent="0.25">
      <c r="A26" s="284" t="s">
        <v>102</v>
      </c>
      <c r="B26" s="295">
        <f>'Forutsetninger drift'!B49</f>
        <v>109754</v>
      </c>
      <c r="C26" s="299">
        <f>'Forutsetninger drift'!C49</f>
        <v>99445</v>
      </c>
      <c r="D26" s="299">
        <f>'Forutsetninger drift'!D49</f>
        <v>116061</v>
      </c>
      <c r="E26" s="299">
        <f>'Forutsetninger drift'!E49</f>
        <v>137722</v>
      </c>
      <c r="F26" s="299">
        <f>'Forutsetninger drift'!F49</f>
        <v>152941</v>
      </c>
      <c r="G26" s="283">
        <f>'Forutsetninger drift'!G49</f>
        <v>161904.4419600087</v>
      </c>
      <c r="H26" s="283">
        <f>'Forutsetninger drift'!H49</f>
        <v>175639.23946511938</v>
      </c>
      <c r="I26" s="283">
        <f>'Forutsetninger drift'!I49</f>
        <v>188144.71485424091</v>
      </c>
      <c r="J26" s="283">
        <f>'Forutsetninger drift'!J49</f>
        <v>198117.32515534616</v>
      </c>
      <c r="K26" s="283">
        <f>'Forutsetninger drift'!K49</f>
        <v>207207.7042951422</v>
      </c>
      <c r="L26" s="283">
        <f>'Forutsetninger drift'!L49</f>
        <v>215330.30655898576</v>
      </c>
      <c r="M26" s="283">
        <f>'Forutsetninger drift'!M49</f>
        <v>222323.07927020828</v>
      </c>
      <c r="N26" s="283">
        <f>'Forutsetninger drift'!N49</f>
        <v>227798.41012133964</v>
      </c>
      <c r="O26" s="283">
        <f>'Forutsetninger drift'!O49</f>
        <v>231402.07567621744</v>
      </c>
      <c r="P26" s="34"/>
      <c r="Q26" s="34"/>
      <c r="R26" s="34"/>
    </row>
    <row r="27" spans="1:21" x14ac:dyDescent="0.25">
      <c r="A27" s="287" t="s">
        <v>104</v>
      </c>
      <c r="B27" s="295">
        <f>'Forutsetninger drift'!B50</f>
        <v>209953</v>
      </c>
      <c r="C27" s="299">
        <f>'Forutsetninger drift'!C50</f>
        <v>225266</v>
      </c>
      <c r="D27" s="299">
        <f>'Forutsetninger drift'!D50</f>
        <v>251805</v>
      </c>
      <c r="E27" s="299">
        <f>'Forutsetninger drift'!E50</f>
        <v>266839</v>
      </c>
      <c r="F27" s="299">
        <f>'Forutsetninger drift'!F50</f>
        <v>273769</v>
      </c>
      <c r="G27" s="283">
        <f>'Forutsetninger drift'!G50</f>
        <v>282199.27972706576</v>
      </c>
      <c r="H27" s="283">
        <f>'Forutsetninger drift'!H50</f>
        <v>297428.43364439462</v>
      </c>
      <c r="I27" s="283">
        <f>'Forutsetninger drift'!I50</f>
        <v>311060.10865876992</v>
      </c>
      <c r="J27" s="283">
        <f>'Forutsetninger drift'!J50</f>
        <v>322047.23725964315</v>
      </c>
      <c r="K27" s="283">
        <f>'Forutsetninger drift'!K50</f>
        <v>332740.8532022885</v>
      </c>
      <c r="L27" s="283">
        <f>'Forutsetninger drift'!L50</f>
        <v>343225.32357531361</v>
      </c>
      <c r="M27" s="283">
        <f>'Forutsetninger drift'!M50</f>
        <v>353493.44373736822</v>
      </c>
      <c r="N27" s="283">
        <f>'Forutsetninger drift'!N50</f>
        <v>363334.61242262955</v>
      </c>
      <c r="O27" s="283">
        <f>'Forutsetninger drift'!O50</f>
        <v>372601.46676189936</v>
      </c>
      <c r="P27" s="34"/>
      <c r="Q27" s="34"/>
      <c r="R27" s="34"/>
    </row>
    <row r="28" spans="1:21" x14ac:dyDescent="0.25">
      <c r="A28" s="284" t="s">
        <v>395</v>
      </c>
      <c r="B28" s="295">
        <f>'Forutsetninger drift'!B51</f>
        <v>500</v>
      </c>
      <c r="C28" s="299">
        <f>'Forutsetninger drift'!C51</f>
        <v>500</v>
      </c>
      <c r="D28" s="299">
        <f>'Forutsetninger drift'!D51</f>
        <v>500</v>
      </c>
      <c r="E28" s="299">
        <f>'Forutsetninger drift'!E51</f>
        <v>500</v>
      </c>
      <c r="F28" s="299">
        <f>'Forutsetninger drift'!F51</f>
        <v>500</v>
      </c>
      <c r="G28" s="283">
        <f>'Forutsetninger drift'!G51</f>
        <v>0</v>
      </c>
      <c r="H28" s="283">
        <f>'Forutsetninger drift'!H51</f>
        <v>0</v>
      </c>
      <c r="I28" s="283">
        <f>'Forutsetninger drift'!I51</f>
        <v>0</v>
      </c>
      <c r="J28" s="283">
        <f>'Forutsetninger drift'!J51</f>
        <v>0</v>
      </c>
      <c r="K28" s="283">
        <f>'Forutsetninger drift'!K51</f>
        <v>0</v>
      </c>
      <c r="L28" s="283">
        <f>'Forutsetninger drift'!L51</f>
        <v>0</v>
      </c>
      <c r="M28" s="283">
        <f>'Forutsetninger drift'!M51</f>
        <v>0</v>
      </c>
      <c r="N28" s="283">
        <f>'Forutsetninger drift'!N51</f>
        <v>0</v>
      </c>
      <c r="O28" s="283">
        <f>'Forutsetninger drift'!O51</f>
        <v>0</v>
      </c>
      <c r="P28" s="34"/>
      <c r="Q28" s="34"/>
      <c r="R28" s="34"/>
    </row>
    <row r="29" spans="1:21" s="231" customFormat="1" x14ac:dyDescent="0.25">
      <c r="A29" s="282" t="s">
        <v>394</v>
      </c>
      <c r="B29" s="296">
        <f t="shared" ref="B29" si="6">SUM(B26:B28)</f>
        <v>320207</v>
      </c>
      <c r="C29" s="300">
        <f t="shared" ref="C29:O29" si="7">SUM(C26:C28)</f>
        <v>325211</v>
      </c>
      <c r="D29" s="300">
        <f t="shared" si="7"/>
        <v>368366</v>
      </c>
      <c r="E29" s="300">
        <f t="shared" si="7"/>
        <v>405061</v>
      </c>
      <c r="F29" s="300">
        <f t="shared" si="7"/>
        <v>427210</v>
      </c>
      <c r="G29" s="285">
        <f t="shared" si="7"/>
        <v>444103.72168707446</v>
      </c>
      <c r="H29" s="285">
        <f t="shared" si="7"/>
        <v>473067.673109514</v>
      </c>
      <c r="I29" s="285">
        <f t="shared" si="7"/>
        <v>499204.82351301087</v>
      </c>
      <c r="J29" s="285">
        <f t="shared" si="7"/>
        <v>520164.56241498934</v>
      </c>
      <c r="K29" s="285">
        <f t="shared" si="7"/>
        <v>539948.55749743071</v>
      </c>
      <c r="L29" s="285">
        <f t="shared" si="7"/>
        <v>558555.6301342994</v>
      </c>
      <c r="M29" s="285">
        <f t="shared" si="7"/>
        <v>575816.52300757647</v>
      </c>
      <c r="N29" s="285">
        <f t="shared" si="7"/>
        <v>591133.02254396921</v>
      </c>
      <c r="O29" s="285">
        <f t="shared" si="7"/>
        <v>604003.54243811686</v>
      </c>
      <c r="P29" s="232"/>
      <c r="Q29" s="232"/>
      <c r="R29" s="232"/>
      <c r="U29" s="236"/>
    </row>
    <row r="30" spans="1:21" x14ac:dyDescent="0.25">
      <c r="A30" s="284"/>
      <c r="B30" s="295"/>
      <c r="C30" s="299"/>
      <c r="D30" s="299"/>
      <c r="E30" s="299"/>
      <c r="F30" s="299"/>
      <c r="G30" s="283"/>
      <c r="H30" s="283"/>
      <c r="I30" s="283"/>
      <c r="J30" s="283"/>
      <c r="K30" s="283"/>
      <c r="L30" s="283"/>
      <c r="M30" s="283"/>
      <c r="N30" s="283"/>
      <c r="O30" s="283"/>
      <c r="P30" s="34"/>
      <c r="Q30" s="34"/>
      <c r="R30" s="34"/>
    </row>
    <row r="31" spans="1:21" s="231" customFormat="1" x14ac:dyDescent="0.25">
      <c r="A31" s="282" t="s">
        <v>393</v>
      </c>
      <c r="B31" s="296">
        <f t="shared" ref="B31" si="8">B23-B29</f>
        <v>75476</v>
      </c>
      <c r="C31" s="300">
        <f t="shared" ref="C31:O31" si="9">C23-C29</f>
        <v>83448</v>
      </c>
      <c r="D31" s="300">
        <f t="shared" si="9"/>
        <v>105771</v>
      </c>
      <c r="E31" s="300">
        <f t="shared" si="9"/>
        <v>107299</v>
      </c>
      <c r="F31" s="300">
        <f t="shared" si="9"/>
        <v>116388</v>
      </c>
      <c r="G31" s="285">
        <f t="shared" si="9"/>
        <v>107748.56164625887</v>
      </c>
      <c r="H31" s="285">
        <f t="shared" si="9"/>
        <v>86653.505223819346</v>
      </c>
      <c r="I31" s="285">
        <f t="shared" si="9"/>
        <v>67939.796486989129</v>
      </c>
      <c r="J31" s="285">
        <f t="shared" si="9"/>
        <v>53898.045918344054</v>
      </c>
      <c r="K31" s="285">
        <f t="shared" si="9"/>
        <v>40466.585835902602</v>
      </c>
      <c r="L31" s="285">
        <f t="shared" si="9"/>
        <v>27586.594865700696</v>
      </c>
      <c r="M31" s="285">
        <f t="shared" si="9"/>
        <v>15367.330325756921</v>
      </c>
      <c r="N31" s="285">
        <f t="shared" si="9"/>
        <v>4347.005789364106</v>
      </c>
      <c r="O31" s="285">
        <f t="shared" si="9"/>
        <v>-5032.7924381168559</v>
      </c>
      <c r="P31" s="232"/>
      <c r="Q31" s="232"/>
      <c r="R31" s="232"/>
    </row>
    <row r="32" spans="1:21" x14ac:dyDescent="0.25">
      <c r="A32" s="284"/>
      <c r="B32" s="295"/>
      <c r="C32" s="299"/>
      <c r="D32" s="299"/>
      <c r="E32" s="299"/>
      <c r="F32" s="299"/>
      <c r="G32" s="283"/>
      <c r="H32" s="283"/>
      <c r="I32" s="283"/>
      <c r="J32" s="283"/>
      <c r="K32" s="283"/>
      <c r="L32" s="283"/>
      <c r="M32" s="283"/>
      <c r="N32" s="283"/>
      <c r="O32" s="283"/>
      <c r="P32" s="34"/>
      <c r="Q32" s="34"/>
      <c r="R32" s="34"/>
    </row>
    <row r="33" spans="1:18" x14ac:dyDescent="0.25">
      <c r="A33" s="282" t="s">
        <v>430</v>
      </c>
      <c r="B33" s="295">
        <f>'Øk oversikt 2017-2021'!B43</f>
        <v>67000</v>
      </c>
      <c r="C33" s="299">
        <f>'Øk oversikt 2017-2021'!C43</f>
        <v>69000</v>
      </c>
      <c r="D33" s="299">
        <f>'Øk oversikt 2017-2021'!D43</f>
        <v>71000</v>
      </c>
      <c r="E33" s="299">
        <f>'Øk oversikt 2017-2021'!E43</f>
        <v>74000</v>
      </c>
      <c r="F33" s="299">
        <f>'Øk oversikt 2017-2021'!F43</f>
        <v>77000</v>
      </c>
      <c r="G33" s="295"/>
      <c r="H33" s="295"/>
      <c r="I33" s="295"/>
      <c r="J33" s="295"/>
      <c r="K33" s="295"/>
      <c r="L33" s="295"/>
      <c r="M33" s="295"/>
      <c r="N33" s="295"/>
      <c r="O33" s="295"/>
      <c r="P33" s="34"/>
      <c r="Q33" s="34"/>
      <c r="R33" s="34"/>
    </row>
    <row r="34" spans="1:18" x14ac:dyDescent="0.25">
      <c r="A34" s="284"/>
      <c r="B34" s="295"/>
      <c r="C34" s="299"/>
      <c r="D34" s="299"/>
      <c r="E34" s="299"/>
      <c r="F34" s="299"/>
      <c r="G34" s="283"/>
      <c r="H34" s="283"/>
      <c r="I34" s="283"/>
      <c r="J34" s="283"/>
      <c r="K34" s="283"/>
      <c r="L34" s="283"/>
      <c r="M34" s="283"/>
      <c r="N34" s="283"/>
      <c r="O34" s="283"/>
      <c r="P34" s="34"/>
      <c r="Q34" s="34"/>
      <c r="R34" s="34"/>
    </row>
    <row r="35" spans="1:18" s="231" customFormat="1" x14ac:dyDescent="0.25">
      <c r="A35" s="292" t="s">
        <v>71</v>
      </c>
      <c r="B35" s="293">
        <f t="shared" ref="B35:O35" si="10">B17+B31+B33</f>
        <v>23638</v>
      </c>
      <c r="C35" s="293">
        <f t="shared" si="10"/>
        <v>34765</v>
      </c>
      <c r="D35" s="293">
        <f t="shared" si="10"/>
        <v>41997</v>
      </c>
      <c r="E35" s="293">
        <f t="shared" si="10"/>
        <v>125749</v>
      </c>
      <c r="F35" s="293">
        <f t="shared" si="10"/>
        <v>149549</v>
      </c>
      <c r="G35" s="293">
        <f t="shared" si="10"/>
        <v>57444.421235120331</v>
      </c>
      <c r="H35" s="293">
        <f t="shared" si="10"/>
        <v>20033.433832889714</v>
      </c>
      <c r="I35" s="293">
        <f t="shared" si="10"/>
        <v>-16677.335635268595</v>
      </c>
      <c r="J35" s="293">
        <f t="shared" si="10"/>
        <v>-45646.462341768201</v>
      </c>
      <c r="K35" s="293">
        <f t="shared" si="10"/>
        <v>-82582.423794648959</v>
      </c>
      <c r="L35" s="293">
        <f t="shared" si="10"/>
        <v>-106410.01800165651</v>
      </c>
      <c r="M35" s="293">
        <f t="shared" si="10"/>
        <v>-148904.16793817864</v>
      </c>
      <c r="N35" s="293">
        <f t="shared" si="10"/>
        <v>-187043.51350655279</v>
      </c>
      <c r="O35" s="293">
        <f t="shared" si="10"/>
        <v>-221086.36461315863</v>
      </c>
      <c r="P35" s="232"/>
      <c r="Q35" s="232"/>
      <c r="R35" s="232"/>
    </row>
    <row r="36" spans="1:18" s="231" customFormat="1" x14ac:dyDescent="0.25">
      <c r="A36" s="292"/>
      <c r="B36" s="294">
        <f t="shared" ref="B36:O36" si="11">B35/B7</f>
        <v>4.8490293940867193E-3</v>
      </c>
      <c r="C36" s="294">
        <f t="shared" si="11"/>
        <v>6.8700224943092341E-3</v>
      </c>
      <c r="D36" s="294">
        <f t="shared" si="11"/>
        <v>8.1843050064046765E-3</v>
      </c>
      <c r="E36" s="294">
        <f t="shared" si="11"/>
        <v>2.387940604656056E-2</v>
      </c>
      <c r="F36" s="294">
        <f t="shared" si="11"/>
        <v>2.8036002554845854E-2</v>
      </c>
      <c r="G36" s="294">
        <f t="shared" si="11"/>
        <v>1.0551411380217176E-2</v>
      </c>
      <c r="H36" s="294">
        <f t="shared" si="11"/>
        <v>3.6249642639019858E-3</v>
      </c>
      <c r="I36" s="294">
        <f t="shared" si="11"/>
        <v>-2.9740956787011569E-3</v>
      </c>
      <c r="J36" s="294">
        <f t="shared" si="11"/>
        <v>-8.0260642228373071E-3</v>
      </c>
      <c r="K36" s="294">
        <f t="shared" si="11"/>
        <v>-1.4313477505846417E-2</v>
      </c>
      <c r="L36" s="294">
        <f t="shared" si="11"/>
        <v>-1.818797568587039E-2</v>
      </c>
      <c r="M36" s="294">
        <f t="shared" si="11"/>
        <v>-2.5157303365339907E-2</v>
      </c>
      <c r="N36" s="294">
        <f t="shared" si="11"/>
        <v>-3.1193991000575627E-2</v>
      </c>
      <c r="O36" s="294">
        <f t="shared" si="11"/>
        <v>-3.6387509879143597E-2</v>
      </c>
      <c r="P36" s="232"/>
      <c r="Q36" s="232"/>
      <c r="R36" s="232"/>
    </row>
    <row r="37" spans="1:18" x14ac:dyDescent="0.25">
      <c r="A37" s="284"/>
      <c r="B37" s="295"/>
      <c r="C37" s="299"/>
      <c r="D37" s="299"/>
      <c r="E37" s="299"/>
      <c r="F37" s="299"/>
      <c r="G37" s="283"/>
      <c r="H37" s="283"/>
      <c r="I37" s="283"/>
      <c r="J37" s="283"/>
      <c r="K37" s="283"/>
      <c r="L37" s="283"/>
      <c r="M37" s="283"/>
      <c r="N37" s="283"/>
      <c r="O37" s="283"/>
      <c r="P37" s="34"/>
      <c r="Q37" s="34"/>
      <c r="R37" s="34"/>
    </row>
    <row r="38" spans="1:18" x14ac:dyDescent="0.25">
      <c r="A38" s="282" t="s">
        <v>391</v>
      </c>
      <c r="B38" s="295"/>
      <c r="C38" s="299"/>
      <c r="D38" s="299"/>
      <c r="E38" s="299"/>
      <c r="F38" s="299"/>
      <c r="G38" s="283"/>
      <c r="H38" s="283"/>
      <c r="I38" s="283"/>
      <c r="J38" s="283"/>
      <c r="K38" s="283"/>
      <c r="L38" s="283"/>
      <c r="M38" s="283"/>
      <c r="N38" s="283"/>
      <c r="O38" s="283"/>
      <c r="P38" s="34"/>
      <c r="Q38" s="34"/>
      <c r="R38" s="34"/>
    </row>
    <row r="39" spans="1:18" x14ac:dyDescent="0.25">
      <c r="A39" s="284" t="s">
        <v>433</v>
      </c>
      <c r="B39" s="295">
        <f>'Øk oversikt 2017-2021'!B48</f>
        <v>0</v>
      </c>
      <c r="C39" s="299">
        <f>'Øk oversikt 2017-2021'!C48</f>
        <v>0</v>
      </c>
      <c r="D39" s="299">
        <f>'Øk oversikt 2017-2021'!D48</f>
        <v>0</v>
      </c>
      <c r="E39" s="299">
        <f>'Øk oversikt 2017-2021'!E48</f>
        <v>0</v>
      </c>
      <c r="F39" s="299">
        <f>'Øk oversikt 2017-2021'!F48</f>
        <v>0</v>
      </c>
      <c r="G39" s="283"/>
      <c r="H39" s="283"/>
      <c r="I39" s="283"/>
      <c r="J39" s="283"/>
      <c r="K39" s="283"/>
      <c r="L39" s="283"/>
      <c r="M39" s="283"/>
      <c r="N39" s="283"/>
      <c r="O39" s="283"/>
      <c r="P39" s="34"/>
      <c r="Q39" s="34"/>
      <c r="R39" s="34"/>
    </row>
    <row r="40" spans="1:18" s="231" customFormat="1" x14ac:dyDescent="0.25">
      <c r="A40" s="287" t="s">
        <v>389</v>
      </c>
      <c r="B40" s="295">
        <f>'Øk oversikt 2017-2021'!B49</f>
        <v>32000</v>
      </c>
      <c r="C40" s="299">
        <f>'Øk oversikt 2017-2021'!C49</f>
        <v>53250</v>
      </c>
      <c r="D40" s="299">
        <f>'Øk oversikt 2017-2021'!D49</f>
        <v>6050</v>
      </c>
      <c r="E40" s="299">
        <f>'Øk oversikt 2017-2021'!E49</f>
        <v>0</v>
      </c>
      <c r="F40" s="299">
        <f>'Øk oversikt 2017-2021'!F49</f>
        <v>0</v>
      </c>
      <c r="G40" s="283"/>
      <c r="H40" s="283"/>
      <c r="I40" s="283"/>
      <c r="J40" s="283"/>
      <c r="K40" s="283"/>
      <c r="L40" s="283"/>
      <c r="M40" s="283"/>
      <c r="N40" s="283"/>
      <c r="O40" s="283"/>
      <c r="P40" s="232"/>
      <c r="Q40" s="232"/>
      <c r="R40" s="232"/>
    </row>
    <row r="41" spans="1:18" s="231" customFormat="1" x14ac:dyDescent="0.25">
      <c r="A41" s="287" t="s">
        <v>388</v>
      </c>
      <c r="B41" s="295">
        <f>'Øk oversikt 2017-2021'!B50</f>
        <v>23377</v>
      </c>
      <c r="C41" s="299">
        <f>'Øk oversikt 2017-2021'!C50</f>
        <v>5429</v>
      </c>
      <c r="D41" s="299">
        <f>'Øk oversikt 2017-2021'!D50</f>
        <v>4278</v>
      </c>
      <c r="E41" s="299">
        <f>'Øk oversikt 2017-2021'!E50</f>
        <v>61</v>
      </c>
      <c r="F41" s="299">
        <f>'Øk oversikt 2017-2021'!F50</f>
        <v>-1055</v>
      </c>
      <c r="G41" s="283"/>
      <c r="H41" s="283"/>
      <c r="I41" s="283"/>
      <c r="J41" s="283"/>
      <c r="K41" s="283"/>
      <c r="L41" s="283"/>
      <c r="M41" s="283"/>
      <c r="N41" s="283"/>
      <c r="O41" s="283"/>
      <c r="P41" s="232"/>
      <c r="Q41" s="232"/>
      <c r="R41" s="232"/>
    </row>
    <row r="42" spans="1:18" s="233" customFormat="1" x14ac:dyDescent="0.25">
      <c r="A42" s="282" t="s">
        <v>387</v>
      </c>
      <c r="B42" s="297">
        <f t="shared" ref="B42" si="12">SUM(B39:B41)</f>
        <v>55377</v>
      </c>
      <c r="C42" s="302">
        <f t="shared" ref="C42:O42" si="13">SUM(C39:C41)</f>
        <v>58679</v>
      </c>
      <c r="D42" s="302">
        <f t="shared" si="13"/>
        <v>10328</v>
      </c>
      <c r="E42" s="302">
        <f t="shared" si="13"/>
        <v>61</v>
      </c>
      <c r="F42" s="302">
        <f t="shared" si="13"/>
        <v>-1055</v>
      </c>
      <c r="G42" s="288">
        <f t="shared" si="13"/>
        <v>0</v>
      </c>
      <c r="H42" s="288">
        <f t="shared" si="13"/>
        <v>0</v>
      </c>
      <c r="I42" s="288">
        <f t="shared" si="13"/>
        <v>0</v>
      </c>
      <c r="J42" s="288">
        <f t="shared" si="13"/>
        <v>0</v>
      </c>
      <c r="K42" s="288">
        <f t="shared" si="13"/>
        <v>0</v>
      </c>
      <c r="L42" s="288">
        <f t="shared" si="13"/>
        <v>0</v>
      </c>
      <c r="M42" s="288">
        <f t="shared" si="13"/>
        <v>0</v>
      </c>
      <c r="N42" s="288">
        <f t="shared" si="13"/>
        <v>0</v>
      </c>
      <c r="O42" s="288">
        <f t="shared" si="13"/>
        <v>0</v>
      </c>
      <c r="P42" s="234"/>
      <c r="Q42" s="234"/>
      <c r="R42" s="234"/>
    </row>
    <row r="43" spans="1:18" x14ac:dyDescent="0.25">
      <c r="A43" s="284"/>
      <c r="B43" s="295"/>
      <c r="C43" s="299"/>
      <c r="D43" s="299"/>
      <c r="E43" s="299"/>
      <c r="F43" s="299"/>
      <c r="G43" s="283"/>
      <c r="H43" s="283"/>
      <c r="I43" s="283"/>
      <c r="J43" s="283"/>
      <c r="K43" s="283"/>
      <c r="L43" s="283"/>
      <c r="M43" s="283"/>
      <c r="N43" s="283"/>
      <c r="O43" s="283"/>
      <c r="P43" s="34"/>
      <c r="Q43" s="34"/>
      <c r="R43" s="34"/>
    </row>
    <row r="44" spans="1:18" x14ac:dyDescent="0.25">
      <c r="A44" s="284" t="s">
        <v>434</v>
      </c>
      <c r="B44" s="295">
        <f>'Øk oversikt 2017-2021'!B53</f>
        <v>70604</v>
      </c>
      <c r="C44" s="299">
        <f>'Øk oversikt 2017-2021'!C53</f>
        <v>91067</v>
      </c>
      <c r="D44" s="299">
        <f>'Øk oversikt 2017-2021'!D53</f>
        <v>51496</v>
      </c>
      <c r="E44" s="299">
        <f>'Øk oversikt 2017-2021'!E53</f>
        <v>125002</v>
      </c>
      <c r="F44" s="299">
        <f>'Øk oversikt 2017-2021'!F53</f>
        <v>147678</v>
      </c>
      <c r="G44" s="305">
        <f>'Forutsetninger drift'!G53</f>
        <v>156189.87341772151</v>
      </c>
      <c r="H44" s="305">
        <f>'Forutsetninger drift'!H53</f>
        <v>158658.22784810126</v>
      </c>
      <c r="I44" s="305">
        <f>'Forutsetninger drift'!I53</f>
        <v>161088.60759493671</v>
      </c>
      <c r="J44" s="305">
        <f>'Forutsetninger drift'!J53</f>
        <v>163481.01265822782</v>
      </c>
      <c r="K44" s="305">
        <f>'Forutsetninger drift'!K53</f>
        <v>165949.36708860757</v>
      </c>
      <c r="L44" s="305">
        <f>'Forutsetninger drift'!L53</f>
        <v>168379.74683544305</v>
      </c>
      <c r="M44" s="305">
        <f>'Forutsetninger drift'!M53</f>
        <v>170430.37974683542</v>
      </c>
      <c r="N44" s="305">
        <f>'Forutsetninger drift'!N53</f>
        <v>172746.83544303797</v>
      </c>
      <c r="O44" s="305">
        <f>'Forutsetninger drift'!O53</f>
        <v>175139.24050632908</v>
      </c>
      <c r="P44" s="34"/>
      <c r="Q44" s="34"/>
      <c r="R44" s="34"/>
    </row>
    <row r="45" spans="1:18" x14ac:dyDescent="0.25">
      <c r="A45" s="284" t="s">
        <v>435</v>
      </c>
      <c r="B45" s="295">
        <f>'Øk oversikt 2017-2021'!B54</f>
        <v>0</v>
      </c>
      <c r="C45" s="299">
        <f>'Øk oversikt 2017-2021'!C54</f>
        <v>0</v>
      </c>
      <c r="D45" s="299">
        <f>'Øk oversikt 2017-2021'!D54</f>
        <v>0</v>
      </c>
      <c r="E45" s="299">
        <f>'Øk oversikt 2017-2021'!E54</f>
        <v>0</v>
      </c>
      <c r="F45" s="299">
        <f>'Øk oversikt 2017-2021'!F54</f>
        <v>0</v>
      </c>
      <c r="G45" s="283"/>
      <c r="H45" s="283"/>
      <c r="I45" s="283"/>
      <c r="J45" s="283"/>
      <c r="K45" s="283"/>
      <c r="L45" s="283"/>
      <c r="M45" s="283"/>
      <c r="N45" s="283"/>
      <c r="O45" s="283"/>
      <c r="P45" s="34"/>
      <c r="Q45" s="34"/>
      <c r="R45" s="34"/>
    </row>
    <row r="46" spans="1:18" x14ac:dyDescent="0.25">
      <c r="A46" s="284" t="s">
        <v>384</v>
      </c>
      <c r="B46" s="295">
        <f>'Øk oversikt 2017-2021'!B55</f>
        <v>0</v>
      </c>
      <c r="C46" s="299">
        <f>'Øk oversikt 2017-2021'!C55</f>
        <v>0</v>
      </c>
      <c r="D46" s="299">
        <f>'Øk oversikt 2017-2021'!D55</f>
        <v>0</v>
      </c>
      <c r="E46" s="299">
        <f>'Øk oversikt 2017-2021'!E55</f>
        <v>0</v>
      </c>
      <c r="F46" s="299">
        <f>'Øk oversikt 2017-2021'!F55</f>
        <v>0</v>
      </c>
      <c r="G46" s="283"/>
      <c r="H46" s="283"/>
      <c r="I46" s="283"/>
      <c r="J46" s="283"/>
      <c r="K46" s="283"/>
      <c r="L46" s="283"/>
      <c r="M46" s="283"/>
      <c r="N46" s="283"/>
      <c r="O46" s="283"/>
      <c r="P46" s="34"/>
      <c r="Q46" s="34"/>
      <c r="R46" s="34"/>
    </row>
    <row r="47" spans="1:18" x14ac:dyDescent="0.25">
      <c r="A47" s="284" t="s">
        <v>383</v>
      </c>
      <c r="B47" s="295">
        <f>'Øk oversikt 2017-2021'!B56</f>
        <v>8411</v>
      </c>
      <c r="C47" s="299">
        <f>'Øk oversikt 2017-2021'!C56</f>
        <v>2377</v>
      </c>
      <c r="D47" s="299">
        <f>'Øk oversikt 2017-2021'!D56</f>
        <v>829</v>
      </c>
      <c r="E47" s="299">
        <f>'Øk oversikt 2017-2021'!E56</f>
        <v>808</v>
      </c>
      <c r="F47" s="299">
        <f>'Øk oversikt 2017-2021'!F56</f>
        <v>816</v>
      </c>
      <c r="G47" s="283"/>
      <c r="H47" s="283"/>
      <c r="I47" s="283"/>
      <c r="J47" s="283"/>
      <c r="K47" s="283"/>
      <c r="L47" s="283"/>
      <c r="M47" s="283"/>
      <c r="N47" s="283"/>
      <c r="O47" s="283"/>
      <c r="P47" s="34"/>
      <c r="Q47" s="34"/>
      <c r="R47" s="34"/>
    </row>
    <row r="48" spans="1:18" s="231" customFormat="1" x14ac:dyDescent="0.25">
      <c r="A48" s="282" t="s">
        <v>382</v>
      </c>
      <c r="B48" s="296">
        <f t="shared" ref="B48" si="14">SUM(B44:B47)</f>
        <v>79015</v>
      </c>
      <c r="C48" s="300">
        <f t="shared" ref="C48:O48" si="15">SUM(C44:C47)</f>
        <v>93444</v>
      </c>
      <c r="D48" s="300">
        <f t="shared" si="15"/>
        <v>52325</v>
      </c>
      <c r="E48" s="300">
        <f t="shared" si="15"/>
        <v>125810</v>
      </c>
      <c r="F48" s="300">
        <f t="shared" si="15"/>
        <v>148494</v>
      </c>
      <c r="G48" s="289">
        <f t="shared" si="15"/>
        <v>156189.87341772151</v>
      </c>
      <c r="H48" s="289">
        <f t="shared" si="15"/>
        <v>158658.22784810126</v>
      </c>
      <c r="I48" s="289">
        <f t="shared" si="15"/>
        <v>161088.60759493671</v>
      </c>
      <c r="J48" s="289">
        <f t="shared" si="15"/>
        <v>163481.01265822782</v>
      </c>
      <c r="K48" s="289">
        <f t="shared" si="15"/>
        <v>165949.36708860757</v>
      </c>
      <c r="L48" s="289">
        <f t="shared" si="15"/>
        <v>168379.74683544305</v>
      </c>
      <c r="M48" s="289">
        <f t="shared" si="15"/>
        <v>170430.37974683542</v>
      </c>
      <c r="N48" s="289">
        <f t="shared" si="15"/>
        <v>172746.83544303797</v>
      </c>
      <c r="O48" s="289">
        <f t="shared" si="15"/>
        <v>175139.24050632908</v>
      </c>
      <c r="P48" s="232"/>
      <c r="Q48" s="232"/>
      <c r="R48" s="232"/>
    </row>
    <row r="49" spans="1:18" x14ac:dyDescent="0.25">
      <c r="A49" s="284"/>
      <c r="B49" s="295"/>
      <c r="C49" s="299"/>
      <c r="D49" s="299"/>
      <c r="E49" s="299"/>
      <c r="F49" s="299"/>
      <c r="G49" s="283"/>
      <c r="H49" s="283"/>
      <c r="I49" s="283"/>
      <c r="J49" s="283"/>
      <c r="K49" s="283"/>
      <c r="L49" s="283"/>
      <c r="M49" s="283"/>
      <c r="N49" s="283"/>
      <c r="O49" s="283"/>
      <c r="P49" s="34"/>
      <c r="Q49" s="34"/>
      <c r="R49" s="34"/>
    </row>
    <row r="50" spans="1:18" s="231" customFormat="1" x14ac:dyDescent="0.25">
      <c r="A50" s="292" t="s">
        <v>381</v>
      </c>
      <c r="B50" s="293">
        <f>B35+B42-B48</f>
        <v>0</v>
      </c>
      <c r="C50" s="293">
        <f t="shared" ref="C50:O50" si="16">C35+C42-C48</f>
        <v>0</v>
      </c>
      <c r="D50" s="293">
        <f t="shared" si="16"/>
        <v>0</v>
      </c>
      <c r="E50" s="293">
        <f t="shared" si="16"/>
        <v>0</v>
      </c>
      <c r="F50" s="293">
        <f t="shared" si="16"/>
        <v>0</v>
      </c>
      <c r="G50" s="293">
        <f>G35+G42-G48</f>
        <v>-98745.452182601177</v>
      </c>
      <c r="H50" s="293">
        <f t="shared" si="16"/>
        <v>-138624.79401521155</v>
      </c>
      <c r="I50" s="293">
        <f t="shared" si="16"/>
        <v>-177765.9432302053</v>
      </c>
      <c r="J50" s="293">
        <f t="shared" si="16"/>
        <v>-209127.47499999602</v>
      </c>
      <c r="K50" s="293">
        <f t="shared" si="16"/>
        <v>-248531.79088325653</v>
      </c>
      <c r="L50" s="293">
        <f t="shared" si="16"/>
        <v>-274789.76483709959</v>
      </c>
      <c r="M50" s="293">
        <f t="shared" si="16"/>
        <v>-319334.54768501408</v>
      </c>
      <c r="N50" s="293">
        <f t="shared" si="16"/>
        <v>-359790.34894959076</v>
      </c>
      <c r="O50" s="293">
        <f t="shared" si="16"/>
        <v>-396225.60511948774</v>
      </c>
      <c r="P50" s="235"/>
      <c r="Q50" s="232"/>
      <c r="R50" s="232"/>
    </row>
    <row r="51" spans="1:18" x14ac:dyDescent="0.25">
      <c r="A51" s="284"/>
      <c r="B51" s="295"/>
      <c r="C51" s="299"/>
      <c r="D51" s="299"/>
      <c r="E51" s="299"/>
      <c r="F51" s="299"/>
      <c r="G51" s="283"/>
      <c r="H51" s="283"/>
      <c r="I51" s="283"/>
      <c r="J51" s="283"/>
      <c r="K51" s="283"/>
      <c r="L51" s="283"/>
      <c r="M51" s="283"/>
      <c r="N51" s="283"/>
      <c r="O51" s="283"/>
      <c r="P51" s="34"/>
      <c r="Q51" s="34"/>
      <c r="R51" s="34"/>
    </row>
    <row r="52" spans="1:18" x14ac:dyDescent="0.25">
      <c r="A52" s="282" t="s">
        <v>431</v>
      </c>
      <c r="B52" s="296">
        <f t="shared" ref="B52:O52" si="17">B7+B23</f>
        <v>5270473</v>
      </c>
      <c r="C52" s="300">
        <f t="shared" si="17"/>
        <v>5469050</v>
      </c>
      <c r="D52" s="300">
        <f t="shared" si="17"/>
        <v>5605544</v>
      </c>
      <c r="E52" s="300">
        <f t="shared" si="17"/>
        <v>5778362</v>
      </c>
      <c r="F52" s="300">
        <f t="shared" si="17"/>
        <v>5877775</v>
      </c>
      <c r="G52" s="285">
        <f t="shared" si="17"/>
        <v>5996092.7896624468</v>
      </c>
      <c r="H52" s="285">
        <f t="shared" si="17"/>
        <v>6086240.1656751055</v>
      </c>
      <c r="I52" s="285">
        <f t="shared" si="17"/>
        <v>6174676.2655696208</v>
      </c>
      <c r="J52" s="285">
        <f t="shared" si="17"/>
        <v>6261341.0893459916</v>
      </c>
      <c r="K52" s="285">
        <f t="shared" si="17"/>
        <v>6349972.10535865</v>
      </c>
      <c r="L52" s="285">
        <f t="shared" si="17"/>
        <v>6436711.8452531639</v>
      </c>
      <c r="M52" s="285">
        <f t="shared" si="17"/>
        <v>6510107.9039662443</v>
      </c>
      <c r="N52" s="285">
        <f t="shared" si="17"/>
        <v>6591619.268839662</v>
      </c>
      <c r="O52" s="285">
        <f t="shared" si="17"/>
        <v>6674856.8259493671</v>
      </c>
      <c r="P52" s="34"/>
      <c r="Q52" s="34"/>
      <c r="R52" s="34"/>
    </row>
    <row r="53" spans="1:18" x14ac:dyDescent="0.25">
      <c r="A53" s="282" t="s">
        <v>432</v>
      </c>
      <c r="B53" s="296">
        <f>B15-B33+B29-B42+B48</f>
        <v>5270473</v>
      </c>
      <c r="C53" s="300">
        <f t="shared" ref="C53:O53" si="18">C15-C33+C29-C42+C48</f>
        <v>5469050</v>
      </c>
      <c r="D53" s="300">
        <f t="shared" si="18"/>
        <v>5605544</v>
      </c>
      <c r="E53" s="300">
        <f t="shared" si="18"/>
        <v>5778362</v>
      </c>
      <c r="F53" s="300">
        <f t="shared" si="18"/>
        <v>5877775</v>
      </c>
      <c r="G53" s="285">
        <f t="shared" si="18"/>
        <v>6094838.241845048</v>
      </c>
      <c r="H53" s="285">
        <f t="shared" si="18"/>
        <v>6224864.9596903166</v>
      </c>
      <c r="I53" s="285">
        <f t="shared" si="18"/>
        <v>6352442.208799826</v>
      </c>
      <c r="J53" s="285">
        <f t="shared" si="18"/>
        <v>6470468.5643459884</v>
      </c>
      <c r="K53" s="285">
        <f t="shared" si="18"/>
        <v>6598503.8962419061</v>
      </c>
      <c r="L53" s="285">
        <f t="shared" si="18"/>
        <v>6711501.6100902641</v>
      </c>
      <c r="M53" s="285">
        <f t="shared" si="18"/>
        <v>6829442.4516512584</v>
      </c>
      <c r="N53" s="285">
        <f t="shared" si="18"/>
        <v>6951409.6177892527</v>
      </c>
      <c r="O53" s="285">
        <f t="shared" si="18"/>
        <v>7071082.4310688544</v>
      </c>
      <c r="P53" s="34"/>
      <c r="Q53" s="34"/>
      <c r="R53" s="34"/>
    </row>
    <row r="54" spans="1:18" x14ac:dyDescent="0.25">
      <c r="A54" s="290"/>
      <c r="B54" s="298">
        <f>B52-B53</f>
        <v>0</v>
      </c>
      <c r="C54" s="303">
        <f t="shared" ref="C54:N54" si="19">C52-C53</f>
        <v>0</v>
      </c>
      <c r="D54" s="303">
        <f t="shared" si="19"/>
        <v>0</v>
      </c>
      <c r="E54" s="303">
        <f t="shared" si="19"/>
        <v>0</v>
      </c>
      <c r="F54" s="303">
        <f t="shared" si="19"/>
        <v>0</v>
      </c>
      <c r="G54" s="291">
        <f t="shared" si="19"/>
        <v>-98745.452182601206</v>
      </c>
      <c r="H54" s="291">
        <f t="shared" si="19"/>
        <v>-138624.79401521105</v>
      </c>
      <c r="I54" s="291">
        <f t="shared" si="19"/>
        <v>-177765.94323020522</v>
      </c>
      <c r="J54" s="291">
        <f t="shared" si="19"/>
        <v>-209127.47499999683</v>
      </c>
      <c r="K54" s="291">
        <f t="shared" si="19"/>
        <v>-248531.79088325612</v>
      </c>
      <c r="L54" s="291">
        <f t="shared" si="19"/>
        <v>-274789.76483710017</v>
      </c>
      <c r="M54" s="291">
        <f t="shared" si="19"/>
        <v>-319334.54768501408</v>
      </c>
      <c r="N54" s="291">
        <f t="shared" si="19"/>
        <v>-359790.3489495907</v>
      </c>
      <c r="O54" s="304">
        <f>O52-O53</f>
        <v>-396225.60511948727</v>
      </c>
      <c r="P54" s="34"/>
      <c r="Q54" s="34"/>
      <c r="R54" s="34"/>
    </row>
    <row r="55" spans="1:18" x14ac:dyDescent="0.2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x14ac:dyDescent="0.2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x14ac:dyDescent="0.2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x14ac:dyDescent="0.2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x14ac:dyDescent="0.2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x14ac:dyDescent="0.25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x14ac:dyDescent="0.25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x14ac:dyDescent="0.25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x14ac:dyDescent="0.2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x14ac:dyDescent="0.25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2:18" x14ac:dyDescent="0.25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2:18" x14ac:dyDescent="0.2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2:18" x14ac:dyDescent="0.25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2:18" x14ac:dyDescent="0.25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2:18" x14ac:dyDescent="0.25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2:18" x14ac:dyDescent="0.2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2:18" x14ac:dyDescent="0.25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2:18" x14ac:dyDescent="0.25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2:18" x14ac:dyDescent="0.2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2:18" x14ac:dyDescent="0.25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2:18" x14ac:dyDescent="0.25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2:18" x14ac:dyDescent="0.25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</row>
    <row r="77" spans="2:18" x14ac:dyDescent="0.25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</row>
    <row r="78" spans="2:18" x14ac:dyDescent="0.25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</row>
    <row r="79" spans="2:18" x14ac:dyDescent="0.25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2:18" x14ac:dyDescent="0.25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2:18" x14ac:dyDescent="0.25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</row>
    <row r="82" spans="2:18" x14ac:dyDescent="0.25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</row>
    <row r="83" spans="2:18" x14ac:dyDescent="0.25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</row>
    <row r="84" spans="2:18" x14ac:dyDescent="0.25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</row>
    <row r="85" spans="2:18" x14ac:dyDescent="0.25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</row>
    <row r="86" spans="2:18" x14ac:dyDescent="0.25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</row>
    <row r="87" spans="2:18" x14ac:dyDescent="0.25"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</row>
    <row r="88" spans="2:18" x14ac:dyDescent="0.25"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</row>
    <row r="89" spans="2:18" x14ac:dyDescent="0.25"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</row>
    <row r="90" spans="2:18" x14ac:dyDescent="0.25"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</row>
    <row r="91" spans="2:18" x14ac:dyDescent="0.25"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</row>
    <row r="92" spans="2:18" x14ac:dyDescent="0.25"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</row>
    <row r="93" spans="2:18" x14ac:dyDescent="0.25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</row>
    <row r="94" spans="2:18" x14ac:dyDescent="0.25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</row>
    <row r="95" spans="2:18" x14ac:dyDescent="0.25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2:18" x14ac:dyDescent="0.25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</row>
    <row r="97" spans="2:18" x14ac:dyDescent="0.25"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</row>
    <row r="98" spans="2:18" x14ac:dyDescent="0.25"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</row>
    <row r="99" spans="2:18" x14ac:dyDescent="0.25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</row>
    <row r="100" spans="2:18" x14ac:dyDescent="0.25"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</row>
    <row r="101" spans="2:18" x14ac:dyDescent="0.25"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2:18" x14ac:dyDescent="0.25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</row>
    <row r="103" spans="2:18" x14ac:dyDescent="0.25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</row>
    <row r="104" spans="2:18" x14ac:dyDescent="0.25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2:18" x14ac:dyDescent="0.25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</row>
    <row r="106" spans="2:18" x14ac:dyDescent="0.25"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</row>
    <row r="107" spans="2:18" x14ac:dyDescent="0.25"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</row>
    <row r="108" spans="2:18" x14ac:dyDescent="0.25"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</row>
    <row r="109" spans="2:18" x14ac:dyDescent="0.25"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</row>
    <row r="110" spans="2:18" x14ac:dyDescent="0.25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</row>
    <row r="111" spans="2:18" x14ac:dyDescent="0.25"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</row>
    <row r="112" spans="2:18" x14ac:dyDescent="0.25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</row>
    <row r="113" spans="2:18" x14ac:dyDescent="0.25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</row>
    <row r="114" spans="2:18" x14ac:dyDescent="0.25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2:18" x14ac:dyDescent="0.25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</row>
    <row r="116" spans="2:18" x14ac:dyDescent="0.25"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</row>
    <row r="117" spans="2:18" x14ac:dyDescent="0.25"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2:18" x14ac:dyDescent="0.25"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2:18" x14ac:dyDescent="0.25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2:18" x14ac:dyDescent="0.25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2:18" x14ac:dyDescent="0.25"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2:18" x14ac:dyDescent="0.25"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2:18" x14ac:dyDescent="0.25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2:18" x14ac:dyDescent="0.25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2:18" x14ac:dyDescent="0.25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2:18" x14ac:dyDescent="0.25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2:18" x14ac:dyDescent="0.25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2:18" x14ac:dyDescent="0.25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2:18" x14ac:dyDescent="0.25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2:18" x14ac:dyDescent="0.25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</row>
    <row r="131" spans="2:18" x14ac:dyDescent="0.25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2:18" x14ac:dyDescent="0.25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2:18" x14ac:dyDescent="0.25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2:18" x14ac:dyDescent="0.25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</row>
    <row r="135" spans="2:18" x14ac:dyDescent="0.25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</row>
    <row r="136" spans="2:18" x14ac:dyDescent="0.25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</row>
    <row r="137" spans="2:18" x14ac:dyDescent="0.25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</row>
    <row r="138" spans="2:18" x14ac:dyDescent="0.25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</row>
    <row r="139" spans="2:18" x14ac:dyDescent="0.25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</row>
    <row r="140" spans="2:18" x14ac:dyDescent="0.25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</row>
    <row r="141" spans="2:18" x14ac:dyDescent="0.25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</row>
    <row r="142" spans="2:18" x14ac:dyDescent="0.25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</row>
    <row r="143" spans="2:18" x14ac:dyDescent="0.25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</row>
    <row r="144" spans="2:18" x14ac:dyDescent="0.25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</row>
    <row r="145" spans="2:18" x14ac:dyDescent="0.25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</row>
    <row r="146" spans="2:18" x14ac:dyDescent="0.25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</row>
    <row r="147" spans="2:18" x14ac:dyDescent="0.25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</row>
    <row r="148" spans="2:18" x14ac:dyDescent="0.25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</row>
    <row r="149" spans="2:18" x14ac:dyDescent="0.25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</row>
    <row r="150" spans="2:18" x14ac:dyDescent="0.25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</row>
    <row r="151" spans="2:18" x14ac:dyDescent="0.25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</row>
    <row r="152" spans="2:18" x14ac:dyDescent="0.25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</row>
    <row r="153" spans="2:18" x14ac:dyDescent="0.25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</row>
    <row r="154" spans="2:18" x14ac:dyDescent="0.25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</row>
    <row r="155" spans="2:18" x14ac:dyDescent="0.25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</row>
    <row r="156" spans="2:18" x14ac:dyDescent="0.25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</row>
    <row r="157" spans="2:18" x14ac:dyDescent="0.25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</row>
    <row r="158" spans="2:18" x14ac:dyDescent="0.25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</row>
    <row r="159" spans="2:18" x14ac:dyDescent="0.25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</row>
    <row r="160" spans="2:18" x14ac:dyDescent="0.25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</row>
    <row r="161" spans="2:18" x14ac:dyDescent="0.25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2" spans="2:18" x14ac:dyDescent="0.25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</row>
    <row r="163" spans="2:18" x14ac:dyDescent="0.25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4" spans="2:18" x14ac:dyDescent="0.25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</row>
    <row r="165" spans="2:18" x14ac:dyDescent="0.25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6" spans="2:18" x14ac:dyDescent="0.25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</row>
    <row r="167" spans="2:18" x14ac:dyDescent="0.25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68" spans="2:18" x14ac:dyDescent="0.25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</row>
    <row r="169" spans="2:18" x14ac:dyDescent="0.25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</row>
    <row r="170" spans="2:18" x14ac:dyDescent="0.25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</row>
    <row r="171" spans="2:18" x14ac:dyDescent="0.25"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</row>
    <row r="172" spans="2:18" x14ac:dyDescent="0.25"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</row>
    <row r="173" spans="2:18" x14ac:dyDescent="0.25"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</row>
    <row r="174" spans="2:18" x14ac:dyDescent="0.25"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</row>
    <row r="175" spans="2:18" x14ac:dyDescent="0.25"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6" spans="2:18" x14ac:dyDescent="0.25"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</row>
    <row r="177" spans="2:18" x14ac:dyDescent="0.25"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8" spans="2:18" x14ac:dyDescent="0.25"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</row>
    <row r="179" spans="2:18" x14ac:dyDescent="0.25"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0" spans="2:18" x14ac:dyDescent="0.25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</row>
    <row r="181" spans="2:18" x14ac:dyDescent="0.25"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2" spans="2:18" x14ac:dyDescent="0.25"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</row>
    <row r="183" spans="2:18" x14ac:dyDescent="0.25"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</row>
    <row r="184" spans="2:18" x14ac:dyDescent="0.25"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</row>
    <row r="185" spans="2:18" x14ac:dyDescent="0.25"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  <row r="186" spans="2:18" x14ac:dyDescent="0.25"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</row>
    <row r="187" spans="2:18" x14ac:dyDescent="0.25"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</row>
    <row r="188" spans="2:18" x14ac:dyDescent="0.25"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</row>
    <row r="189" spans="2:18" x14ac:dyDescent="0.25"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</row>
    <row r="190" spans="2:18" x14ac:dyDescent="0.25"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</row>
    <row r="191" spans="2:18" x14ac:dyDescent="0.25"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</row>
    <row r="192" spans="2:18" x14ac:dyDescent="0.25"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</row>
    <row r="193" spans="2:18" x14ac:dyDescent="0.25"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</row>
    <row r="194" spans="2:18" x14ac:dyDescent="0.25"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</row>
    <row r="195" spans="2:18" x14ac:dyDescent="0.25"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</row>
    <row r="196" spans="2:18" x14ac:dyDescent="0.25"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</row>
    <row r="197" spans="2:18" x14ac:dyDescent="0.25"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</row>
    <row r="198" spans="2:18" x14ac:dyDescent="0.25"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</row>
    <row r="199" spans="2:18" x14ac:dyDescent="0.25"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</row>
    <row r="200" spans="2:18" x14ac:dyDescent="0.25"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</row>
    <row r="201" spans="2:18" x14ac:dyDescent="0.25"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</row>
    <row r="202" spans="2:18" x14ac:dyDescent="0.25"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</row>
    <row r="203" spans="2:18" x14ac:dyDescent="0.25"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</row>
    <row r="204" spans="2:18" x14ac:dyDescent="0.25"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</row>
    <row r="205" spans="2:18" x14ac:dyDescent="0.25"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</row>
    <row r="206" spans="2:18" x14ac:dyDescent="0.25"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</row>
    <row r="207" spans="2:18" x14ac:dyDescent="0.25"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</row>
    <row r="208" spans="2:18" x14ac:dyDescent="0.25"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</row>
    <row r="209" spans="2:18" x14ac:dyDescent="0.25"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</row>
    <row r="210" spans="2:18" x14ac:dyDescent="0.25"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</row>
    <row r="211" spans="2:18" x14ac:dyDescent="0.25"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</row>
    <row r="212" spans="2:18" x14ac:dyDescent="0.25"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</row>
    <row r="213" spans="2:18" x14ac:dyDescent="0.25"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</row>
    <row r="214" spans="2:18" x14ac:dyDescent="0.25"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</row>
    <row r="215" spans="2:18" x14ac:dyDescent="0.25"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</row>
    <row r="216" spans="2:18" x14ac:dyDescent="0.25"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</row>
    <row r="217" spans="2:18" x14ac:dyDescent="0.25"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</row>
    <row r="218" spans="2:18" x14ac:dyDescent="0.25"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</row>
    <row r="219" spans="2:18" x14ac:dyDescent="0.25"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</row>
    <row r="220" spans="2:18" x14ac:dyDescent="0.25"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</row>
    <row r="221" spans="2:18" x14ac:dyDescent="0.25"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</row>
    <row r="222" spans="2:18" x14ac:dyDescent="0.25"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</row>
    <row r="223" spans="2:18" x14ac:dyDescent="0.25"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</row>
    <row r="224" spans="2:18" x14ac:dyDescent="0.25"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</row>
    <row r="225" spans="2:18" x14ac:dyDescent="0.25"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</row>
    <row r="226" spans="2:18" x14ac:dyDescent="0.25"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</row>
    <row r="227" spans="2:18" x14ac:dyDescent="0.25"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</row>
    <row r="228" spans="2:18" x14ac:dyDescent="0.25"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</row>
    <row r="229" spans="2:18" x14ac:dyDescent="0.25"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</row>
    <row r="230" spans="2:18" x14ac:dyDescent="0.25"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</row>
    <row r="231" spans="2:18" x14ac:dyDescent="0.25"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</row>
    <row r="232" spans="2:18" x14ac:dyDescent="0.25"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</row>
    <row r="233" spans="2:18" x14ac:dyDescent="0.25"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</row>
    <row r="234" spans="2:18" x14ac:dyDescent="0.25"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</row>
    <row r="235" spans="2:18" x14ac:dyDescent="0.25"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</row>
    <row r="236" spans="2:18" x14ac:dyDescent="0.25"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</row>
    <row r="237" spans="2:18" x14ac:dyDescent="0.25"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</row>
    <row r="238" spans="2:18" x14ac:dyDescent="0.25"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</row>
    <row r="239" spans="2:18" x14ac:dyDescent="0.25"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</row>
    <row r="240" spans="2:18" x14ac:dyDescent="0.25"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</row>
    <row r="241" spans="2:18" x14ac:dyDescent="0.25"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</row>
    <row r="242" spans="2:18" x14ac:dyDescent="0.25"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</row>
    <row r="243" spans="2:18" x14ac:dyDescent="0.25"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</row>
    <row r="244" spans="2:18" x14ac:dyDescent="0.25"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</row>
    <row r="245" spans="2:18" x14ac:dyDescent="0.25"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</row>
    <row r="246" spans="2:18" x14ac:dyDescent="0.25"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</row>
    <row r="247" spans="2:18" x14ac:dyDescent="0.25"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</row>
    <row r="248" spans="2:18" x14ac:dyDescent="0.25"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</row>
    <row r="249" spans="2:18" x14ac:dyDescent="0.25"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</row>
    <row r="250" spans="2:18" x14ac:dyDescent="0.25"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</row>
    <row r="251" spans="2:18" x14ac:dyDescent="0.25"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</row>
    <row r="252" spans="2:18" x14ac:dyDescent="0.25"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</row>
    <row r="253" spans="2:18" x14ac:dyDescent="0.25"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</row>
    <row r="254" spans="2:18" x14ac:dyDescent="0.25"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</row>
    <row r="255" spans="2:18" x14ac:dyDescent="0.25"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</row>
    <row r="256" spans="2:18" x14ac:dyDescent="0.25"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</row>
    <row r="257" spans="2:18" x14ac:dyDescent="0.25"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</row>
    <row r="258" spans="2:18" x14ac:dyDescent="0.25"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</row>
    <row r="259" spans="2:18" x14ac:dyDescent="0.25"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</row>
    <row r="260" spans="2:18" x14ac:dyDescent="0.25"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</row>
    <row r="261" spans="2:18" x14ac:dyDescent="0.25"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</row>
    <row r="262" spans="2:18" x14ac:dyDescent="0.25"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</row>
    <row r="263" spans="2:18" x14ac:dyDescent="0.25"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</row>
  </sheetData>
  <pageMargins left="0.7" right="0.7" top="0.75" bottom="0.75" header="0.3" footer="0.3"/>
  <pageSetup paperSize="9" scale="50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H38" sqref="H38"/>
    </sheetView>
  </sheetViews>
  <sheetFormatPr baseColWidth="10" defaultRowHeight="15" x14ac:dyDescent="0.25"/>
  <cols>
    <col min="1" max="1" width="76.42578125" bestFit="1" customWidth="1"/>
    <col min="2" max="6" width="13.7109375" bestFit="1" customWidth="1"/>
    <col min="7" max="7" width="3" bestFit="1" customWidth="1"/>
  </cols>
  <sheetData>
    <row r="1" spans="1:6" s="231" customFormat="1" x14ac:dyDescent="0.25">
      <c r="B1" s="231" t="s">
        <v>424</v>
      </c>
      <c r="C1" s="231" t="s">
        <v>423</v>
      </c>
      <c r="D1" s="231" t="s">
        <v>422</v>
      </c>
      <c r="E1" s="231" t="s">
        <v>421</v>
      </c>
      <c r="F1" s="231" t="s">
        <v>420</v>
      </c>
    </row>
    <row r="2" spans="1:6" s="231" customFormat="1" x14ac:dyDescent="0.25"/>
    <row r="3" spans="1:6" s="231" customFormat="1" x14ac:dyDescent="0.25">
      <c r="A3" s="231" t="s">
        <v>11</v>
      </c>
    </row>
    <row r="4" spans="1:6" x14ac:dyDescent="0.25">
      <c r="A4" t="s">
        <v>419</v>
      </c>
      <c r="B4" s="34">
        <v>173993</v>
      </c>
      <c r="C4" s="34">
        <v>177540</v>
      </c>
      <c r="D4" s="34">
        <v>177370</v>
      </c>
      <c r="E4" s="34">
        <v>176715</v>
      </c>
      <c r="F4" s="34">
        <v>176135</v>
      </c>
    </row>
    <row r="5" spans="1:6" x14ac:dyDescent="0.25">
      <c r="A5" t="s">
        <v>418</v>
      </c>
      <c r="B5" s="34">
        <v>408271</v>
      </c>
      <c r="C5" s="34">
        <v>421017</v>
      </c>
      <c r="D5" s="34">
        <v>435058</v>
      </c>
      <c r="E5" s="34">
        <v>455695</v>
      </c>
      <c r="F5" s="34">
        <v>470730</v>
      </c>
    </row>
    <row r="6" spans="1:6" x14ac:dyDescent="0.25">
      <c r="A6" t="s">
        <v>417</v>
      </c>
      <c r="B6" s="34">
        <v>312068</v>
      </c>
      <c r="C6" s="34">
        <v>299582</v>
      </c>
      <c r="D6" s="34">
        <v>295682</v>
      </c>
      <c r="E6" s="34">
        <v>295682</v>
      </c>
      <c r="F6" s="34">
        <v>295682</v>
      </c>
    </row>
    <row r="7" spans="1:6" x14ac:dyDescent="0.25">
      <c r="A7" t="s">
        <v>9</v>
      </c>
      <c r="B7" s="34">
        <v>1535634</v>
      </c>
      <c r="C7" s="34">
        <v>1672000</v>
      </c>
      <c r="D7" s="34">
        <v>1657000</v>
      </c>
      <c r="E7" s="34">
        <v>1652000</v>
      </c>
      <c r="F7" s="34">
        <v>1655000</v>
      </c>
    </row>
    <row r="8" spans="1:6" x14ac:dyDescent="0.25">
      <c r="A8" t="s">
        <v>416</v>
      </c>
      <c r="B8" s="34">
        <v>120270</v>
      </c>
      <c r="C8" s="34">
        <v>134666</v>
      </c>
      <c r="D8" s="34">
        <v>128011</v>
      </c>
      <c r="E8" s="34">
        <v>121024</v>
      </c>
      <c r="F8" s="34">
        <v>118044</v>
      </c>
    </row>
    <row r="9" spans="1:6" x14ac:dyDescent="0.25">
      <c r="A9" t="s">
        <v>415</v>
      </c>
      <c r="B9" s="34">
        <v>5554</v>
      </c>
      <c r="C9" s="34">
        <v>20586</v>
      </c>
      <c r="D9" s="34">
        <v>48286</v>
      </c>
      <c r="E9" s="34">
        <v>12886</v>
      </c>
      <c r="F9" s="34">
        <v>5586</v>
      </c>
    </row>
    <row r="10" spans="1:6" x14ac:dyDescent="0.25">
      <c r="A10" t="s">
        <v>414</v>
      </c>
      <c r="B10" s="34">
        <v>2319000</v>
      </c>
      <c r="C10" s="34">
        <v>2335000</v>
      </c>
      <c r="D10" s="34">
        <v>2390000</v>
      </c>
      <c r="E10" s="34">
        <v>2447000</v>
      </c>
      <c r="F10" s="34">
        <v>2508000</v>
      </c>
    </row>
    <row r="11" spans="1:6" x14ac:dyDescent="0.25">
      <c r="A11" t="s">
        <v>10</v>
      </c>
      <c r="B11" s="34">
        <v>0</v>
      </c>
      <c r="C11" s="34">
        <v>0</v>
      </c>
      <c r="D11" s="34">
        <v>0</v>
      </c>
      <c r="E11" s="34">
        <v>105000</v>
      </c>
      <c r="F11" s="34">
        <v>105000</v>
      </c>
    </row>
    <row r="12" spans="1:6" x14ac:dyDescent="0.25">
      <c r="A12" t="s">
        <v>413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</row>
    <row r="13" spans="1:6" s="231" customFormat="1" x14ac:dyDescent="0.25">
      <c r="A13" s="231" t="s">
        <v>412</v>
      </c>
      <c r="B13" s="232">
        <v>4874790</v>
      </c>
      <c r="C13" s="232">
        <v>5060391</v>
      </c>
      <c r="D13" s="232">
        <v>5131407</v>
      </c>
      <c r="E13" s="232">
        <v>5266002</v>
      </c>
      <c r="F13" s="232">
        <v>5334177</v>
      </c>
    </row>
    <row r="14" spans="1:6" x14ac:dyDescent="0.25">
      <c r="B14" s="34"/>
      <c r="C14" s="34"/>
      <c r="D14" s="34"/>
      <c r="E14" s="34"/>
      <c r="F14" s="34"/>
    </row>
    <row r="15" spans="1:6" s="231" customFormat="1" x14ac:dyDescent="0.25">
      <c r="A15" s="231" t="s">
        <v>12</v>
      </c>
      <c r="B15" s="232"/>
      <c r="C15" s="232"/>
      <c r="D15" s="232"/>
      <c r="E15" s="232"/>
      <c r="F15" s="232"/>
    </row>
    <row r="16" spans="1:6" x14ac:dyDescent="0.25">
      <c r="A16" t="s">
        <v>411</v>
      </c>
      <c r="B16" s="34">
        <v>2562146</v>
      </c>
      <c r="C16" s="34">
        <v>2612214</v>
      </c>
      <c r="D16" s="34">
        <v>2629616</v>
      </c>
      <c r="E16" s="34">
        <v>2645885</v>
      </c>
      <c r="F16" s="34">
        <v>2654716</v>
      </c>
    </row>
    <row r="17" spans="1:6" x14ac:dyDescent="0.25">
      <c r="A17" t="s">
        <v>410</v>
      </c>
      <c r="B17" s="34">
        <v>667180</v>
      </c>
      <c r="C17" s="34">
        <v>720158</v>
      </c>
      <c r="D17" s="34">
        <v>720158</v>
      </c>
      <c r="E17" s="34">
        <v>720158</v>
      </c>
      <c r="F17" s="34">
        <v>720158</v>
      </c>
    </row>
    <row r="18" spans="1:6" x14ac:dyDescent="0.25">
      <c r="A18" t="s">
        <v>409</v>
      </c>
      <c r="B18" s="34">
        <v>423179</v>
      </c>
      <c r="C18" s="34">
        <v>429792</v>
      </c>
      <c r="D18" s="34">
        <v>443686</v>
      </c>
      <c r="E18" s="34">
        <v>430107</v>
      </c>
      <c r="F18" s="34">
        <v>432111</v>
      </c>
    </row>
    <row r="19" spans="1:6" x14ac:dyDescent="0.25">
      <c r="A19" t="s">
        <v>408</v>
      </c>
      <c r="B19" s="34">
        <v>1301632</v>
      </c>
      <c r="C19" s="34">
        <v>1216743</v>
      </c>
      <c r="D19" s="34">
        <v>1273263</v>
      </c>
      <c r="E19" s="34">
        <v>1323398</v>
      </c>
      <c r="F19" s="34">
        <v>1366541</v>
      </c>
    </row>
    <row r="20" spans="1:6" x14ac:dyDescent="0.25">
      <c r="A20" t="s">
        <v>407</v>
      </c>
      <c r="B20" s="34">
        <v>208359</v>
      </c>
      <c r="C20" s="34">
        <v>229998</v>
      </c>
      <c r="D20" s="34">
        <v>228677</v>
      </c>
      <c r="E20" s="34">
        <v>228622</v>
      </c>
      <c r="F20" s="34">
        <v>228108</v>
      </c>
    </row>
    <row r="21" spans="1:6" x14ac:dyDescent="0.25">
      <c r="A21" t="s">
        <v>406</v>
      </c>
      <c r="B21" s="34">
        <v>76231</v>
      </c>
      <c r="C21" s="34">
        <v>69000</v>
      </c>
      <c r="D21" s="34">
        <v>71000</v>
      </c>
      <c r="E21" s="34">
        <v>74000</v>
      </c>
      <c r="F21" s="34">
        <v>77000</v>
      </c>
    </row>
    <row r="22" spans="1:6" x14ac:dyDescent="0.25">
      <c r="A22" t="s">
        <v>405</v>
      </c>
      <c r="B22" s="34">
        <v>-245099</v>
      </c>
      <c r="C22" s="34">
        <v>-99831</v>
      </c>
      <c r="D22" s="34">
        <v>-100219</v>
      </c>
      <c r="E22" s="34">
        <v>-100618</v>
      </c>
      <c r="F22" s="34">
        <v>-100618</v>
      </c>
    </row>
    <row r="23" spans="1:6" s="231" customFormat="1" x14ac:dyDescent="0.25">
      <c r="A23" s="231" t="s">
        <v>404</v>
      </c>
      <c r="B23" s="232">
        <v>4993628</v>
      </c>
      <c r="C23" s="232">
        <v>5178074</v>
      </c>
      <c r="D23" s="232">
        <v>5266181</v>
      </c>
      <c r="E23" s="232">
        <v>5321552</v>
      </c>
      <c r="F23" s="232">
        <v>5378016</v>
      </c>
    </row>
    <row r="24" spans="1:6" x14ac:dyDescent="0.25">
      <c r="B24" s="34"/>
      <c r="C24" s="34"/>
      <c r="D24" s="34"/>
      <c r="E24" s="34"/>
      <c r="F24" s="34"/>
    </row>
    <row r="25" spans="1:6" s="231" customFormat="1" x14ac:dyDescent="0.25">
      <c r="A25" s="231" t="s">
        <v>403</v>
      </c>
      <c r="B25" s="232">
        <v>-118838</v>
      </c>
      <c r="C25" s="232">
        <v>-117683</v>
      </c>
      <c r="D25" s="232">
        <v>-134774</v>
      </c>
      <c r="E25" s="232">
        <v>-55550</v>
      </c>
      <c r="F25" s="232">
        <v>-43839</v>
      </c>
    </row>
    <row r="26" spans="1:6" x14ac:dyDescent="0.25">
      <c r="B26" s="34"/>
      <c r="C26" s="34"/>
      <c r="D26" s="34"/>
      <c r="E26" s="34"/>
      <c r="F26" s="34"/>
    </row>
    <row r="27" spans="1:6" x14ac:dyDescent="0.25">
      <c r="B27" s="34"/>
      <c r="C27" s="34"/>
      <c r="D27" s="34"/>
      <c r="E27" s="34"/>
      <c r="F27" s="34"/>
    </row>
    <row r="28" spans="1:6" s="231" customFormat="1" x14ac:dyDescent="0.25">
      <c r="A28" s="231" t="s">
        <v>402</v>
      </c>
      <c r="B28" s="232"/>
      <c r="C28" s="232"/>
      <c r="D28" s="232"/>
      <c r="E28" s="232"/>
      <c r="F28" s="232"/>
    </row>
    <row r="29" spans="1:6" x14ac:dyDescent="0.25">
      <c r="A29" t="s">
        <v>401</v>
      </c>
      <c r="B29" s="34">
        <v>273774</v>
      </c>
      <c r="C29" s="34">
        <v>273331</v>
      </c>
      <c r="D29" s="34">
        <v>314315</v>
      </c>
      <c r="E29" s="34">
        <v>340085</v>
      </c>
      <c r="F29" s="34">
        <v>362403</v>
      </c>
    </row>
    <row r="30" spans="1:6" x14ac:dyDescent="0.25">
      <c r="A30" t="s">
        <v>400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</row>
    <row r="31" spans="1:6" x14ac:dyDescent="0.25">
      <c r="A31" t="s">
        <v>399</v>
      </c>
      <c r="B31" s="34">
        <v>121909</v>
      </c>
      <c r="C31" s="34">
        <v>135328</v>
      </c>
      <c r="D31" s="34">
        <v>159822</v>
      </c>
      <c r="E31" s="34">
        <v>172275</v>
      </c>
      <c r="F31" s="34">
        <v>181195</v>
      </c>
    </row>
    <row r="32" spans="1:6" s="231" customFormat="1" x14ac:dyDescent="0.25">
      <c r="A32" s="231" t="s">
        <v>398</v>
      </c>
      <c r="B32" s="232">
        <v>395683</v>
      </c>
      <c r="C32" s="232">
        <v>408659</v>
      </c>
      <c r="D32" s="232">
        <v>474137</v>
      </c>
      <c r="E32" s="232">
        <v>512360</v>
      </c>
      <c r="F32" s="232">
        <v>543598</v>
      </c>
    </row>
    <row r="33" spans="1:6" x14ac:dyDescent="0.25">
      <c r="B33" s="34"/>
      <c r="C33" s="34"/>
      <c r="D33" s="34"/>
      <c r="E33" s="34"/>
      <c r="F33" s="34"/>
    </row>
    <row r="34" spans="1:6" s="231" customFormat="1" x14ac:dyDescent="0.25">
      <c r="A34" s="231" t="s">
        <v>397</v>
      </c>
      <c r="B34" s="232"/>
      <c r="C34" s="232"/>
      <c r="D34" s="232"/>
      <c r="E34" s="232"/>
      <c r="F34" s="232"/>
    </row>
    <row r="35" spans="1:6" x14ac:dyDescent="0.25">
      <c r="A35" t="s">
        <v>102</v>
      </c>
      <c r="B35" s="34">
        <v>109754</v>
      </c>
      <c r="C35" s="34">
        <v>99445</v>
      </c>
      <c r="D35" s="34">
        <v>116061</v>
      </c>
      <c r="E35" s="34">
        <v>137722</v>
      </c>
      <c r="F35" s="34">
        <v>152941</v>
      </c>
    </row>
    <row r="36" spans="1:6" x14ac:dyDescent="0.25">
      <c r="A36" t="s">
        <v>396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</row>
    <row r="37" spans="1:6" x14ac:dyDescent="0.25">
      <c r="A37" t="s">
        <v>104</v>
      </c>
      <c r="B37" s="34">
        <v>209953</v>
      </c>
      <c r="C37" s="34">
        <v>225266</v>
      </c>
      <c r="D37" s="34">
        <v>251805</v>
      </c>
      <c r="E37" s="34">
        <v>266839</v>
      </c>
      <c r="F37" s="34">
        <v>273769</v>
      </c>
    </row>
    <row r="38" spans="1:6" x14ac:dyDescent="0.25">
      <c r="A38" t="s">
        <v>395</v>
      </c>
      <c r="B38" s="34">
        <v>500</v>
      </c>
      <c r="C38" s="34">
        <v>500</v>
      </c>
      <c r="D38" s="34">
        <v>500</v>
      </c>
      <c r="E38" s="34">
        <v>500</v>
      </c>
      <c r="F38" s="34">
        <v>500</v>
      </c>
    </row>
    <row r="39" spans="1:6" s="231" customFormat="1" x14ac:dyDescent="0.25">
      <c r="A39" s="231" t="s">
        <v>394</v>
      </c>
      <c r="B39" s="232">
        <v>320207</v>
      </c>
      <c r="C39" s="232">
        <v>325211</v>
      </c>
      <c r="D39" s="232">
        <v>368366</v>
      </c>
      <c r="E39" s="232">
        <v>405061</v>
      </c>
      <c r="F39" s="232">
        <v>427210</v>
      </c>
    </row>
    <row r="40" spans="1:6" x14ac:dyDescent="0.25">
      <c r="B40" s="34"/>
      <c r="C40" s="34"/>
      <c r="D40" s="34"/>
      <c r="E40" s="34"/>
      <c r="F40" s="34"/>
    </row>
    <row r="41" spans="1:6" x14ac:dyDescent="0.25">
      <c r="A41" t="s">
        <v>393</v>
      </c>
      <c r="B41" s="34">
        <v>75476</v>
      </c>
      <c r="C41" s="34">
        <v>83448</v>
      </c>
      <c r="D41" s="34">
        <v>105771</v>
      </c>
      <c r="E41" s="34">
        <v>107299</v>
      </c>
      <c r="F41" s="34">
        <v>116388</v>
      </c>
    </row>
    <row r="42" spans="1:6" x14ac:dyDescent="0.25">
      <c r="B42" s="34"/>
      <c r="C42" s="34"/>
      <c r="D42" s="34"/>
      <c r="E42" s="34"/>
      <c r="F42" s="34"/>
    </row>
    <row r="43" spans="1:6" x14ac:dyDescent="0.25">
      <c r="A43" t="s">
        <v>392</v>
      </c>
      <c r="B43" s="34">
        <v>67000</v>
      </c>
      <c r="C43" s="34">
        <v>69000</v>
      </c>
      <c r="D43" s="34">
        <v>71000</v>
      </c>
      <c r="E43" s="34">
        <v>74000</v>
      </c>
      <c r="F43" s="34">
        <v>77000</v>
      </c>
    </row>
    <row r="44" spans="1:6" s="231" customFormat="1" x14ac:dyDescent="0.25">
      <c r="A44" s="231" t="s">
        <v>71</v>
      </c>
      <c r="B44" s="232">
        <v>23638</v>
      </c>
      <c r="C44" s="232">
        <v>34765</v>
      </c>
      <c r="D44" s="232">
        <v>41997</v>
      </c>
      <c r="E44" s="232">
        <v>125749</v>
      </c>
      <c r="F44" s="232">
        <v>149549</v>
      </c>
    </row>
    <row r="45" spans="1:6" x14ac:dyDescent="0.25">
      <c r="B45" s="34"/>
      <c r="C45" s="34"/>
      <c r="D45" s="34"/>
      <c r="E45" s="34"/>
      <c r="F45" s="34"/>
    </row>
    <row r="46" spans="1:6" x14ac:dyDescent="0.25">
      <c r="B46" s="34"/>
      <c r="C46" s="34"/>
      <c r="D46" s="34"/>
      <c r="E46" s="34"/>
      <c r="F46" s="34"/>
    </row>
    <row r="47" spans="1:6" s="231" customFormat="1" x14ac:dyDescent="0.25">
      <c r="A47" s="231" t="s">
        <v>391</v>
      </c>
      <c r="B47" s="232"/>
      <c r="C47" s="232"/>
      <c r="D47" s="232"/>
      <c r="E47" s="232"/>
      <c r="F47" s="232"/>
    </row>
    <row r="48" spans="1:6" x14ac:dyDescent="0.25">
      <c r="A48" t="s">
        <v>390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</row>
    <row r="49" spans="1:6" x14ac:dyDescent="0.25">
      <c r="A49" t="s">
        <v>389</v>
      </c>
      <c r="B49" s="34">
        <v>32000</v>
      </c>
      <c r="C49" s="34">
        <v>53250</v>
      </c>
      <c r="D49" s="34">
        <v>6050</v>
      </c>
      <c r="E49" s="34">
        <v>0</v>
      </c>
      <c r="F49" s="34">
        <v>0</v>
      </c>
    </row>
    <row r="50" spans="1:6" x14ac:dyDescent="0.25">
      <c r="A50" t="s">
        <v>388</v>
      </c>
      <c r="B50" s="34">
        <v>23377</v>
      </c>
      <c r="C50" s="34">
        <v>5429</v>
      </c>
      <c r="D50" s="34">
        <v>4278</v>
      </c>
      <c r="E50" s="34">
        <v>61</v>
      </c>
      <c r="F50" s="34">
        <v>-1055</v>
      </c>
    </row>
    <row r="51" spans="1:6" x14ac:dyDescent="0.25">
      <c r="A51" t="s">
        <v>387</v>
      </c>
      <c r="B51" s="34">
        <v>55377</v>
      </c>
      <c r="C51" s="34">
        <v>58679</v>
      </c>
      <c r="D51" s="34">
        <v>10328</v>
      </c>
      <c r="E51" s="34">
        <v>61</v>
      </c>
      <c r="F51" s="34">
        <v>-1055</v>
      </c>
    </row>
    <row r="52" spans="1:6" x14ac:dyDescent="0.25">
      <c r="B52" s="34"/>
      <c r="C52" s="34"/>
      <c r="D52" s="34"/>
      <c r="E52" s="34"/>
      <c r="F52" s="34"/>
    </row>
    <row r="53" spans="1:6" x14ac:dyDescent="0.25">
      <c r="A53" t="s">
        <v>386</v>
      </c>
      <c r="B53" s="34">
        <v>70604</v>
      </c>
      <c r="C53" s="34">
        <v>91067</v>
      </c>
      <c r="D53" s="34">
        <v>51496</v>
      </c>
      <c r="E53" s="34">
        <v>125002</v>
      </c>
      <c r="F53" s="34">
        <v>147678</v>
      </c>
    </row>
    <row r="54" spans="1:6" x14ac:dyDescent="0.25">
      <c r="A54" t="s">
        <v>385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</row>
    <row r="55" spans="1:6" x14ac:dyDescent="0.25">
      <c r="A55" t="s">
        <v>384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</row>
    <row r="56" spans="1:6" x14ac:dyDescent="0.25">
      <c r="A56" t="s">
        <v>383</v>
      </c>
      <c r="B56" s="34">
        <v>8411</v>
      </c>
      <c r="C56" s="34">
        <v>2377</v>
      </c>
      <c r="D56" s="34">
        <v>829</v>
      </c>
      <c r="E56" s="34">
        <v>808</v>
      </c>
      <c r="F56" s="34">
        <v>816</v>
      </c>
    </row>
    <row r="57" spans="1:6" x14ac:dyDescent="0.25">
      <c r="A57" t="s">
        <v>382</v>
      </c>
      <c r="B57" s="34">
        <v>7915</v>
      </c>
      <c r="C57" s="34">
        <v>93444</v>
      </c>
      <c r="D57" s="34">
        <v>52325</v>
      </c>
      <c r="E57" s="34">
        <v>125810</v>
      </c>
      <c r="F57" s="34">
        <v>148494</v>
      </c>
    </row>
    <row r="58" spans="1:6" x14ac:dyDescent="0.25">
      <c r="B58" s="34"/>
      <c r="C58" s="34"/>
      <c r="D58" s="34"/>
      <c r="E58" s="34"/>
      <c r="F58" s="34"/>
    </row>
    <row r="59" spans="1:6" x14ac:dyDescent="0.25">
      <c r="B59" s="34"/>
      <c r="C59" s="34"/>
      <c r="D59" s="34"/>
      <c r="E59" s="34"/>
      <c r="F59" s="34"/>
    </row>
    <row r="60" spans="1:6" s="231" customFormat="1" x14ac:dyDescent="0.25">
      <c r="A60" s="231" t="s">
        <v>381</v>
      </c>
      <c r="B60" s="232">
        <v>0</v>
      </c>
      <c r="C60" s="232">
        <v>0</v>
      </c>
      <c r="D60" s="232">
        <v>0</v>
      </c>
      <c r="E60" s="232">
        <v>0</v>
      </c>
      <c r="F60" s="232">
        <v>0</v>
      </c>
    </row>
    <row r="61" spans="1:6" x14ac:dyDescent="0.25">
      <c r="B61" s="34"/>
      <c r="C61" s="34"/>
      <c r="D61" s="34"/>
      <c r="E61" s="34"/>
      <c r="F61" s="34"/>
    </row>
    <row r="62" spans="1:6" x14ac:dyDescent="0.25">
      <c r="B62" s="34"/>
      <c r="C62" s="34"/>
      <c r="D62" s="34"/>
      <c r="E62" s="34"/>
      <c r="F62" s="34"/>
    </row>
    <row r="63" spans="1:6" x14ac:dyDescent="0.25">
      <c r="B63" s="34"/>
      <c r="C63" s="34"/>
      <c r="D63" s="34"/>
      <c r="E63" s="34"/>
      <c r="F63" s="34"/>
    </row>
    <row r="64" spans="1:6" x14ac:dyDescent="0.25">
      <c r="B64" s="34"/>
      <c r="C64" s="34"/>
      <c r="D64" s="34"/>
      <c r="E64" s="34"/>
      <c r="F64" s="34"/>
    </row>
    <row r="65" spans="2:6" x14ac:dyDescent="0.25">
      <c r="B65" s="34"/>
      <c r="C65" s="34"/>
      <c r="D65" s="34"/>
      <c r="E65" s="34"/>
      <c r="F65" s="34"/>
    </row>
    <row r="66" spans="2:6" x14ac:dyDescent="0.25">
      <c r="B66" s="34"/>
      <c r="C66" s="34"/>
      <c r="D66" s="34"/>
      <c r="E66" s="34"/>
      <c r="F66" s="34"/>
    </row>
    <row r="67" spans="2:6" x14ac:dyDescent="0.25">
      <c r="B67" s="34"/>
      <c r="C67" s="34"/>
      <c r="D67" s="34"/>
      <c r="E67" s="34"/>
      <c r="F67" s="34"/>
    </row>
    <row r="68" spans="2:6" x14ac:dyDescent="0.25">
      <c r="B68" s="34"/>
      <c r="C68" s="34"/>
      <c r="D68" s="34"/>
      <c r="E68" s="34"/>
      <c r="F68" s="3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317"/>
  <sheetViews>
    <sheetView showGridLines="0" topLeftCell="A25" zoomScale="90" zoomScaleNormal="90" workbookViewId="0">
      <pane xSplit="3" topLeftCell="D1" activePane="topRight" state="frozen"/>
      <selection activeCell="A31" sqref="A31"/>
      <selection pane="topRight" activeCell="D57" sqref="D57"/>
    </sheetView>
  </sheetViews>
  <sheetFormatPr baseColWidth="10" defaultColWidth="11.42578125" defaultRowHeight="15" x14ac:dyDescent="0.25"/>
  <cols>
    <col min="1" max="1" width="10.42578125" style="204" customWidth="1"/>
    <col min="2" max="2" width="6.140625" style="204" customWidth="1"/>
    <col min="3" max="3" width="55.5703125" style="204" customWidth="1"/>
    <col min="4" max="5" width="14.42578125" style="204" bestFit="1" customWidth="1"/>
    <col min="6" max="6" width="8.5703125" style="204" customWidth="1"/>
    <col min="7" max="10" width="15.28515625" style="204" hidden="1" customWidth="1"/>
    <col min="11" max="23" width="15.28515625" style="204" customWidth="1"/>
    <col min="24" max="27" width="5.42578125" style="218" customWidth="1"/>
    <col min="28" max="28" width="32.7109375" style="218" bestFit="1" customWidth="1"/>
    <col min="29" max="41" width="9.28515625" style="218" customWidth="1"/>
    <col min="42" max="45" width="5.42578125" style="218" customWidth="1"/>
    <col min="46" max="46" width="4.85546875" style="218" customWidth="1"/>
    <col min="47" max="47" width="7.140625" style="136" customWidth="1"/>
    <col min="48" max="48" width="3.28515625" style="136" customWidth="1"/>
    <col min="49" max="49" width="8.85546875" style="208" customWidth="1"/>
    <col min="50" max="50" width="9.5703125" style="208" customWidth="1"/>
    <col min="51" max="51" width="13.42578125" style="208" customWidth="1"/>
    <col min="52" max="52" width="13.85546875" style="204" bestFit="1" customWidth="1"/>
    <col min="53" max="57" width="14.28515625" style="204" customWidth="1"/>
    <col min="58" max="84" width="11.42578125" style="204" customWidth="1"/>
    <col min="85" max="85" width="20.140625" style="204" hidden="1" customWidth="1"/>
    <col min="86" max="89" width="0" style="204" hidden="1" customWidth="1"/>
    <col min="90" max="16384" width="11.42578125" style="204"/>
  </cols>
  <sheetData>
    <row r="1" spans="1:84" s="136" customFormat="1" ht="23.25" x14ac:dyDescent="0.25">
      <c r="A1" s="35" t="s">
        <v>59</v>
      </c>
      <c r="B1" s="135"/>
      <c r="C1" s="36"/>
      <c r="D1" s="37"/>
      <c r="E1" s="37"/>
      <c r="F1" s="37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W1" s="37"/>
      <c r="AX1" s="37"/>
      <c r="AY1" s="37"/>
      <c r="BA1" s="314" t="s">
        <v>307</v>
      </c>
      <c r="BB1" s="314"/>
      <c r="BC1" s="314"/>
      <c r="BD1" s="314"/>
      <c r="BE1" s="314" t="s">
        <v>145</v>
      </c>
      <c r="BF1" s="314"/>
      <c r="BG1" s="314"/>
      <c r="BH1" s="314"/>
      <c r="BI1" s="314" t="s">
        <v>162</v>
      </c>
      <c r="BJ1" s="314"/>
      <c r="BK1" s="314"/>
      <c r="BL1" s="314"/>
      <c r="BM1" s="314" t="s">
        <v>195</v>
      </c>
      <c r="BN1" s="314"/>
      <c r="BO1" s="314"/>
      <c r="BP1" s="314"/>
      <c r="BQ1" s="314" t="s">
        <v>228</v>
      </c>
      <c r="BR1" s="314"/>
      <c r="BS1" s="314"/>
      <c r="BT1" s="314"/>
      <c r="BU1" s="314" t="s">
        <v>247</v>
      </c>
      <c r="BV1" s="314"/>
      <c r="BW1" s="314"/>
      <c r="BX1" s="314"/>
      <c r="BY1" s="314" t="s">
        <v>264</v>
      </c>
      <c r="BZ1" s="314"/>
      <c r="CA1" s="314"/>
      <c r="CB1" s="314"/>
      <c r="CC1" s="314" t="s">
        <v>270</v>
      </c>
      <c r="CD1" s="314"/>
      <c r="CE1" s="314"/>
      <c r="CF1" s="314"/>
    </row>
    <row r="2" spans="1:84" s="136" customFormat="1" x14ac:dyDescent="0.25">
      <c r="B2" s="135"/>
      <c r="C2" s="135"/>
      <c r="D2" s="37"/>
      <c r="E2" s="37"/>
      <c r="F2" s="37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W2" s="37"/>
      <c r="AX2" s="37"/>
      <c r="AY2" s="37"/>
      <c r="BA2" s="315" t="s">
        <v>307</v>
      </c>
      <c r="BB2" s="315"/>
      <c r="BC2" s="315"/>
      <c r="BD2" s="315"/>
      <c r="BE2" s="315" t="s">
        <v>308</v>
      </c>
      <c r="BF2" s="315"/>
      <c r="BG2" s="315"/>
      <c r="BH2" s="315"/>
      <c r="BI2" s="315" t="s">
        <v>162</v>
      </c>
      <c r="BJ2" s="315"/>
      <c r="BK2" s="315"/>
      <c r="BL2" s="315"/>
      <c r="BM2" s="315" t="s">
        <v>309</v>
      </c>
      <c r="BN2" s="315"/>
      <c r="BO2" s="315"/>
      <c r="BP2" s="315"/>
      <c r="BQ2" s="315" t="s">
        <v>227</v>
      </c>
      <c r="BR2" s="315"/>
      <c r="BS2" s="315"/>
      <c r="BT2" s="315"/>
      <c r="BU2" s="315" t="s">
        <v>246</v>
      </c>
      <c r="BV2" s="315"/>
      <c r="BW2" s="315"/>
      <c r="BX2" s="315"/>
      <c r="BY2" s="315" t="s">
        <v>263</v>
      </c>
      <c r="BZ2" s="315"/>
      <c r="CA2" s="315"/>
      <c r="CB2" s="315"/>
      <c r="CC2" s="315" t="s">
        <v>310</v>
      </c>
      <c r="CD2" s="315"/>
      <c r="CE2" s="315"/>
      <c r="CF2" s="315"/>
    </row>
    <row r="3" spans="1:84" s="137" customFormat="1" x14ac:dyDescent="0.25">
      <c r="A3" s="39"/>
      <c r="B3" s="39"/>
      <c r="C3" s="39"/>
      <c r="D3" s="39"/>
      <c r="E3" s="39"/>
      <c r="F3" s="39"/>
      <c r="G3" s="39"/>
      <c r="H3" s="39">
        <v>2015</v>
      </c>
      <c r="I3" s="39">
        <v>2016</v>
      </c>
      <c r="J3" s="39">
        <v>2017</v>
      </c>
      <c r="K3" s="39">
        <v>2018</v>
      </c>
      <c r="L3" s="39">
        <v>2019</v>
      </c>
      <c r="M3" s="39">
        <v>2020</v>
      </c>
      <c r="N3" s="39">
        <v>2021</v>
      </c>
      <c r="O3" s="39">
        <v>2022</v>
      </c>
      <c r="P3" s="39">
        <v>2023</v>
      </c>
      <c r="Q3" s="39">
        <v>2024</v>
      </c>
      <c r="R3" s="39">
        <v>2025</v>
      </c>
      <c r="S3" s="39">
        <v>2026</v>
      </c>
      <c r="T3" s="39">
        <v>2027</v>
      </c>
      <c r="U3" s="39">
        <v>2028</v>
      </c>
      <c r="V3" s="39">
        <v>2029</v>
      </c>
      <c r="W3" s="39">
        <v>2030</v>
      </c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W3" s="138"/>
      <c r="AX3" s="138"/>
      <c r="AY3" s="138"/>
      <c r="AZ3" s="136"/>
      <c r="BA3" s="139">
        <v>2018</v>
      </c>
      <c r="BB3" s="139">
        <v>2019</v>
      </c>
      <c r="BC3" s="139">
        <v>2020</v>
      </c>
      <c r="BD3" s="139">
        <v>2021</v>
      </c>
      <c r="BE3" s="139">
        <v>2018</v>
      </c>
      <c r="BF3" s="139">
        <v>2019</v>
      </c>
      <c r="BG3" s="139">
        <v>2020</v>
      </c>
      <c r="BH3" s="139">
        <v>2021</v>
      </c>
      <c r="BI3" s="139">
        <v>2018</v>
      </c>
      <c r="BJ3" s="139">
        <v>2019</v>
      </c>
      <c r="BK3" s="139">
        <v>2020</v>
      </c>
      <c r="BL3" s="139">
        <v>2021</v>
      </c>
      <c r="BM3" s="139">
        <v>2018</v>
      </c>
      <c r="BN3" s="139">
        <v>2019</v>
      </c>
      <c r="BO3" s="139">
        <v>2020</v>
      </c>
      <c r="BP3" s="139">
        <v>2021</v>
      </c>
      <c r="BQ3" s="139">
        <v>2018</v>
      </c>
      <c r="BR3" s="139">
        <v>2019</v>
      </c>
      <c r="BS3" s="139">
        <v>2020</v>
      </c>
      <c r="BT3" s="139">
        <v>2021</v>
      </c>
      <c r="BU3" s="139">
        <v>2018</v>
      </c>
      <c r="BV3" s="139">
        <v>2019</v>
      </c>
      <c r="BW3" s="139">
        <v>2020</v>
      </c>
      <c r="BX3" s="139">
        <v>2021</v>
      </c>
      <c r="BY3" s="139">
        <v>2018</v>
      </c>
      <c r="BZ3" s="139">
        <v>2019</v>
      </c>
      <c r="CA3" s="139">
        <v>2020</v>
      </c>
      <c r="CB3" s="139">
        <v>2021</v>
      </c>
      <c r="CC3" s="139">
        <v>2018</v>
      </c>
      <c r="CD3" s="139">
        <v>2019</v>
      </c>
      <c r="CE3" s="139">
        <v>2020</v>
      </c>
      <c r="CF3" s="139">
        <v>2021</v>
      </c>
    </row>
    <row r="4" spans="1:84" s="137" customFormat="1" x14ac:dyDescent="0.25">
      <c r="A4" s="246" t="s">
        <v>60</v>
      </c>
      <c r="B4" s="246"/>
      <c r="C4" s="246"/>
      <c r="D4" s="246"/>
      <c r="E4" s="246"/>
      <c r="F4" s="246"/>
      <c r="G4" s="246"/>
      <c r="H4" s="246">
        <v>3471036</v>
      </c>
      <c r="I4" s="246">
        <v>3552868</v>
      </c>
      <c r="J4" s="246">
        <v>3880044</v>
      </c>
      <c r="K4" s="246">
        <f>4077325-839</f>
        <v>4076486</v>
      </c>
      <c r="L4" s="246">
        <f>K4</f>
        <v>4076486</v>
      </c>
      <c r="M4" s="246">
        <f>L4</f>
        <v>4076486</v>
      </c>
      <c r="N4" s="246">
        <f>M4</f>
        <v>4076486</v>
      </c>
      <c r="O4" s="246">
        <f t="shared" ref="O4:V4" si="0">N4</f>
        <v>4076486</v>
      </c>
      <c r="P4" s="246">
        <f t="shared" si="0"/>
        <v>4076486</v>
      </c>
      <c r="Q4" s="246">
        <f t="shared" si="0"/>
        <v>4076486</v>
      </c>
      <c r="R4" s="246">
        <f t="shared" si="0"/>
        <v>4076486</v>
      </c>
      <c r="S4" s="246">
        <f t="shared" si="0"/>
        <v>4076486</v>
      </c>
      <c r="T4" s="246">
        <f t="shared" si="0"/>
        <v>4076486</v>
      </c>
      <c r="U4" s="246">
        <f t="shared" si="0"/>
        <v>4076486</v>
      </c>
      <c r="V4" s="246">
        <f t="shared" si="0"/>
        <v>4076486</v>
      </c>
      <c r="W4" s="246">
        <f>V4</f>
        <v>4076486</v>
      </c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W4" s="138"/>
      <c r="AX4" s="138"/>
      <c r="AY4" s="138"/>
      <c r="AZ4" s="139" t="s">
        <v>311</v>
      </c>
      <c r="BA4" s="142">
        <f>SUMIFS(K:K,$AY:$AY,$AZ$4,$A:$A,$BA$1)</f>
        <v>0</v>
      </c>
      <c r="BB4" s="142">
        <f>SUMIFS(L:L,$AY:$AY,$AZ$4,$A:$A,$BA$1)</f>
        <v>0</v>
      </c>
      <c r="BC4" s="142">
        <f>SUMIFS(M:M,$AY:$AY,$AZ$4,$A:$A,$BA$1)</f>
        <v>0</v>
      </c>
      <c r="BD4" s="142">
        <f>SUMIFS(N:N,$AY:$AY,$AZ$4,$A:$A,$BA$1)</f>
        <v>0</v>
      </c>
      <c r="BE4" s="142">
        <f>SUMIFS(K:K,$AY:$AY,$AZ$4,$A:$A,$BE$1)</f>
        <v>0</v>
      </c>
      <c r="BF4" s="142">
        <f>SUMIFS(L:L,$AY:$AY,$AZ$4,$A:$A,$BE$1)</f>
        <v>0</v>
      </c>
      <c r="BG4" s="142">
        <f>SUMIFS(M:M,$AY:$AY,$AZ$4,$A:$A,$BE$1)</f>
        <v>0</v>
      </c>
      <c r="BH4" s="142">
        <f>SUMIFS(N:N,$AY:$AY,$AZ$4,$A:$A,$BE$1)</f>
        <v>0</v>
      </c>
      <c r="BI4" s="142">
        <f>SUMIFS(K:K,$AY:$AY,$AZ$4,$A:$A,$BI$1)</f>
        <v>0</v>
      </c>
      <c r="BJ4" s="142">
        <f>SUMIFS(L:L,$AY:$AY,$AZ$4,$A:$A,$BI$1)</f>
        <v>0</v>
      </c>
      <c r="BK4" s="142">
        <f>SUMIFS(M:M,$AY:$AY,$AZ$4,$A:$A,$BI$1)</f>
        <v>0</v>
      </c>
      <c r="BL4" s="142">
        <f>SUMIFS(N:N,$AY:$AY,$AZ$4,$A:$A,$BI$1)</f>
        <v>0</v>
      </c>
      <c r="BM4" s="142">
        <f>SUMIFS(K:K,$AY:$AY,$AZ$4,$A:$A,$BM$1)</f>
        <v>0</v>
      </c>
      <c r="BN4" s="142">
        <f>SUMIFS(L:L,$AY:$AY,$AZ$4,$A:$A,$BM$1)</f>
        <v>0</v>
      </c>
      <c r="BO4" s="142">
        <f>SUMIFS(M:M,$AY:$AY,$AZ$4,$A:$A,$BM$1)</f>
        <v>0</v>
      </c>
      <c r="BP4" s="142">
        <f>SUMIFS(N:N,$AY:$AY,$AZ$4,$A:$A,$BM$1)</f>
        <v>0</v>
      </c>
      <c r="BQ4" s="142">
        <f>SUMIFS(K:K,$AY:$AY,$AZ$4,$A:$A,$BQ$1)</f>
        <v>0</v>
      </c>
      <c r="BR4" s="142">
        <f>SUMIFS(L:L,$AY:$AY,$AZ$4,$A:$A,$BQ$1)</f>
        <v>0</v>
      </c>
      <c r="BS4" s="142">
        <f>SUMIFS(M:M,$AY:$AY,$AZ$4,$A:$A,$BQ$1)</f>
        <v>0</v>
      </c>
      <c r="BT4" s="142">
        <f>SUMIFS(N:N,$AY:$AY,$AZ$4,$A:$A,$BQ$1)</f>
        <v>0</v>
      </c>
      <c r="BU4" s="142">
        <f>SUMIFS(K:K,$AY:$AY,$AZ$4,$A:$A,$BU$1)</f>
        <v>0</v>
      </c>
      <c r="BV4" s="142">
        <f>SUMIFS(L:L,$AY:$AY,$AZ$4,$A:$A,$BU$1)</f>
        <v>0</v>
      </c>
      <c r="BW4" s="142">
        <f>SUMIFS(M:M,$AY:$AY,$AZ$4,$A:$A,$BU$1)</f>
        <v>0</v>
      </c>
      <c r="BX4" s="142">
        <f>SUMIFS(N:N,$AY:$AY,$AZ$4,$A:$A,$BU$1)</f>
        <v>0</v>
      </c>
      <c r="BY4" s="142">
        <f>SUMIFS(K:K,$AY:$AY,$AZ$4,$A:$A,$BY$1)</f>
        <v>0</v>
      </c>
      <c r="BZ4" s="142">
        <f>SUMIFS(L:L,$AY:$AY,$AZ$4,$A:$A,$BY$1)</f>
        <v>0</v>
      </c>
      <c r="CA4" s="142">
        <f>SUMIFS(M:M,$AY:$AY,$AZ$4,$A:$A,$BY$1)</f>
        <v>0</v>
      </c>
      <c r="CB4" s="142">
        <f>SUMIFS(N:N,$AY:$AY,$AZ$4,$A:$A,$BY$1)</f>
        <v>0</v>
      </c>
      <c r="CC4" s="142">
        <f>SUMIFS(K:K,$AY:$AY,$AZ$4,$A:$A,$CC$1)</f>
        <v>0</v>
      </c>
      <c r="CD4" s="142">
        <f>SUMIFS(L:L,$AY:$AY,$AZ$4,$A:$A,$CC$1)</f>
        <v>0</v>
      </c>
      <c r="CE4" s="142">
        <f>SUMIFS(M:M,$AY:$AY,$AZ$4,$A:$A,$CC$1)</f>
        <v>0</v>
      </c>
      <c r="CF4" s="142">
        <f>SUMIFS(N:N,$AY:$AY,$AZ$4,$A:$A,$CC$1)</f>
        <v>0</v>
      </c>
    </row>
    <row r="5" spans="1:84" s="137" customFormat="1" x14ac:dyDescent="0.25">
      <c r="A5" s="143" t="str">
        <f>C61</f>
        <v>SUM SENTRALE INNTEKTER OG FINANSPOSTER</v>
      </c>
      <c r="B5" s="144"/>
      <c r="C5" s="42"/>
      <c r="D5" s="43"/>
      <c r="E5" s="43"/>
      <c r="F5" s="43"/>
      <c r="G5" s="143"/>
      <c r="H5" s="44">
        <f t="shared" ref="H5:M5" si="1">H61</f>
        <v>0</v>
      </c>
      <c r="I5" s="44">
        <f t="shared" si="1"/>
        <v>-3870858</v>
      </c>
      <c r="J5" s="44">
        <f t="shared" si="1"/>
        <v>-4023530</v>
      </c>
      <c r="K5" s="44">
        <f t="shared" si="1"/>
        <v>-4233253</v>
      </c>
      <c r="L5" s="44">
        <f t="shared" si="1"/>
        <v>-4320595</v>
      </c>
      <c r="M5" s="44">
        <f t="shared" si="1"/>
        <v>-4365793</v>
      </c>
      <c r="N5" s="44">
        <f>N61</f>
        <v>-4409181</v>
      </c>
      <c r="O5" s="44">
        <f t="shared" ref="O5:W5" si="2">O61</f>
        <v>-4446529.6882285383</v>
      </c>
      <c r="P5" s="44">
        <f t="shared" si="2"/>
        <v>-4487966.2773757176</v>
      </c>
      <c r="Q5" s="44">
        <f t="shared" si="2"/>
        <v>-4530822.1888920534</v>
      </c>
      <c r="R5" s="44">
        <f t="shared" si="2"/>
        <v>-4577388.0332601164</v>
      </c>
      <c r="S5" s="44">
        <f t="shared" si="2"/>
        <v>-4626488.2187472945</v>
      </c>
      <c r="T5" s="44">
        <f t="shared" si="2"/>
        <v>-4675177.848030258</v>
      </c>
      <c r="U5" s="44">
        <f t="shared" si="2"/>
        <v>-4714907.9505789205</v>
      </c>
      <c r="V5" s="44">
        <f t="shared" si="2"/>
        <v>-4762571.1703463262</v>
      </c>
      <c r="W5" s="44">
        <f t="shared" si="2"/>
        <v>-4813798.9670555545</v>
      </c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W5" s="138"/>
      <c r="AX5" s="138"/>
      <c r="AY5" s="138"/>
      <c r="AZ5" s="104" t="s">
        <v>312</v>
      </c>
      <c r="BA5" s="142">
        <f>SUMIFS(K:K,$AW:$AW,"VEDTATT",$A:$A,$BA$1)</f>
        <v>6719</v>
      </c>
      <c r="BB5" s="142">
        <f>SUMIFS(L:L,$AW:$AW,"VEDTATT",$A:$A,$BA$1)</f>
        <v>19435</v>
      </c>
      <c r="BC5" s="142">
        <f>SUMIFS(M:M,$AW:$AW,"VEDTATT",$A:$A,$BA$1)</f>
        <v>27424</v>
      </c>
      <c r="BD5" s="142">
        <f>SUMIFS(N:N,$AW:$AW,"VEDTATT",$A:$A,$BA$1)</f>
        <v>36305</v>
      </c>
      <c r="BE5" s="142">
        <f>SUMIFS(K:K,$AW:$AW,"VEDTATT",$A:$A,$BE$1)</f>
        <v>4406</v>
      </c>
      <c r="BF5" s="142">
        <f>SUMIFS(L:L,$AW:$AW,"VEDTATT",$A:$A,$BE$1)</f>
        <v>2156</v>
      </c>
      <c r="BG5" s="142">
        <f>SUMIFS(M:M,$AW:$AW,"VEDTATT",$A:$A,$BE$1)</f>
        <v>-6774</v>
      </c>
      <c r="BH5" s="142">
        <f>SUMIFS(N:N,$AW:$AW,"VEDTATT",$A:$A,$BE$1)</f>
        <v>-12294</v>
      </c>
      <c r="BI5" s="142">
        <f>SUMIFS(K:K,$AW:$AW,"VEDTATT",$A:$A,$BI$1)</f>
        <v>-2284</v>
      </c>
      <c r="BJ5" s="142">
        <f>SUMIFS(L:L,$AW:$AW,"VEDTATT",$A:$A,$BI$1)</f>
        <v>10774</v>
      </c>
      <c r="BK5" s="142">
        <f>SUMIFS(M:M,$AW:$AW,"VEDTATT",$A:$A,$BI$1)</f>
        <v>14622</v>
      </c>
      <c r="BL5" s="142">
        <f>SUMIFS(N:N,$AW:$AW,"VEDTATT",$A:$A,$BI$1)</f>
        <v>13550</v>
      </c>
      <c r="BM5" s="142">
        <f>SUMIFS(K:K,$AW:$AW,"VEDTATT",$A:$A,$BM$1)</f>
        <v>620</v>
      </c>
      <c r="BN5" s="142">
        <f>SUMIFS(L:L,$AW:$AW,"VEDTATT",$A:$A,$BM$1)</f>
        <v>-1184</v>
      </c>
      <c r="BO5" s="142">
        <f>SUMIFS(M:M,$AW:$AW,"VEDTATT",$A:$A,$BM$1)</f>
        <v>-1457</v>
      </c>
      <c r="BP5" s="142">
        <f>SUMIFS(N:N,$AW:$AW,"VEDTATT",$A:$A,$BM$1)</f>
        <v>-1724</v>
      </c>
      <c r="BQ5" s="142">
        <f>SUMIFS(K:K,$AW:$AW,"VEDTATT",$A:$A,$BQ$1)</f>
        <v>-250</v>
      </c>
      <c r="BR5" s="142">
        <f>SUMIFS(L:L,$AW:$AW,"VEDTATT",$A:$A,$BQ$1)</f>
        <v>-940</v>
      </c>
      <c r="BS5" s="142">
        <f>SUMIFS(M:M,$AW:$AW,"VEDTATT",$A:$A,$BQ$1)</f>
        <v>-1935</v>
      </c>
      <c r="BT5" s="142">
        <f>SUMIFS(N:N,$AW:$AW,"VEDTATT",$A:$A,$BQ$1)</f>
        <v>-1935</v>
      </c>
      <c r="BU5" s="142">
        <f>SUMIFS(K:K,$AW:$AW,"VEDTATT",$A:$A,$BU$1)</f>
        <v>0</v>
      </c>
      <c r="BV5" s="142">
        <f>SUMIFS(L:L,$AW:$AW,"VEDTATT",$A:$A,$BU$1)</f>
        <v>0</v>
      </c>
      <c r="BW5" s="142">
        <f>SUMIFS(M:M,$AW:$AW,"VEDTATT",$A:$A,$BU$1)</f>
        <v>0</v>
      </c>
      <c r="BX5" s="142">
        <f>SUMIFS(N:N,$AW:$AW,"VEDTATT",$A:$A,$BU$1)</f>
        <v>0</v>
      </c>
      <c r="BY5" s="142">
        <f>SUMIFS(K:K,$AW:$AW,"VEDTATT",$A:$A,$BY$1)</f>
        <v>0</v>
      </c>
      <c r="BZ5" s="142">
        <f>SUMIFS(L:L,$AW:$AW,"VEDTATT",$A:$A,$BY$1)</f>
        <v>0</v>
      </c>
      <c r="CA5" s="142">
        <f>SUMIFS(M:M,$AW:$AW,"VEDTATT",$A:$A,$BY$1)</f>
        <v>0</v>
      </c>
      <c r="CB5" s="142">
        <f>SUMIFS(N:N,$AW:$AW,"VEDTATT",$A:$A,$BY$1)</f>
        <v>0</v>
      </c>
      <c r="CC5" s="142">
        <f>SUMIFS(K:K,$AW:$AW,"VEDTATT",$A:$A,$CC$1)</f>
        <v>77874</v>
      </c>
      <c r="CD5" s="142">
        <f>SUMIFS(L:L,$AW:$AW,"VEDTATT",$A:$A,$CC$1)</f>
        <v>74285</v>
      </c>
      <c r="CE5" s="142">
        <f>SUMIFS(M:M,$AW:$AW,"VEDTATT",$A:$A,$CC$1)</f>
        <v>68785</v>
      </c>
      <c r="CF5" s="142">
        <f>SUMIFS(N:N,$AW:$AW,"VEDTATT",$A:$A,$CC$1)</f>
        <v>70780</v>
      </c>
    </row>
    <row r="6" spans="1:84" s="137" customFormat="1" x14ac:dyDescent="0.25">
      <c r="A6" s="154" t="s">
        <v>61</v>
      </c>
      <c r="B6" s="251"/>
      <c r="C6" s="47"/>
      <c r="D6" s="252"/>
      <c r="E6" s="252"/>
      <c r="F6" s="252"/>
      <c r="G6" s="154"/>
      <c r="H6" s="253">
        <f>SUM(H4:H5)</f>
        <v>3471036</v>
      </c>
      <c r="I6" s="253">
        <f t="shared" ref="I6:W6" si="3">SUM(I4:I5)</f>
        <v>-317990</v>
      </c>
      <c r="J6" s="253">
        <f>SUM(J4:J5)</f>
        <v>-143486</v>
      </c>
      <c r="K6" s="253">
        <f t="shared" si="3"/>
        <v>-156767</v>
      </c>
      <c r="L6" s="253">
        <f t="shared" si="3"/>
        <v>-244109</v>
      </c>
      <c r="M6" s="253">
        <f t="shared" si="3"/>
        <v>-289307</v>
      </c>
      <c r="N6" s="253">
        <f t="shared" si="3"/>
        <v>-332695</v>
      </c>
      <c r="O6" s="253">
        <f t="shared" si="3"/>
        <v>-370043.68822853826</v>
      </c>
      <c r="P6" s="253">
        <f t="shared" si="3"/>
        <v>-411480.27737571765</v>
      </c>
      <c r="Q6" s="253">
        <f t="shared" si="3"/>
        <v>-454336.18889205344</v>
      </c>
      <c r="R6" s="253">
        <f t="shared" si="3"/>
        <v>-500902.03326011635</v>
      </c>
      <c r="S6" s="253">
        <f t="shared" si="3"/>
        <v>-550002.21874729451</v>
      </c>
      <c r="T6" s="253">
        <f t="shared" si="3"/>
        <v>-598691.84803025797</v>
      </c>
      <c r="U6" s="253">
        <f t="shared" si="3"/>
        <v>-638421.95057892054</v>
      </c>
      <c r="V6" s="253">
        <f t="shared" si="3"/>
        <v>-686085.17034632619</v>
      </c>
      <c r="W6" s="253">
        <f t="shared" si="3"/>
        <v>-737312.9670555545</v>
      </c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W6" s="138"/>
      <c r="AX6" s="138"/>
      <c r="AY6" s="138"/>
      <c r="AZ6" s="139" t="s">
        <v>313</v>
      </c>
      <c r="BA6" s="142">
        <f>SUMIFS(K:K,$AX:$AX,$AZ$6,$A:$A,$BA$1)</f>
        <v>0</v>
      </c>
      <c r="BB6" s="142">
        <f>SUMIFS(L:L,$AX:$AX,$AZ$6,$A:$A,$BA$1)</f>
        <v>0</v>
      </c>
      <c r="BC6" s="142">
        <f>SUMIFS(M:M,$AX:$AX,$AZ$6,$A:$A,$BA$1)</f>
        <v>0</v>
      </c>
      <c r="BD6" s="142">
        <f>SUMIFS(N:N,$AX:$AX,$AZ$6,$A:$A,$BA$1)</f>
        <v>0</v>
      </c>
      <c r="BE6" s="142">
        <f>SUMIFS(K:K,$AX:$AX,$AZ$6,$A:$A,$BE$1)</f>
        <v>500</v>
      </c>
      <c r="BF6" s="142">
        <f>SUMIFS(L:L,$AX:$AX,$AZ$6,$A:$A,$BE$1)</f>
        <v>500</v>
      </c>
      <c r="BG6" s="142">
        <f>SUMIFS(M:M,$AX:$AX,$AZ$6,$A:$A,$BE$1)</f>
        <v>500</v>
      </c>
      <c r="BH6" s="142">
        <f>SUMIFS(N:N,$AX:$AX,$AZ$6,$A:$A,$BE$1)</f>
        <v>500</v>
      </c>
      <c r="BI6" s="142">
        <f>SUMIFS(K:K,$AX:$AX,$AZ$6,$A:$A,$BI$1)</f>
        <v>33900</v>
      </c>
      <c r="BJ6" s="142">
        <f>SUMIFS(L:L,$AX:$AX,$AZ$6,$A:$A,$BI$1)</f>
        <v>37800</v>
      </c>
      <c r="BK6" s="142">
        <f>SUMIFS(M:M,$AX:$AX,$AZ$6,$A:$A,$BI$1)</f>
        <v>37800</v>
      </c>
      <c r="BL6" s="142">
        <f>SUMIFS(N:N,$AX:$AX,$AZ$6,$A:$A,$BI$1)</f>
        <v>37800</v>
      </c>
      <c r="BM6" s="142">
        <f>SUMIFS(K:K,$AX:$AX,$AZ$6,$A:$A,$BM$1)</f>
        <v>2858</v>
      </c>
      <c r="BN6" s="142">
        <f>SUMIFS(L:L,$AX:$AX,$AZ$6,$A:$A,$BM$1)</f>
        <v>2613</v>
      </c>
      <c r="BO6" s="142">
        <f>SUMIFS(M:M,$AX:$AX,$AZ$6,$A:$A,$BM$1)</f>
        <v>2288</v>
      </c>
      <c r="BP6" s="142">
        <f>SUMIFS(N:N,$AX:$AX,$AZ$6,$A:$A,$BM$1)</f>
        <v>1913</v>
      </c>
      <c r="BQ6" s="142">
        <f>SUMIFS(K:K,$AX:$AX,$AZ$6,$A:$A,$BQ$1)</f>
        <v>300</v>
      </c>
      <c r="BR6" s="142">
        <f>SUMIFS(L:L,$AX:$AX,$AZ$6,$A:$A,$BQ$1)</f>
        <v>300</v>
      </c>
      <c r="BS6" s="142">
        <f>SUMIFS(M:M,$AX:$AX,$AZ$6,$A:$A,$BQ$1)</f>
        <v>300</v>
      </c>
      <c r="BT6" s="142">
        <f>SUMIFS(N:N,$AX:$AX,$AZ$6,$A:$A,$BQ$1)</f>
        <v>300</v>
      </c>
      <c r="BU6" s="142">
        <f>SUMIFS(K:K,$AX:$AX,$AZ$6,$A:$A,$BU$1)</f>
        <v>3576</v>
      </c>
      <c r="BV6" s="142">
        <f>SUMIFS(L:L,$AX:$AX,$AZ$6,$A:$A,$BU$1)</f>
        <v>2126</v>
      </c>
      <c r="BW6" s="142">
        <f>SUMIFS(M:M,$AX:$AX,$AZ$6,$A:$A,$BU$1)</f>
        <v>2126</v>
      </c>
      <c r="BX6" s="142">
        <f>SUMIFS(N:N,$AX:$AX,$AZ$6,$A:$A,$BU$1)</f>
        <v>1176</v>
      </c>
      <c r="BY6" s="142">
        <f>SUMIFS(K:K,$AX:$AX,$AZ$6,$A:$A,$BY$1)</f>
        <v>0</v>
      </c>
      <c r="BZ6" s="142">
        <f>SUMIFS(L:L,$AX:$AX,$AZ$6,$A:$A,$BY$1)</f>
        <v>0</v>
      </c>
      <c r="CA6" s="142">
        <f>SUMIFS(M:M,$AX:$AX,$AZ$6,$A:$A,$BY$1)</f>
        <v>0</v>
      </c>
      <c r="CB6" s="142">
        <f>SUMIFS(N:N,$AX:$AX,$AZ$6,$A:$A,$BY$1)</f>
        <v>0</v>
      </c>
      <c r="CC6" s="142">
        <f>SUMIFS(K:K,$AX:$AX,$AZ$6,$A:$A,$CC$1)</f>
        <v>2094</v>
      </c>
      <c r="CD6" s="142">
        <f>SUMIFS(L:L,$AX:$AX,$AZ$6,$A:$A,$CC$1)</f>
        <v>7352</v>
      </c>
      <c r="CE6" s="142">
        <f>SUMIFS(M:M,$AX:$AX,$AZ$6,$A:$A,$CC$1)</f>
        <v>9420</v>
      </c>
      <c r="CF6" s="142">
        <f>SUMIFS(N:N,$AX:$AX,$AZ$6,$A:$A,$CC$1)</f>
        <v>10817</v>
      </c>
    </row>
    <row r="7" spans="1:84" s="137" customFormat="1" x14ac:dyDescent="0.25">
      <c r="A7" s="141"/>
      <c r="B7" s="140"/>
      <c r="C7" s="140"/>
      <c r="D7" s="41"/>
      <c r="E7" s="41"/>
      <c r="F7" s="41"/>
      <c r="G7" s="141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W7" s="138"/>
      <c r="AX7" s="138"/>
      <c r="AY7" s="138"/>
      <c r="AZ7" s="139" t="s">
        <v>314</v>
      </c>
      <c r="BA7" s="142">
        <f>SUMIFS(K:K,$AY:$AY,$AZ$7,$A:$A,$BA$1)</f>
        <v>0</v>
      </c>
      <c r="BB7" s="142">
        <f>SUMIFS(L:L,$AY:$AY,$AZ$7,$A:$A,$BA$1)</f>
        <v>0</v>
      </c>
      <c r="BC7" s="142">
        <f>SUMIFS(M:M,$AY:$AY,$AZ$7,$A:$A,$BA$1)</f>
        <v>0</v>
      </c>
      <c r="BD7" s="142">
        <f>SUMIFS(N:N,$AY:$AY,$AZ$7,$A:$A,$BA$1)</f>
        <v>0</v>
      </c>
      <c r="BE7" s="142">
        <f>SUMIFS(K:K,$AY:$AY,$AZ$7,$A:$A,$BE$1)</f>
        <v>0</v>
      </c>
      <c r="BF7" s="142">
        <f>SUMIFS(L:L,$AY:$AY,$AZ$7,$A:$A,$BE$1)</f>
        <v>0</v>
      </c>
      <c r="BG7" s="142">
        <f>SUMIFS(M:M,$AY:$AY,$AZ$7,$A:$A,$BE$1)</f>
        <v>0</v>
      </c>
      <c r="BH7" s="142">
        <f>SUMIFS(N:N,$AY:$AY,$AZ$7,$A:$A,$BE$1)</f>
        <v>0</v>
      </c>
      <c r="BI7" s="142">
        <f>SUMIFS(K:K,$AY:$AY,$AZ$7,$A:$A,$BI$1)</f>
        <v>0</v>
      </c>
      <c r="BJ7" s="142">
        <f>SUMIFS(L:L,$AY:$AY,$AZ$7,$A:$A,$BI$1)</f>
        <v>0</v>
      </c>
      <c r="BK7" s="142">
        <f>SUMIFS(M:M,$AY:$AY,$AZ$7,$A:$A,$BI$1)</f>
        <v>0</v>
      </c>
      <c r="BL7" s="142">
        <f>SUMIFS(N:N,$AY:$AY,$AZ$7,$A:$A,$BI$1)</f>
        <v>0</v>
      </c>
      <c r="BM7" s="142">
        <f>SUMIFS(K:K,$AY:$AY,$AZ$7,$A:$A,$BM$1)</f>
        <v>0</v>
      </c>
      <c r="BN7" s="142">
        <f>SUMIFS(L:L,$AY:$AY,$AZ$7,$A:$A,$BM$1)</f>
        <v>0</v>
      </c>
      <c r="BO7" s="142">
        <f>SUMIFS(M:M,$AY:$AY,$AZ$7,$A:$A,$BM$1)</f>
        <v>0</v>
      </c>
      <c r="BP7" s="142">
        <f>SUMIFS(N:N,$AY:$AY,$AZ$7,$A:$A,$BM$1)</f>
        <v>0</v>
      </c>
      <c r="BQ7" s="142">
        <f>SUMIFS(K:K,$AY:$AY,$AZ$7,$A:$A,$BQ$1)</f>
        <v>0</v>
      </c>
      <c r="BR7" s="142">
        <f>SUMIFS(L:L,$AY:$AY,$AZ$7,$A:$A,$BQ$1)</f>
        <v>0</v>
      </c>
      <c r="BS7" s="142">
        <f>SUMIFS(M:M,$AY:$AY,$AZ$7,$A:$A,$BQ$1)</f>
        <v>0</v>
      </c>
      <c r="BT7" s="142">
        <f>SUMIFS(N:N,$AY:$AY,$AZ$7,$A:$A,$BQ$1)</f>
        <v>0</v>
      </c>
      <c r="BU7" s="142">
        <f>SUMIFS(K:K,$AY:$AY,$AZ$7,$A:$A,$BU$1)</f>
        <v>0</v>
      </c>
      <c r="BV7" s="142">
        <f>SUMIFS(L:L,$AY:$AY,$AZ$7,$A:$A,$BU$1)</f>
        <v>0</v>
      </c>
      <c r="BW7" s="142">
        <f>SUMIFS(M:M,$AY:$AY,$AZ$7,$A:$A,$BU$1)</f>
        <v>0</v>
      </c>
      <c r="BX7" s="142">
        <f>SUMIFS(N:N,$AY:$AY,$AZ$7,$A:$A,$BU$1)</f>
        <v>0</v>
      </c>
      <c r="BY7" s="142">
        <f>SUMIFS(K:K,$AY:$AY,$AZ$7,$A:$A,$BY$1)</f>
        <v>0</v>
      </c>
      <c r="BZ7" s="142">
        <f>SUMIFS(L:L,$AY:$AY,$AZ$7,$A:$A,$BY$1)</f>
        <v>0</v>
      </c>
      <c r="CA7" s="142">
        <f>SUMIFS(M:M,$AY:$AY,$AZ$7,$A:$A,$BY$1)</f>
        <v>0</v>
      </c>
      <c r="CB7" s="142">
        <f>SUMIFS(N:N,$AY:$AY,$AZ$7,$A:$A,$BY$1)</f>
        <v>0</v>
      </c>
      <c r="CC7" s="142">
        <f>SUMIFS(K:K,$AY:$AY,$AZ$7,$A:$A,$CC$1)</f>
        <v>0</v>
      </c>
      <c r="CD7" s="142">
        <f>SUMIFS(L:L,$AY:$AY,$AZ$7,$A:$A,$CC$1)</f>
        <v>0</v>
      </c>
      <c r="CE7" s="142">
        <f>SUMIFS(M:M,$AY:$AY,$AZ$7,$A:$A,$CC$1)</f>
        <v>0</v>
      </c>
      <c r="CF7" s="142">
        <f>SUMIFS(N:N,$AY:$AY,$AZ$7,$A:$A,$CC$1)</f>
        <v>0</v>
      </c>
    </row>
    <row r="8" spans="1:84" s="137" customFormat="1" x14ac:dyDescent="0.25">
      <c r="A8" s="146" t="s">
        <v>62</v>
      </c>
      <c r="B8" s="147"/>
      <c r="C8" s="147"/>
      <c r="D8" s="45"/>
      <c r="E8" s="45"/>
      <c r="F8" s="45"/>
      <c r="G8" s="146"/>
      <c r="H8" s="148">
        <f>SUMIF($E:$E,"ØP 15-18",H:H)</f>
        <v>0</v>
      </c>
      <c r="I8" s="148">
        <f>SUMIF($E:$E,"ØP 15-18",I:I)</f>
        <v>0</v>
      </c>
      <c r="J8" s="148">
        <f>SUMIF($E:$E,"ØP 16-19",J:J)</f>
        <v>0</v>
      </c>
      <c r="K8" s="148">
        <f t="shared" ref="K8:W8" si="4">SUMIF($E:$E,"ØP 17-20",K:K)</f>
        <v>264</v>
      </c>
      <c r="L8" s="148">
        <f t="shared" si="4"/>
        <v>-4309</v>
      </c>
      <c r="M8" s="148">
        <f t="shared" si="4"/>
        <v>-16621</v>
      </c>
      <c r="N8" s="148">
        <f t="shared" si="4"/>
        <v>-17253</v>
      </c>
      <c r="O8" s="148">
        <f t="shared" si="4"/>
        <v>-36593.937466337768</v>
      </c>
      <c r="P8" s="148">
        <f t="shared" si="4"/>
        <v>-36693.004554391831</v>
      </c>
      <c r="Q8" s="148">
        <f t="shared" si="4"/>
        <v>-36651.278502554371</v>
      </c>
      <c r="R8" s="148">
        <f t="shared" si="4"/>
        <v>-36586.537900060779</v>
      </c>
      <c r="S8" s="148">
        <f t="shared" si="4"/>
        <v>-36299.519328664202</v>
      </c>
      <c r="T8" s="148">
        <f t="shared" si="4"/>
        <v>-37105.259309156725</v>
      </c>
      <c r="U8" s="148">
        <f t="shared" si="4"/>
        <v>-36779.701309827789</v>
      </c>
      <c r="V8" s="148">
        <f t="shared" si="4"/>
        <v>-36996.862044238405</v>
      </c>
      <c r="W8" s="148">
        <f t="shared" si="4"/>
        <v>-36948.272671209721</v>
      </c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36"/>
      <c r="AV8" s="136"/>
      <c r="AW8" s="37"/>
      <c r="AX8" s="37"/>
      <c r="AY8" s="37"/>
      <c r="AZ8" s="136" t="s">
        <v>315</v>
      </c>
      <c r="BA8" s="149">
        <f>SUBTOTAL(9,BA4:BA7)</f>
        <v>6719</v>
      </c>
      <c r="BB8" s="149">
        <f t="shared" ref="BB8:BC8" si="5">SUBTOTAL(9,BB4:BB7)</f>
        <v>19435</v>
      </c>
      <c r="BC8" s="149">
        <f t="shared" si="5"/>
        <v>27424</v>
      </c>
      <c r="BD8" s="149">
        <f t="shared" ref="BD8" si="6">SUBTOTAL(9,BD4:BD7)</f>
        <v>36305</v>
      </c>
      <c r="BE8" s="149">
        <f>SUBTOTAL(9,BE4:BE7)</f>
        <v>4906</v>
      </c>
      <c r="BF8" s="149">
        <f t="shared" ref="BF8:BH8" si="7">SUBTOTAL(9,BF4:BF7)</f>
        <v>2656</v>
      </c>
      <c r="BG8" s="149">
        <f t="shared" si="7"/>
        <v>-6274</v>
      </c>
      <c r="BH8" s="149">
        <f t="shared" si="7"/>
        <v>-11794</v>
      </c>
      <c r="BI8" s="149">
        <f>SUBTOTAL(9,BI4:BI7)</f>
        <v>31616</v>
      </c>
      <c r="BJ8" s="149">
        <f t="shared" ref="BJ8:BL8" si="8">SUBTOTAL(9,BJ4:BJ7)</f>
        <v>48574</v>
      </c>
      <c r="BK8" s="149">
        <f t="shared" si="8"/>
        <v>52422</v>
      </c>
      <c r="BL8" s="149">
        <f t="shared" si="8"/>
        <v>51350</v>
      </c>
      <c r="BM8" s="149">
        <f>SUBTOTAL(9,BM4:BM7)</f>
        <v>3478</v>
      </c>
      <c r="BN8" s="149">
        <f t="shared" ref="BN8:BP8" si="9">SUBTOTAL(9,BN4:BN7)</f>
        <v>1429</v>
      </c>
      <c r="BO8" s="149">
        <f t="shared" si="9"/>
        <v>831</v>
      </c>
      <c r="BP8" s="149">
        <f t="shared" si="9"/>
        <v>189</v>
      </c>
      <c r="BQ8" s="149">
        <f>SUBTOTAL(9,BQ4:BQ7)</f>
        <v>50</v>
      </c>
      <c r="BR8" s="149">
        <f t="shared" ref="BR8:BT8" si="10">SUBTOTAL(9,BR4:BR7)</f>
        <v>-640</v>
      </c>
      <c r="BS8" s="149">
        <f t="shared" si="10"/>
        <v>-1635</v>
      </c>
      <c r="BT8" s="149">
        <f t="shared" si="10"/>
        <v>-1635</v>
      </c>
      <c r="BU8" s="149">
        <f>SUBTOTAL(9,BU4:BU7)</f>
        <v>3576</v>
      </c>
      <c r="BV8" s="149">
        <f t="shared" ref="BV8:BX8" si="11">SUBTOTAL(9,BV4:BV7)</f>
        <v>2126</v>
      </c>
      <c r="BW8" s="149">
        <f t="shared" si="11"/>
        <v>2126</v>
      </c>
      <c r="BX8" s="149">
        <f t="shared" si="11"/>
        <v>1176</v>
      </c>
      <c r="BY8" s="149">
        <f>SUBTOTAL(9,BY4:BY7)</f>
        <v>0</v>
      </c>
      <c r="BZ8" s="149">
        <f t="shared" ref="BZ8:CB8" si="12">SUBTOTAL(9,BZ4:BZ7)</f>
        <v>0</v>
      </c>
      <c r="CA8" s="149">
        <f t="shared" si="12"/>
        <v>0</v>
      </c>
      <c r="CB8" s="149">
        <f t="shared" si="12"/>
        <v>0</v>
      </c>
      <c r="CC8" s="149">
        <f>SUBTOTAL(9,CC4:CC7)</f>
        <v>79968</v>
      </c>
      <c r="CD8" s="149">
        <f t="shared" ref="CD8:CF8" si="13">SUBTOTAL(9,CD4:CD7)</f>
        <v>81637</v>
      </c>
      <c r="CE8" s="149">
        <f t="shared" si="13"/>
        <v>78205</v>
      </c>
      <c r="CF8" s="149">
        <f t="shared" si="13"/>
        <v>81597</v>
      </c>
    </row>
    <row r="9" spans="1:84" s="137" customFormat="1" x14ac:dyDescent="0.25">
      <c r="A9" s="150" t="s">
        <v>63</v>
      </c>
      <c r="B9" s="151"/>
      <c r="C9" s="151"/>
      <c r="D9" s="46"/>
      <c r="E9" s="46"/>
      <c r="F9" s="46"/>
      <c r="G9" s="150"/>
      <c r="H9" s="152">
        <f>SUMIF($E:$E,"ØP 15-18 REKALK",H:H)</f>
        <v>0</v>
      </c>
      <c r="I9" s="152">
        <f>SUMIF($E:$E,"ØP 15-18 REKALK",I:I)</f>
        <v>0</v>
      </c>
      <c r="J9" s="152">
        <f>SUMIF($E:$E,"ØP 16-19 REKALK",J:J)</f>
        <v>0</v>
      </c>
      <c r="K9" s="152">
        <f t="shared" ref="K9:W9" si="14">SUMIF($E:$E,"ØP 17-20 REKALK",K:K)</f>
        <v>111319</v>
      </c>
      <c r="L9" s="152">
        <f t="shared" si="14"/>
        <v>184069</v>
      </c>
      <c r="M9" s="152">
        <f t="shared" si="14"/>
        <v>208184</v>
      </c>
      <c r="N9" s="152">
        <f t="shared" si="14"/>
        <v>219823</v>
      </c>
      <c r="O9" s="152">
        <f t="shared" si="14"/>
        <v>224221.21876922817</v>
      </c>
      <c r="P9" s="152">
        <f t="shared" si="14"/>
        <v>222459.6482188229</v>
      </c>
      <c r="Q9" s="152">
        <f t="shared" si="14"/>
        <v>220492.26160103217</v>
      </c>
      <c r="R9" s="152">
        <f t="shared" si="14"/>
        <v>218940.82524347687</v>
      </c>
      <c r="S9" s="152">
        <f t="shared" si="14"/>
        <v>225423.64789780063</v>
      </c>
      <c r="T9" s="152">
        <f t="shared" si="14"/>
        <v>217877.66556190699</v>
      </c>
      <c r="U9" s="152">
        <f t="shared" si="14"/>
        <v>220323.96992568125</v>
      </c>
      <c r="V9" s="152">
        <f t="shared" si="14"/>
        <v>226885.94886076933</v>
      </c>
      <c r="W9" s="152">
        <f t="shared" si="14"/>
        <v>225001.38787281766</v>
      </c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36"/>
      <c r="AV9" s="136"/>
      <c r="AW9" s="37"/>
      <c r="AX9" s="37"/>
      <c r="AY9" s="37"/>
      <c r="AZ9" s="136"/>
    </row>
    <row r="10" spans="1:84" s="137" customFormat="1" x14ac:dyDescent="0.25">
      <c r="A10" s="247" t="s">
        <v>316</v>
      </c>
      <c r="B10" s="248"/>
      <c r="C10" s="248"/>
      <c r="D10" s="249"/>
      <c r="E10" s="249"/>
      <c r="F10" s="249"/>
      <c r="G10" s="247"/>
      <c r="H10" s="250">
        <f>H6+H8+H9</f>
        <v>3471036</v>
      </c>
      <c r="I10" s="250">
        <f t="shared" ref="I10" si="15">I6+I8+I9</f>
        <v>-317990</v>
      </c>
      <c r="J10" s="250">
        <f>J6+J8+J9</f>
        <v>-143486</v>
      </c>
      <c r="K10" s="250">
        <f>K6+K8+K9</f>
        <v>-45184</v>
      </c>
      <c r="L10" s="250">
        <f t="shared" ref="L10:W10" si="16">L6+L8+L9</f>
        <v>-64349</v>
      </c>
      <c r="M10" s="250">
        <f t="shared" si="16"/>
        <v>-97744</v>
      </c>
      <c r="N10" s="250">
        <f t="shared" si="16"/>
        <v>-130125</v>
      </c>
      <c r="O10" s="250">
        <f t="shared" si="16"/>
        <v>-182416.40692564784</v>
      </c>
      <c r="P10" s="250">
        <f t="shared" si="16"/>
        <v>-225713.63371128659</v>
      </c>
      <c r="Q10" s="250">
        <f t="shared" si="16"/>
        <v>-270495.20579357567</v>
      </c>
      <c r="R10" s="250">
        <f t="shared" si="16"/>
        <v>-318547.74591670022</v>
      </c>
      <c r="S10" s="250">
        <f t="shared" si="16"/>
        <v>-360878.09017815802</v>
      </c>
      <c r="T10" s="250">
        <f t="shared" si="16"/>
        <v>-417919.44177750766</v>
      </c>
      <c r="U10" s="250">
        <f t="shared" si="16"/>
        <v>-454877.68196306704</v>
      </c>
      <c r="V10" s="250">
        <f t="shared" si="16"/>
        <v>-496196.08352979523</v>
      </c>
      <c r="W10" s="250">
        <f t="shared" si="16"/>
        <v>-549259.85185394657</v>
      </c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36"/>
      <c r="AV10" s="136"/>
      <c r="AW10" s="37"/>
      <c r="AX10" s="37"/>
      <c r="AY10" s="37"/>
      <c r="AZ10" s="136"/>
    </row>
    <row r="11" spans="1:84" s="136" customFormat="1" x14ac:dyDescent="0.25">
      <c r="A11" s="143"/>
      <c r="B11" s="144"/>
      <c r="C11" s="144"/>
      <c r="D11" s="43"/>
      <c r="E11" s="43"/>
      <c r="F11" s="43"/>
      <c r="G11" s="143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W11" s="37"/>
      <c r="AX11" s="37"/>
      <c r="AY11" s="37"/>
      <c r="BA11" s="153"/>
      <c r="BB11" s="153"/>
      <c r="BC11" s="153"/>
      <c r="BD11" s="153"/>
    </row>
    <row r="12" spans="1:84" s="136" customFormat="1" x14ac:dyDescent="0.25">
      <c r="A12" s="141" t="s">
        <v>64</v>
      </c>
      <c r="B12" s="144"/>
      <c r="C12" s="144"/>
      <c r="D12" s="43"/>
      <c r="E12" s="43"/>
      <c r="F12" s="43"/>
      <c r="G12" s="143"/>
      <c r="H12" s="44"/>
      <c r="I12" s="44"/>
      <c r="J12" s="44">
        <f t="shared" ref="J12:W12" si="17">SUMIFS(J:J,$E:$E,"NYTT",$F:$F,"INNSP")</f>
        <v>0</v>
      </c>
      <c r="K12" s="44">
        <f t="shared" si="17"/>
        <v>0</v>
      </c>
      <c r="L12" s="44">
        <f t="shared" si="17"/>
        <v>0</v>
      </c>
      <c r="M12" s="44">
        <f t="shared" si="17"/>
        <v>0</v>
      </c>
      <c r="N12" s="44">
        <f t="shared" si="17"/>
        <v>0</v>
      </c>
      <c r="O12" s="44">
        <f t="shared" si="17"/>
        <v>0</v>
      </c>
      <c r="P12" s="44">
        <f t="shared" si="17"/>
        <v>0</v>
      </c>
      <c r="Q12" s="44">
        <f t="shared" si="17"/>
        <v>0</v>
      </c>
      <c r="R12" s="44">
        <f t="shared" si="17"/>
        <v>0</v>
      </c>
      <c r="S12" s="44">
        <f t="shared" si="17"/>
        <v>0</v>
      </c>
      <c r="T12" s="44">
        <f t="shared" si="17"/>
        <v>0</v>
      </c>
      <c r="U12" s="44">
        <f t="shared" si="17"/>
        <v>0</v>
      </c>
      <c r="V12" s="44">
        <f t="shared" si="17"/>
        <v>0</v>
      </c>
      <c r="W12" s="44">
        <f t="shared" si="17"/>
        <v>0</v>
      </c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W12" s="37"/>
      <c r="AX12" s="37"/>
      <c r="AY12" s="37"/>
      <c r="BA12" s="153"/>
      <c r="BB12" s="153"/>
      <c r="BC12" s="153"/>
      <c r="BD12" s="153"/>
    </row>
    <row r="13" spans="1:84" s="137" customFormat="1" x14ac:dyDescent="0.25">
      <c r="A13" s="150" t="s">
        <v>65</v>
      </c>
      <c r="B13" s="151"/>
      <c r="C13" s="151"/>
      <c r="D13" s="46"/>
      <c r="E13" s="46"/>
      <c r="F13" s="46"/>
      <c r="G13" s="150"/>
      <c r="H13" s="152">
        <f t="shared" ref="H13:W13" si="18">SUMIFS(H:H,$E:$E,"NYTT",$F:$F,"MÅ")</f>
        <v>-300</v>
      </c>
      <c r="I13" s="152">
        <f t="shared" si="18"/>
        <v>1540</v>
      </c>
      <c r="J13" s="152">
        <f t="shared" si="18"/>
        <v>26445</v>
      </c>
      <c r="K13" s="152">
        <f t="shared" si="18"/>
        <v>45184</v>
      </c>
      <c r="L13" s="152">
        <f t="shared" si="18"/>
        <v>64349</v>
      </c>
      <c r="M13" s="152">
        <f t="shared" si="18"/>
        <v>97744</v>
      </c>
      <c r="N13" s="152">
        <f t="shared" si="18"/>
        <v>130125</v>
      </c>
      <c r="O13" s="152">
        <f t="shared" si="18"/>
        <v>113231</v>
      </c>
      <c r="P13" s="152">
        <f t="shared" si="18"/>
        <v>113231</v>
      </c>
      <c r="Q13" s="152">
        <f t="shared" si="18"/>
        <v>112411</v>
      </c>
      <c r="R13" s="152">
        <f t="shared" si="18"/>
        <v>112411</v>
      </c>
      <c r="S13" s="152">
        <f t="shared" si="18"/>
        <v>112411</v>
      </c>
      <c r="T13" s="152">
        <f t="shared" si="18"/>
        <v>112411</v>
      </c>
      <c r="U13" s="152">
        <f t="shared" si="18"/>
        <v>112411</v>
      </c>
      <c r="V13" s="152">
        <f t="shared" si="18"/>
        <v>112411</v>
      </c>
      <c r="W13" s="152">
        <f t="shared" si="18"/>
        <v>112411</v>
      </c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36"/>
      <c r="AV13" s="136"/>
      <c r="AW13" s="37"/>
      <c r="AX13" s="37"/>
      <c r="AY13" s="37"/>
      <c r="AZ13" s="139" t="s">
        <v>311</v>
      </c>
      <c r="BA13" s="153">
        <f>BA4+BE4+BI4+BM4+BQ4+BU4+BY4+CC4</f>
        <v>0</v>
      </c>
      <c r="BB13" s="153">
        <f t="shared" ref="BA13:BC17" si="19">BB4+BF4+BJ4+BN4+BR4+BV4+BZ4+CD4</f>
        <v>0</v>
      </c>
      <c r="BC13" s="153">
        <f t="shared" si="19"/>
        <v>0</v>
      </c>
      <c r="BD13" s="153">
        <f t="shared" ref="BD13:BD17" si="20">BD4+BH4+BL4+BP4+BT4+BX4+CB4+CF4</f>
        <v>0</v>
      </c>
    </row>
    <row r="14" spans="1:84" s="137" customFormat="1" x14ac:dyDescent="0.25">
      <c r="A14" s="154" t="s">
        <v>66</v>
      </c>
      <c r="B14" s="47"/>
      <c r="C14" s="47"/>
      <c r="D14" s="48"/>
      <c r="E14" s="48"/>
      <c r="F14" s="48"/>
      <c r="G14" s="49"/>
      <c r="H14" s="50">
        <f>H6+H8+H9+H13</f>
        <v>3470736</v>
      </c>
      <c r="I14" s="51" t="e">
        <f>I6+I8+I9+#REF!+I13</f>
        <v>#REF!</v>
      </c>
      <c r="J14" s="51">
        <f>J6+J8+J9+J12+J13</f>
        <v>-117041</v>
      </c>
      <c r="K14" s="51">
        <f>K6+K8+K9+K12+K13</f>
        <v>0</v>
      </c>
      <c r="L14" s="51">
        <f t="shared" ref="L14:W14" si="21">L6+L8+L9+L12+L13</f>
        <v>0</v>
      </c>
      <c r="M14" s="51">
        <f t="shared" si="21"/>
        <v>0</v>
      </c>
      <c r="N14" s="51">
        <f t="shared" si="21"/>
        <v>0</v>
      </c>
      <c r="O14" s="51">
        <f t="shared" si="21"/>
        <v>-69185.40692564784</v>
      </c>
      <c r="P14" s="51">
        <f t="shared" si="21"/>
        <v>-112482.63371128659</v>
      </c>
      <c r="Q14" s="51">
        <f t="shared" si="21"/>
        <v>-158084.20579357567</v>
      </c>
      <c r="R14" s="51">
        <f t="shared" si="21"/>
        <v>-206136.74591670022</v>
      </c>
      <c r="S14" s="51">
        <f t="shared" si="21"/>
        <v>-248467.09017815802</v>
      </c>
      <c r="T14" s="51">
        <f t="shared" si="21"/>
        <v>-305508.44177750766</v>
      </c>
      <c r="U14" s="51">
        <f t="shared" si="21"/>
        <v>-342466.68196306704</v>
      </c>
      <c r="V14" s="51">
        <f t="shared" si="21"/>
        <v>-383785.08352979523</v>
      </c>
      <c r="W14" s="51">
        <f t="shared" si="21"/>
        <v>-436848.85185394657</v>
      </c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36"/>
      <c r="AV14" s="136"/>
      <c r="AW14" s="37"/>
      <c r="AX14" s="37"/>
      <c r="AY14" s="37"/>
      <c r="AZ14" s="104" t="s">
        <v>312</v>
      </c>
      <c r="BA14" s="153">
        <f t="shared" si="19"/>
        <v>87085</v>
      </c>
      <c r="BB14" s="153">
        <f t="shared" si="19"/>
        <v>104526</v>
      </c>
      <c r="BC14" s="153">
        <f t="shared" si="19"/>
        <v>100665</v>
      </c>
      <c r="BD14" s="153">
        <f t="shared" si="20"/>
        <v>104682</v>
      </c>
    </row>
    <row r="15" spans="1:84" s="137" customFormat="1" x14ac:dyDescent="0.25">
      <c r="A15" s="141"/>
      <c r="B15" s="140"/>
      <c r="C15" s="140"/>
      <c r="D15" s="41"/>
      <c r="E15" s="41"/>
      <c r="F15" s="41"/>
      <c r="G15" s="141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36"/>
      <c r="AV15" s="136"/>
      <c r="AW15" s="37"/>
      <c r="AX15" s="37"/>
      <c r="AY15" s="37"/>
      <c r="AZ15" s="139" t="s">
        <v>313</v>
      </c>
      <c r="BA15" s="153">
        <f t="shared" si="19"/>
        <v>43228</v>
      </c>
      <c r="BB15" s="153">
        <f t="shared" si="19"/>
        <v>50691</v>
      </c>
      <c r="BC15" s="153">
        <f t="shared" si="19"/>
        <v>52434</v>
      </c>
      <c r="BD15" s="153">
        <f t="shared" si="20"/>
        <v>52506</v>
      </c>
    </row>
    <row r="16" spans="1:84" s="137" customFormat="1" x14ac:dyDescent="0.25">
      <c r="A16" s="146" t="s">
        <v>67</v>
      </c>
      <c r="B16" s="147"/>
      <c r="C16" s="147"/>
      <c r="D16" s="45"/>
      <c r="E16" s="45"/>
      <c r="F16" s="45"/>
      <c r="G16" s="146"/>
      <c r="H16" s="148">
        <f>SUMIF($E:$E,"NYTT",H:H)-H17-H13</f>
        <v>0</v>
      </c>
      <c r="I16" s="148">
        <f>SUMIF($E:$E,"NYTT",I:I)-I17-I13</f>
        <v>0</v>
      </c>
      <c r="J16" s="148">
        <f t="shared" ref="J16:W16" si="22">SUMIF($E:$E,"NYTT",J:J)-J17-J13-J12</f>
        <v>0</v>
      </c>
      <c r="K16" s="148">
        <f t="shared" si="22"/>
        <v>0</v>
      </c>
      <c r="L16" s="148">
        <f t="shared" si="22"/>
        <v>0</v>
      </c>
      <c r="M16" s="148">
        <f t="shared" si="22"/>
        <v>0</v>
      </c>
      <c r="N16" s="148">
        <f t="shared" si="22"/>
        <v>0</v>
      </c>
      <c r="O16" s="148">
        <f t="shared" si="22"/>
        <v>0</v>
      </c>
      <c r="P16" s="148">
        <f t="shared" si="22"/>
        <v>0</v>
      </c>
      <c r="Q16" s="148">
        <f t="shared" si="22"/>
        <v>0</v>
      </c>
      <c r="R16" s="148">
        <f t="shared" si="22"/>
        <v>0</v>
      </c>
      <c r="S16" s="148">
        <f t="shared" si="22"/>
        <v>0</v>
      </c>
      <c r="T16" s="148">
        <f t="shared" si="22"/>
        <v>0</v>
      </c>
      <c r="U16" s="148">
        <f t="shared" si="22"/>
        <v>0</v>
      </c>
      <c r="V16" s="148">
        <f t="shared" si="22"/>
        <v>0</v>
      </c>
      <c r="W16" s="148">
        <f t="shared" si="22"/>
        <v>0</v>
      </c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36"/>
      <c r="AV16" s="136"/>
      <c r="AW16" s="37"/>
      <c r="AX16" s="37"/>
      <c r="AY16" s="37"/>
      <c r="AZ16" s="139" t="s">
        <v>314</v>
      </c>
      <c r="BA16" s="153">
        <f t="shared" si="19"/>
        <v>0</v>
      </c>
      <c r="BB16" s="153">
        <f t="shared" si="19"/>
        <v>0</v>
      </c>
      <c r="BC16" s="153">
        <f t="shared" si="19"/>
        <v>0</v>
      </c>
      <c r="BD16" s="153">
        <f t="shared" si="20"/>
        <v>0</v>
      </c>
    </row>
    <row r="17" spans="1:89" s="137" customFormat="1" x14ac:dyDescent="0.25">
      <c r="A17" s="52" t="s">
        <v>68</v>
      </c>
      <c r="B17" s="147"/>
      <c r="C17" s="53"/>
      <c r="D17" s="45"/>
      <c r="E17" s="45"/>
      <c r="F17" s="45"/>
      <c r="G17" s="146"/>
      <c r="H17" s="54">
        <f t="shared" ref="H17:W17" si="23">SUMIFS(H:H,$E:$E,"NYTT",$F:$F,"IKKE PRI")</f>
        <v>0</v>
      </c>
      <c r="I17" s="54">
        <f t="shared" si="23"/>
        <v>0</v>
      </c>
      <c r="J17" s="54">
        <f t="shared" si="23"/>
        <v>0</v>
      </c>
      <c r="K17" s="54">
        <f t="shared" si="23"/>
        <v>0</v>
      </c>
      <c r="L17" s="54">
        <f t="shared" si="23"/>
        <v>0</v>
      </c>
      <c r="M17" s="54">
        <f t="shared" si="23"/>
        <v>0</v>
      </c>
      <c r="N17" s="54">
        <f t="shared" si="23"/>
        <v>0</v>
      </c>
      <c r="O17" s="54">
        <f t="shared" si="23"/>
        <v>0</v>
      </c>
      <c r="P17" s="54">
        <f t="shared" si="23"/>
        <v>0</v>
      </c>
      <c r="Q17" s="54">
        <f t="shared" si="23"/>
        <v>0</v>
      </c>
      <c r="R17" s="54">
        <f t="shared" si="23"/>
        <v>0</v>
      </c>
      <c r="S17" s="54">
        <f t="shared" si="23"/>
        <v>0</v>
      </c>
      <c r="T17" s="54">
        <f t="shared" si="23"/>
        <v>0</v>
      </c>
      <c r="U17" s="54">
        <f t="shared" si="23"/>
        <v>0</v>
      </c>
      <c r="V17" s="54">
        <f t="shared" si="23"/>
        <v>0</v>
      </c>
      <c r="W17" s="54">
        <f t="shared" si="23"/>
        <v>0</v>
      </c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36"/>
      <c r="AV17" s="136"/>
      <c r="AW17" s="37"/>
      <c r="AX17" s="37"/>
      <c r="AY17" s="37"/>
      <c r="AZ17" s="136" t="s">
        <v>315</v>
      </c>
      <c r="BA17" s="153">
        <f t="shared" si="19"/>
        <v>130313</v>
      </c>
      <c r="BB17" s="153">
        <f t="shared" si="19"/>
        <v>155217</v>
      </c>
      <c r="BC17" s="153">
        <f t="shared" si="19"/>
        <v>153099</v>
      </c>
      <c r="BD17" s="153">
        <f t="shared" si="20"/>
        <v>157188</v>
      </c>
    </row>
    <row r="18" spans="1:89" s="137" customFormat="1" x14ac:dyDescent="0.25">
      <c r="A18" s="52"/>
      <c r="B18" s="147"/>
      <c r="C18" s="53"/>
      <c r="D18" s="45"/>
      <c r="E18" s="45"/>
      <c r="F18" s="45"/>
      <c r="G18" s="146"/>
      <c r="H18" s="55">
        <f>(H8+H9+H13+H16+H17)-SUMIF($B:$B,"X",H:H)</f>
        <v>0</v>
      </c>
      <c r="I18" s="55">
        <f>(I8+I9+I13+I16+I17)-SUMIF($B:$B,"X",I:I)</f>
        <v>-169545.14</v>
      </c>
      <c r="J18" s="55">
        <f t="shared" ref="J18:W18" si="24">(J8+J9+J13+J16+J17+J12)-SUMIF($B:$B,"X",J:J)</f>
        <v>-147778</v>
      </c>
      <c r="K18" s="55">
        <f t="shared" si="24"/>
        <v>0</v>
      </c>
      <c r="L18" s="55">
        <f t="shared" si="24"/>
        <v>0</v>
      </c>
      <c r="M18" s="55">
        <f t="shared" si="24"/>
        <v>0</v>
      </c>
      <c r="N18" s="55">
        <f t="shared" si="24"/>
        <v>0</v>
      </c>
      <c r="O18" s="55">
        <f t="shared" si="24"/>
        <v>0</v>
      </c>
      <c r="P18" s="55">
        <f t="shared" si="24"/>
        <v>0</v>
      </c>
      <c r="Q18" s="55">
        <f t="shared" si="24"/>
        <v>0</v>
      </c>
      <c r="R18" s="55">
        <f t="shared" si="24"/>
        <v>0</v>
      </c>
      <c r="S18" s="55">
        <f t="shared" si="24"/>
        <v>0</v>
      </c>
      <c r="T18" s="55">
        <f t="shared" si="24"/>
        <v>0</v>
      </c>
      <c r="U18" s="55">
        <f t="shared" si="24"/>
        <v>0</v>
      </c>
      <c r="V18" s="55">
        <f t="shared" si="24"/>
        <v>0</v>
      </c>
      <c r="W18" s="55">
        <f t="shared" si="24"/>
        <v>0</v>
      </c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36"/>
      <c r="AV18" s="136"/>
      <c r="AW18" s="37"/>
      <c r="AX18" s="37"/>
      <c r="AY18" s="37"/>
      <c r="AZ18" s="136"/>
    </row>
    <row r="19" spans="1:89" s="2" customFormat="1" x14ac:dyDescent="0.25">
      <c r="A19" s="56" t="s">
        <v>379</v>
      </c>
      <c r="B19" s="57"/>
      <c r="C19" s="38"/>
      <c r="D19" s="58"/>
      <c r="E19" s="58"/>
      <c r="F19" s="58"/>
      <c r="G19" s="40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36"/>
      <c r="AV19" s="136"/>
      <c r="AW19" s="37"/>
      <c r="AX19" s="37"/>
      <c r="AY19" s="37"/>
      <c r="AZ19" s="136"/>
      <c r="BA19" s="137"/>
      <c r="BB19" s="137"/>
      <c r="BC19" s="137"/>
    </row>
    <row r="20" spans="1:89" s="137" customFormat="1" x14ac:dyDescent="0.25">
      <c r="A20" s="60"/>
      <c r="B20" s="135"/>
      <c r="C20" s="61"/>
      <c r="D20" s="37"/>
      <c r="E20" s="37"/>
      <c r="F20" s="37"/>
      <c r="G20" s="136"/>
      <c r="H20" s="62">
        <f>H8+H9+H13</f>
        <v>-300</v>
      </c>
      <c r="I20" s="62">
        <f>I8+I9+I13</f>
        <v>1540</v>
      </c>
      <c r="J20" s="62">
        <f>J8+J9+J13+J12</f>
        <v>26445</v>
      </c>
      <c r="K20" s="62">
        <f>K8+K9+K13+K12</f>
        <v>156767</v>
      </c>
      <c r="L20" s="62">
        <f t="shared" ref="L20:W20" si="25">L8+L9+L13+L12</f>
        <v>244109</v>
      </c>
      <c r="M20" s="62">
        <f t="shared" si="25"/>
        <v>289307</v>
      </c>
      <c r="N20" s="62">
        <f t="shared" si="25"/>
        <v>332695</v>
      </c>
      <c r="O20" s="62">
        <f t="shared" si="25"/>
        <v>300858.28130289039</v>
      </c>
      <c r="P20" s="62">
        <f t="shared" si="25"/>
        <v>298997.64366443106</v>
      </c>
      <c r="Q20" s="62">
        <f t="shared" si="25"/>
        <v>296251.98309847782</v>
      </c>
      <c r="R20" s="62">
        <f t="shared" si="25"/>
        <v>294765.28734341607</v>
      </c>
      <c r="S20" s="62">
        <f t="shared" si="25"/>
        <v>301535.12856913643</v>
      </c>
      <c r="T20" s="62">
        <f t="shared" si="25"/>
        <v>293183.40625275025</v>
      </c>
      <c r="U20" s="62">
        <f t="shared" si="25"/>
        <v>295955.26861585345</v>
      </c>
      <c r="V20" s="62">
        <f t="shared" si="25"/>
        <v>302300.08681653091</v>
      </c>
      <c r="W20" s="62">
        <f t="shared" si="25"/>
        <v>300464.11520160793</v>
      </c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36"/>
      <c r="AV20" s="136"/>
      <c r="AW20" s="37"/>
      <c r="AX20" s="37"/>
      <c r="AY20" s="37"/>
      <c r="AZ20" s="136"/>
    </row>
    <row r="21" spans="1:89" s="64" customFormat="1" x14ac:dyDescent="0.25">
      <c r="A21" s="63"/>
      <c r="B21" s="135"/>
      <c r="C21" s="61"/>
      <c r="D21" s="37"/>
      <c r="E21" s="37"/>
      <c r="F21" s="37"/>
      <c r="G21" s="136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36"/>
      <c r="AV21" s="136"/>
      <c r="AW21" s="37"/>
      <c r="AX21" s="37"/>
      <c r="AY21" s="37"/>
      <c r="AZ21" s="136"/>
      <c r="BA21" s="137"/>
      <c r="BB21" s="137"/>
      <c r="BC21" s="137"/>
    </row>
    <row r="22" spans="1:89" s="137" customFormat="1" x14ac:dyDescent="0.25">
      <c r="A22" s="254" t="s">
        <v>69</v>
      </c>
      <c r="B22" s="255"/>
      <c r="C22" s="256"/>
      <c r="D22" s="257"/>
      <c r="E22" s="257"/>
      <c r="F22" s="257"/>
      <c r="G22" s="195"/>
      <c r="H22" s="258"/>
      <c r="I22" s="258"/>
      <c r="J22" s="259">
        <f>J51</f>
        <v>70604</v>
      </c>
      <c r="K22" s="259">
        <v>91067</v>
      </c>
      <c r="L22" s="259">
        <v>51496</v>
      </c>
      <c r="M22" s="259">
        <v>125002</v>
      </c>
      <c r="N22" s="259">
        <v>147678</v>
      </c>
      <c r="O22" s="267">
        <v>156189.87341772151</v>
      </c>
      <c r="P22" s="267">
        <v>158658.22784810126</v>
      </c>
      <c r="Q22" s="267">
        <v>161088.60759493671</v>
      </c>
      <c r="R22" s="267">
        <v>163481.01265822782</v>
      </c>
      <c r="S22" s="267">
        <v>165949.36708860757</v>
      </c>
      <c r="T22" s="267">
        <v>168379.74683544305</v>
      </c>
      <c r="U22" s="267">
        <v>170430.37974683542</v>
      </c>
      <c r="V22" s="267">
        <v>172746.83544303797</v>
      </c>
      <c r="W22" s="267">
        <v>175139.24050632908</v>
      </c>
      <c r="X22" s="241" t="s">
        <v>489</v>
      </c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36"/>
      <c r="AV22" s="136"/>
      <c r="AW22" s="37"/>
      <c r="AX22" s="37"/>
      <c r="AY22" s="37"/>
      <c r="AZ22" s="136"/>
    </row>
    <row r="23" spans="1:89" s="11" customFormat="1" x14ac:dyDescent="0.25">
      <c r="A23" s="260" t="s">
        <v>70</v>
      </c>
      <c r="B23" s="261"/>
      <c r="C23" s="262"/>
      <c r="D23" s="263"/>
      <c r="E23" s="263"/>
      <c r="F23" s="263"/>
      <c r="G23" s="195"/>
      <c r="H23" s="258"/>
      <c r="I23" s="258"/>
      <c r="J23" s="259"/>
      <c r="K23" s="264">
        <f t="shared" ref="K23:W23" si="26">SUMIF($AX:$AX,"FOND",K:K)</f>
        <v>-32669</v>
      </c>
      <c r="L23" s="264">
        <f t="shared" si="26"/>
        <v>14130</v>
      </c>
      <c r="M23" s="264">
        <f t="shared" si="26"/>
        <v>24385</v>
      </c>
      <c r="N23" s="264">
        <f t="shared" si="26"/>
        <v>25501</v>
      </c>
      <c r="O23" s="264">
        <f t="shared" si="26"/>
        <v>0</v>
      </c>
      <c r="P23" s="264">
        <f t="shared" si="26"/>
        <v>0</v>
      </c>
      <c r="Q23" s="264">
        <f t="shared" si="26"/>
        <v>0</v>
      </c>
      <c r="R23" s="264">
        <f t="shared" si="26"/>
        <v>0</v>
      </c>
      <c r="S23" s="264">
        <f t="shared" si="26"/>
        <v>0</v>
      </c>
      <c r="T23" s="264">
        <f t="shared" si="26"/>
        <v>0</v>
      </c>
      <c r="U23" s="264">
        <f t="shared" si="26"/>
        <v>0</v>
      </c>
      <c r="V23" s="264">
        <f t="shared" si="26"/>
        <v>0</v>
      </c>
      <c r="W23" s="264">
        <f t="shared" si="26"/>
        <v>0</v>
      </c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155"/>
      <c r="AV23" s="155"/>
      <c r="AW23" s="156"/>
      <c r="AX23" s="156"/>
      <c r="AY23" s="156"/>
      <c r="AZ23" s="155"/>
      <c r="CG23" s="137"/>
      <c r="CH23" s="137"/>
      <c r="CI23" s="137"/>
      <c r="CJ23" s="137"/>
      <c r="CK23" s="137"/>
    </row>
    <row r="24" spans="1:89" s="137" customFormat="1" x14ac:dyDescent="0.25">
      <c r="A24" s="265" t="s">
        <v>71</v>
      </c>
      <c r="B24" s="255"/>
      <c r="C24" s="256"/>
      <c r="D24" s="257"/>
      <c r="E24" s="257"/>
      <c r="F24" s="257"/>
      <c r="G24" s="195"/>
      <c r="H24" s="258"/>
      <c r="I24" s="258"/>
      <c r="J24" s="259"/>
      <c r="K24" s="266">
        <f>SUBTOTAL(9,K22:K23)</f>
        <v>58398</v>
      </c>
      <c r="L24" s="266">
        <f t="shared" ref="L24:W24" si="27">SUBTOTAL(9,L22:L23)</f>
        <v>65626</v>
      </c>
      <c r="M24" s="266">
        <f t="shared" si="27"/>
        <v>149387</v>
      </c>
      <c r="N24" s="266">
        <f t="shared" si="27"/>
        <v>173179</v>
      </c>
      <c r="O24" s="266">
        <f t="shared" si="27"/>
        <v>156189.87341772151</v>
      </c>
      <c r="P24" s="266">
        <f t="shared" si="27"/>
        <v>158658.22784810126</v>
      </c>
      <c r="Q24" s="266">
        <f t="shared" si="27"/>
        <v>161088.60759493671</v>
      </c>
      <c r="R24" s="266">
        <f t="shared" si="27"/>
        <v>163481.01265822782</v>
      </c>
      <c r="S24" s="266">
        <f t="shared" si="27"/>
        <v>165949.36708860757</v>
      </c>
      <c r="T24" s="266">
        <f t="shared" si="27"/>
        <v>168379.74683544305</v>
      </c>
      <c r="U24" s="266">
        <f t="shared" si="27"/>
        <v>170430.37974683542</v>
      </c>
      <c r="V24" s="266">
        <f t="shared" si="27"/>
        <v>172746.83544303797</v>
      </c>
      <c r="W24" s="266">
        <f t="shared" si="27"/>
        <v>175139.24050632908</v>
      </c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36"/>
      <c r="AV24" s="136"/>
      <c r="AW24" s="37"/>
      <c r="AX24" s="37"/>
      <c r="AY24" s="37"/>
      <c r="AZ24" s="136"/>
    </row>
    <row r="25" spans="1:89" s="137" customFormat="1" x14ac:dyDescent="0.25">
      <c r="A25" s="136"/>
      <c r="B25" s="135"/>
      <c r="C25" s="135"/>
      <c r="D25" s="65"/>
      <c r="E25" s="65"/>
      <c r="F25" s="65"/>
      <c r="G25" s="136"/>
      <c r="H25" s="136"/>
      <c r="I25" s="157">
        <f>(I8+I9+I13+I16+I17)-SUMIF($B:$B,"X",I:I)</f>
        <v>-169545.14</v>
      </c>
      <c r="J25" s="157">
        <f t="shared" ref="J25:W25" si="28">(J8+J9+J13+J16+J17+J12)-SUMIF($B:$B,"X",J:J)</f>
        <v>-147778</v>
      </c>
      <c r="K25" s="157">
        <f t="shared" si="28"/>
        <v>0</v>
      </c>
      <c r="L25" s="157">
        <f t="shared" si="28"/>
        <v>0</v>
      </c>
      <c r="M25" s="157">
        <f t="shared" si="28"/>
        <v>0</v>
      </c>
      <c r="N25" s="157">
        <f t="shared" si="28"/>
        <v>0</v>
      </c>
      <c r="O25" s="157">
        <f t="shared" si="28"/>
        <v>0</v>
      </c>
      <c r="P25" s="157">
        <f t="shared" si="28"/>
        <v>0</v>
      </c>
      <c r="Q25" s="157">
        <f t="shared" si="28"/>
        <v>0</v>
      </c>
      <c r="R25" s="157">
        <f t="shared" si="28"/>
        <v>0</v>
      </c>
      <c r="S25" s="157">
        <f t="shared" si="28"/>
        <v>0</v>
      </c>
      <c r="T25" s="157">
        <f t="shared" si="28"/>
        <v>0</v>
      </c>
      <c r="U25" s="157">
        <f t="shared" si="28"/>
        <v>0</v>
      </c>
      <c r="V25" s="157">
        <f t="shared" si="28"/>
        <v>0</v>
      </c>
      <c r="W25" s="157">
        <f t="shared" si="28"/>
        <v>0</v>
      </c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36"/>
      <c r="AV25" s="136"/>
      <c r="AW25" s="37"/>
      <c r="AX25" s="37"/>
      <c r="AY25" s="37"/>
      <c r="AZ25" s="136"/>
    </row>
    <row r="26" spans="1:89" s="137" customFormat="1" ht="30" x14ac:dyDescent="0.25">
      <c r="A26" s="66" t="s">
        <v>72</v>
      </c>
      <c r="B26" s="67" t="s">
        <v>73</v>
      </c>
      <c r="C26" s="68" t="s">
        <v>74</v>
      </c>
      <c r="D26" s="69"/>
      <c r="E26" s="69" t="s">
        <v>75</v>
      </c>
      <c r="F26" s="70" t="s">
        <v>76</v>
      </c>
      <c r="G26" s="67" t="s">
        <v>77</v>
      </c>
      <c r="H26" s="66">
        <v>2015</v>
      </c>
      <c r="I26" s="66">
        <v>2016</v>
      </c>
      <c r="J26" s="66">
        <v>2017</v>
      </c>
      <c r="K26" s="66">
        <v>2018</v>
      </c>
      <c r="L26" s="66">
        <v>2019</v>
      </c>
      <c r="M26" s="66">
        <v>2020</v>
      </c>
      <c r="N26" s="66">
        <v>2021</v>
      </c>
      <c r="O26" s="66">
        <v>2022</v>
      </c>
      <c r="P26" s="66">
        <v>2023</v>
      </c>
      <c r="Q26" s="66">
        <v>2024</v>
      </c>
      <c r="R26" s="66">
        <v>2025</v>
      </c>
      <c r="S26" s="66">
        <v>2026</v>
      </c>
      <c r="T26" s="66">
        <v>2027</v>
      </c>
      <c r="U26" s="66">
        <v>2028</v>
      </c>
      <c r="V26" s="66">
        <v>2029</v>
      </c>
      <c r="W26" s="66">
        <v>2030</v>
      </c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136" t="s">
        <v>317</v>
      </c>
      <c r="AV26" s="136" t="s">
        <v>318</v>
      </c>
      <c r="AW26" s="37"/>
      <c r="AX26" s="37"/>
      <c r="AY26" s="37"/>
      <c r="AZ26" s="136"/>
    </row>
    <row r="27" spans="1:89" s="137" customFormat="1" ht="18.75" customHeight="1" x14ac:dyDescent="0.25">
      <c r="A27" s="71"/>
      <c r="B27" s="144"/>
      <c r="C27" s="72"/>
      <c r="D27" s="43"/>
      <c r="E27" s="43"/>
      <c r="F27" s="73"/>
      <c r="G27" s="14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36"/>
      <c r="AV27" s="136"/>
      <c r="AW27" s="136"/>
      <c r="AX27" s="136"/>
      <c r="AY27" s="136"/>
      <c r="AZ27" s="136"/>
    </row>
    <row r="28" spans="1:89" s="137" customFormat="1" ht="18.75" customHeight="1" x14ac:dyDescent="0.25">
      <c r="A28" s="146"/>
      <c r="B28" s="158"/>
      <c r="C28" s="75" t="s">
        <v>78</v>
      </c>
      <c r="D28" s="76"/>
      <c r="E28" s="76"/>
      <c r="F28" s="77"/>
      <c r="G28" s="78"/>
      <c r="H28" s="159"/>
      <c r="I28" s="148"/>
      <c r="J28" s="79"/>
      <c r="K28" s="79"/>
      <c r="L28" s="79"/>
      <c r="M28" s="79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0"/>
      <c r="AV28" s="160"/>
      <c r="AW28" s="161"/>
      <c r="AX28" s="162">
        <f>K29+K30</f>
        <v>-4007000</v>
      </c>
      <c r="AY28" s="162">
        <f>L29+L30</f>
        <v>-4047000</v>
      </c>
      <c r="AZ28" s="162">
        <f>M29+M30</f>
        <v>-4099000</v>
      </c>
      <c r="BA28" s="162">
        <f>N29+N30</f>
        <v>-4163000</v>
      </c>
      <c r="BB28" s="162">
        <f>O29+O30</f>
        <v>-4218000</v>
      </c>
    </row>
    <row r="29" spans="1:89" s="137" customFormat="1" ht="18.75" customHeight="1" x14ac:dyDescent="0.25">
      <c r="A29" s="80" t="s">
        <v>79</v>
      </c>
      <c r="B29" s="90" t="str">
        <f t="shared" ref="B29:B59" si="29">IF(AV29,AU29&amp;AV29,"")</f>
        <v>I1</v>
      </c>
      <c r="C29" s="85" t="s">
        <v>319</v>
      </c>
      <c r="D29" s="86">
        <v>1870</v>
      </c>
      <c r="E29" s="86" t="s">
        <v>79</v>
      </c>
      <c r="F29" s="87"/>
      <c r="G29" s="165"/>
      <c r="H29" s="165"/>
      <c r="I29" s="82">
        <v>-2275000</v>
      </c>
      <c r="J29" s="82">
        <v>-2319000</v>
      </c>
      <c r="K29" s="84">
        <v>-2335000</v>
      </c>
      <c r="L29" s="84">
        <v>-2390000</v>
      </c>
      <c r="M29" s="84">
        <v>-2447000</v>
      </c>
      <c r="N29" s="84">
        <v>-2508000</v>
      </c>
      <c r="O29" s="82">
        <v>-2545000</v>
      </c>
      <c r="P29" s="82">
        <v>-2583000</v>
      </c>
      <c r="Q29" s="82">
        <v>-2620000</v>
      </c>
      <c r="R29" s="82">
        <v>-2657000</v>
      </c>
      <c r="S29" s="82">
        <v>-2695000</v>
      </c>
      <c r="T29" s="82">
        <v>-2732000</v>
      </c>
      <c r="U29" s="82">
        <v>-2762000</v>
      </c>
      <c r="V29" s="82">
        <v>-2799000</v>
      </c>
      <c r="W29" s="82">
        <v>-2836000</v>
      </c>
      <c r="X29" s="213" t="s">
        <v>464</v>
      </c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136" t="s">
        <v>320</v>
      </c>
      <c r="AV29" s="136">
        <v>1</v>
      </c>
      <c r="AW29" s="163"/>
      <c r="AX29" s="164"/>
      <c r="AY29" s="164"/>
      <c r="AZ29" s="136"/>
    </row>
    <row r="30" spans="1:89" s="137" customFormat="1" ht="18.75" customHeight="1" x14ac:dyDescent="0.25">
      <c r="A30" s="80" t="s">
        <v>79</v>
      </c>
      <c r="B30" s="90" t="str">
        <f t="shared" si="29"/>
        <v>I2</v>
      </c>
      <c r="C30" s="85" t="s">
        <v>321</v>
      </c>
      <c r="D30" s="86">
        <v>1800</v>
      </c>
      <c r="E30" s="86" t="s">
        <v>79</v>
      </c>
      <c r="F30" s="87"/>
      <c r="G30" s="165"/>
      <c r="H30" s="165"/>
      <c r="I30" s="82">
        <f>-1447000-8000</f>
        <v>-1455000</v>
      </c>
      <c r="J30" s="82">
        <v>-1537634</v>
      </c>
      <c r="K30" s="84">
        <v>-1672000</v>
      </c>
      <c r="L30" s="84">
        <v>-1657000</v>
      </c>
      <c r="M30" s="84">
        <v>-1652000</v>
      </c>
      <c r="N30" s="84">
        <v>-1655000</v>
      </c>
      <c r="O30" s="82">
        <v>-1673000</v>
      </c>
      <c r="P30" s="82">
        <v>-1700000</v>
      </c>
      <c r="Q30" s="82">
        <v>-1727000</v>
      </c>
      <c r="R30" s="82">
        <v>-1753000</v>
      </c>
      <c r="S30" s="82">
        <v>-1780000</v>
      </c>
      <c r="T30" s="82">
        <v>-1807000</v>
      </c>
      <c r="U30" s="82">
        <v>-1831000</v>
      </c>
      <c r="V30" s="82">
        <v>-1855000</v>
      </c>
      <c r="W30" s="82">
        <v>-1881000</v>
      </c>
      <c r="X30" s="213" t="s">
        <v>464</v>
      </c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136" t="s">
        <v>320</v>
      </c>
      <c r="AV30" s="136">
        <f t="shared" ref="AV30:AV60" si="30">AV29+1</f>
        <v>2</v>
      </c>
      <c r="AW30" s="163"/>
      <c r="AX30" s="164"/>
      <c r="AY30" s="164"/>
      <c r="AZ30" s="136"/>
    </row>
    <row r="31" spans="1:89" s="137" customFormat="1" ht="18.75" customHeight="1" x14ac:dyDescent="0.25">
      <c r="A31" s="80" t="s">
        <v>79</v>
      </c>
      <c r="B31" s="90" t="str">
        <f t="shared" si="29"/>
        <v>I3</v>
      </c>
      <c r="C31" s="85" t="s">
        <v>80</v>
      </c>
      <c r="D31" s="86">
        <v>1874</v>
      </c>
      <c r="E31" s="86" t="s">
        <v>79</v>
      </c>
      <c r="F31" s="87"/>
      <c r="G31" s="165"/>
      <c r="H31" s="165"/>
      <c r="I31" s="82"/>
      <c r="J31" s="82"/>
      <c r="K31" s="82"/>
      <c r="L31" s="82"/>
      <c r="M31" s="82">
        <v>-105000</v>
      </c>
      <c r="N31" s="82">
        <v>-105000</v>
      </c>
      <c r="O31" s="82">
        <f>N31</f>
        <v>-105000</v>
      </c>
      <c r="P31" s="82">
        <f t="shared" ref="P31:W31" si="31">O31</f>
        <v>-105000</v>
      </c>
      <c r="Q31" s="82">
        <f t="shared" si="31"/>
        <v>-105000</v>
      </c>
      <c r="R31" s="82">
        <f t="shared" si="31"/>
        <v>-105000</v>
      </c>
      <c r="S31" s="82">
        <f t="shared" si="31"/>
        <v>-105000</v>
      </c>
      <c r="T31" s="82">
        <f t="shared" si="31"/>
        <v>-105000</v>
      </c>
      <c r="U31" s="82">
        <f t="shared" si="31"/>
        <v>-105000</v>
      </c>
      <c r="V31" s="82">
        <f t="shared" si="31"/>
        <v>-105000</v>
      </c>
      <c r="W31" s="82">
        <f t="shared" si="31"/>
        <v>-105000</v>
      </c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136" t="s">
        <v>320</v>
      </c>
      <c r="AV31" s="136">
        <f t="shared" si="30"/>
        <v>3</v>
      </c>
      <c r="AW31" s="163"/>
      <c r="AX31" s="164"/>
      <c r="AY31" s="164"/>
      <c r="AZ31" s="136"/>
    </row>
    <row r="32" spans="1:89" s="137" customFormat="1" ht="18.75" customHeight="1" x14ac:dyDescent="0.25">
      <c r="A32" s="80" t="s">
        <v>79</v>
      </c>
      <c r="B32" s="90" t="str">
        <f t="shared" si="29"/>
        <v>I4</v>
      </c>
      <c r="C32" s="85" t="s">
        <v>81</v>
      </c>
      <c r="D32" s="86">
        <v>1270</v>
      </c>
      <c r="E32" s="86" t="s">
        <v>79</v>
      </c>
      <c r="F32" s="87"/>
      <c r="G32" s="165"/>
      <c r="H32" s="165"/>
      <c r="I32" s="82"/>
      <c r="J32" s="82">
        <v>0</v>
      </c>
      <c r="K32" s="82">
        <v>5000</v>
      </c>
      <c r="L32" s="82">
        <v>5000</v>
      </c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136" t="s">
        <v>320</v>
      </c>
      <c r="AV32" s="136">
        <f t="shared" si="30"/>
        <v>4</v>
      </c>
      <c r="AW32" s="163"/>
      <c r="AX32" s="164"/>
      <c r="AY32" s="164"/>
      <c r="AZ32" s="136"/>
    </row>
    <row r="33" spans="1:55" s="137" customFormat="1" ht="25.5" x14ac:dyDescent="0.25">
      <c r="A33" s="80" t="s">
        <v>79</v>
      </c>
      <c r="B33" s="90" t="str">
        <f t="shared" si="29"/>
        <v>I5</v>
      </c>
      <c r="C33" s="85" t="s">
        <v>82</v>
      </c>
      <c r="D33" s="86">
        <v>1940</v>
      </c>
      <c r="E33" s="86" t="s">
        <v>79</v>
      </c>
      <c r="F33" s="87"/>
      <c r="G33" s="165"/>
      <c r="H33" s="165"/>
      <c r="I33" s="82"/>
      <c r="J33" s="82">
        <v>0</v>
      </c>
      <c r="K33" s="82">
        <v>-5000</v>
      </c>
      <c r="L33" s="82">
        <v>-5000</v>
      </c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136" t="s">
        <v>320</v>
      </c>
      <c r="AV33" s="136">
        <f t="shared" si="30"/>
        <v>5</v>
      </c>
      <c r="AW33" s="163"/>
      <c r="AX33" s="164" t="s">
        <v>322</v>
      </c>
      <c r="AY33" s="164"/>
      <c r="AZ33" s="136"/>
    </row>
    <row r="34" spans="1:55" s="137" customFormat="1" ht="25.5" x14ac:dyDescent="0.25">
      <c r="A34" s="80" t="s">
        <v>79</v>
      </c>
      <c r="B34" s="90" t="str">
        <f t="shared" si="29"/>
        <v>I6</v>
      </c>
      <c r="C34" s="85" t="s">
        <v>83</v>
      </c>
      <c r="D34" s="86">
        <v>1810</v>
      </c>
      <c r="E34" s="86" t="s">
        <v>79</v>
      </c>
      <c r="F34" s="87"/>
      <c r="G34" s="165"/>
      <c r="H34" s="165"/>
      <c r="I34" s="82">
        <v>-16678</v>
      </c>
      <c r="J34" s="84">
        <v>-12630</v>
      </c>
      <c r="K34" s="84">
        <v>-11311</v>
      </c>
      <c r="L34" s="84">
        <v>-11356</v>
      </c>
      <c r="M34" s="84">
        <v>-11669</v>
      </c>
      <c r="N34" s="84">
        <v>-11689</v>
      </c>
      <c r="O34" s="84">
        <f>N34</f>
        <v>-11689</v>
      </c>
      <c r="P34" s="84">
        <f t="shared" ref="P34:W37" si="32">O34</f>
        <v>-11689</v>
      </c>
      <c r="Q34" s="84">
        <f t="shared" si="32"/>
        <v>-11689</v>
      </c>
      <c r="R34" s="84">
        <f t="shared" si="32"/>
        <v>-11689</v>
      </c>
      <c r="S34" s="84">
        <f t="shared" si="32"/>
        <v>-11689</v>
      </c>
      <c r="T34" s="84">
        <f t="shared" si="32"/>
        <v>-11689</v>
      </c>
      <c r="U34" s="84">
        <f t="shared" si="32"/>
        <v>-11689</v>
      </c>
      <c r="V34" s="84">
        <f t="shared" si="32"/>
        <v>-11689</v>
      </c>
      <c r="W34" s="84">
        <f t="shared" si="32"/>
        <v>-11689</v>
      </c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136" t="s">
        <v>320</v>
      </c>
      <c r="AV34" s="136">
        <f t="shared" si="30"/>
        <v>6</v>
      </c>
      <c r="AW34" s="163"/>
      <c r="AX34" s="163"/>
      <c r="AY34" s="163"/>
      <c r="AZ34" s="136"/>
    </row>
    <row r="35" spans="1:55" s="137" customFormat="1" ht="18.75" customHeight="1" x14ac:dyDescent="0.25">
      <c r="A35" s="80" t="s">
        <v>79</v>
      </c>
      <c r="B35" s="90" t="str">
        <f t="shared" si="29"/>
        <v>I7</v>
      </c>
      <c r="C35" s="85" t="s">
        <v>84</v>
      </c>
      <c r="D35" s="86">
        <v>1812</v>
      </c>
      <c r="E35" s="86" t="s">
        <v>79</v>
      </c>
      <c r="F35" s="87"/>
      <c r="G35" s="165"/>
      <c r="H35" s="165"/>
      <c r="I35" s="82">
        <v>-64178</v>
      </c>
      <c r="J35" s="82">
        <v>-100500</v>
      </c>
      <c r="K35" s="84">
        <f>-97500-29000+9000-2600</f>
        <v>-120100</v>
      </c>
      <c r="L35" s="84">
        <f>-97500-21800+8500-2600</f>
        <v>-113400</v>
      </c>
      <c r="M35" s="84">
        <f>-97500-6000-2600</f>
        <v>-106100</v>
      </c>
      <c r="N35" s="84">
        <f>-97500-3000-2600</f>
        <v>-103100</v>
      </c>
      <c r="O35" s="84">
        <f>N35</f>
        <v>-103100</v>
      </c>
      <c r="P35" s="84">
        <f t="shared" si="32"/>
        <v>-103100</v>
      </c>
      <c r="Q35" s="84">
        <f t="shared" si="32"/>
        <v>-103100</v>
      </c>
      <c r="R35" s="84">
        <f t="shared" si="32"/>
        <v>-103100</v>
      </c>
      <c r="S35" s="84">
        <f t="shared" si="32"/>
        <v>-103100</v>
      </c>
      <c r="T35" s="84">
        <f t="shared" si="32"/>
        <v>-103100</v>
      </c>
      <c r="U35" s="84">
        <f t="shared" si="32"/>
        <v>-103100</v>
      </c>
      <c r="V35" s="84">
        <f t="shared" si="32"/>
        <v>-103100</v>
      </c>
      <c r="W35" s="84">
        <f t="shared" si="32"/>
        <v>-103100</v>
      </c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136" t="s">
        <v>320</v>
      </c>
      <c r="AV35" s="136">
        <f t="shared" si="30"/>
        <v>7</v>
      </c>
      <c r="AW35" s="163"/>
      <c r="AX35" s="163"/>
      <c r="AY35" s="163"/>
      <c r="AZ35" s="136"/>
    </row>
    <row r="36" spans="1:55" s="137" customFormat="1" x14ac:dyDescent="0.25">
      <c r="A36" s="80" t="s">
        <v>79</v>
      </c>
      <c r="B36" s="90" t="str">
        <f t="shared" si="29"/>
        <v>I8</v>
      </c>
      <c r="C36" s="85" t="s">
        <v>85</v>
      </c>
      <c r="D36" s="86">
        <v>1500</v>
      </c>
      <c r="E36" s="86" t="s">
        <v>79</v>
      </c>
      <c r="F36" s="87"/>
      <c r="G36" s="165"/>
      <c r="H36" s="165"/>
      <c r="I36" s="82">
        <v>78424</v>
      </c>
      <c r="J36" s="84">
        <v>101523</v>
      </c>
      <c r="K36" s="84">
        <v>91256</v>
      </c>
      <c r="L36" s="84">
        <v>105030</v>
      </c>
      <c r="M36" s="84">
        <v>122082</v>
      </c>
      <c r="N36" s="84">
        <v>133326</v>
      </c>
      <c r="O36" s="84">
        <v>139950.7919600087</v>
      </c>
      <c r="P36" s="84">
        <v>151636.88946511937</v>
      </c>
      <c r="Q36" s="84">
        <v>162443.66485424089</v>
      </c>
      <c r="R36" s="84">
        <v>171127.57515534616</v>
      </c>
      <c r="S36" s="84">
        <v>179399.25429514219</v>
      </c>
      <c r="T36" s="84">
        <v>187233.15655898573</v>
      </c>
      <c r="U36" s="84">
        <v>194527.22927020828</v>
      </c>
      <c r="V36" s="84">
        <v>200953.86012133962</v>
      </c>
      <c r="W36" s="84">
        <v>206218.82567621741</v>
      </c>
      <c r="X36" s="213" t="s">
        <v>465</v>
      </c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136" t="s">
        <v>320</v>
      </c>
      <c r="AV36" s="136">
        <f t="shared" si="30"/>
        <v>8</v>
      </c>
      <c r="AW36" s="163"/>
      <c r="AX36" s="163"/>
      <c r="AY36" s="163"/>
      <c r="AZ36" s="142"/>
      <c r="BA36" s="166"/>
      <c r="BB36" s="166"/>
      <c r="BC36" s="166"/>
    </row>
    <row r="37" spans="1:55" s="137" customFormat="1" ht="18.75" customHeight="1" x14ac:dyDescent="0.25">
      <c r="A37" s="80" t="s">
        <v>79</v>
      </c>
      <c r="B37" s="90" t="str">
        <f t="shared" si="29"/>
        <v>I9</v>
      </c>
      <c r="C37" s="88" t="s">
        <v>86</v>
      </c>
      <c r="D37" s="86">
        <v>1500</v>
      </c>
      <c r="E37" s="86" t="s">
        <v>79</v>
      </c>
      <c r="F37" s="87"/>
      <c r="G37" s="165"/>
      <c r="H37" s="165"/>
      <c r="I37" s="82"/>
      <c r="J37" s="84"/>
      <c r="K37" s="89">
        <v>-10000</v>
      </c>
      <c r="L37" s="89">
        <v>-10000</v>
      </c>
      <c r="M37" s="89">
        <v>-10000</v>
      </c>
      <c r="N37" s="89">
        <v>-10000</v>
      </c>
      <c r="O37" s="84">
        <f>N37</f>
        <v>-10000</v>
      </c>
      <c r="P37" s="84">
        <f t="shared" si="32"/>
        <v>-10000</v>
      </c>
      <c r="Q37" s="84">
        <f t="shared" si="32"/>
        <v>-10000</v>
      </c>
      <c r="R37" s="84">
        <f t="shared" si="32"/>
        <v>-10000</v>
      </c>
      <c r="S37" s="84">
        <f t="shared" si="32"/>
        <v>-10000</v>
      </c>
      <c r="T37" s="84">
        <f t="shared" si="32"/>
        <v>-10000</v>
      </c>
      <c r="U37" s="84">
        <f t="shared" si="32"/>
        <v>-10000</v>
      </c>
      <c r="V37" s="84">
        <f t="shared" si="32"/>
        <v>-10000</v>
      </c>
      <c r="W37" s="84">
        <f t="shared" si="32"/>
        <v>-10000</v>
      </c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136" t="s">
        <v>320</v>
      </c>
      <c r="AV37" s="136">
        <f t="shared" si="30"/>
        <v>9</v>
      </c>
      <c r="AW37" s="163"/>
      <c r="AX37" s="163"/>
      <c r="AY37" s="163"/>
      <c r="AZ37" s="142"/>
      <c r="BA37" s="166"/>
      <c r="BB37" s="166"/>
      <c r="BC37" s="166"/>
    </row>
    <row r="38" spans="1:55" s="137" customFormat="1" x14ac:dyDescent="0.25">
      <c r="A38" s="80" t="s">
        <v>79</v>
      </c>
      <c r="B38" s="90" t="str">
        <f t="shared" si="29"/>
        <v>I10</v>
      </c>
      <c r="C38" s="85" t="s">
        <v>87</v>
      </c>
      <c r="D38" s="86">
        <v>1510</v>
      </c>
      <c r="E38" s="86" t="s">
        <v>79</v>
      </c>
      <c r="F38" s="87"/>
      <c r="G38" s="165"/>
      <c r="H38" s="165"/>
      <c r="I38" s="82">
        <v>192312</v>
      </c>
      <c r="J38" s="84">
        <v>209953</v>
      </c>
      <c r="K38" s="84">
        <v>225266</v>
      </c>
      <c r="L38" s="84">
        <v>251805</v>
      </c>
      <c r="M38" s="84">
        <v>266839</v>
      </c>
      <c r="N38" s="84">
        <v>273769</v>
      </c>
      <c r="O38" s="84">
        <v>282199.27972706576</v>
      </c>
      <c r="P38" s="84">
        <v>297428.43364439462</v>
      </c>
      <c r="Q38" s="84">
        <v>311060.10865876992</v>
      </c>
      <c r="R38" s="84">
        <v>322047.23725964315</v>
      </c>
      <c r="S38" s="84">
        <v>332740.8532022885</v>
      </c>
      <c r="T38" s="84">
        <v>343225.32357531361</v>
      </c>
      <c r="U38" s="84">
        <v>353493.44373736822</v>
      </c>
      <c r="V38" s="84">
        <v>363334.61242262955</v>
      </c>
      <c r="W38" s="84">
        <v>372601.46676189936</v>
      </c>
      <c r="X38" s="213" t="s">
        <v>466</v>
      </c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136" t="s">
        <v>320</v>
      </c>
      <c r="AV38" s="136">
        <f t="shared" si="30"/>
        <v>10</v>
      </c>
      <c r="AW38" s="163"/>
      <c r="AX38" s="163"/>
      <c r="AY38" s="163"/>
      <c r="AZ38" s="164"/>
      <c r="BA38" s="167"/>
      <c r="BB38" s="167"/>
      <c r="BC38" s="166"/>
    </row>
    <row r="39" spans="1:55" s="137" customFormat="1" ht="18.75" customHeight="1" x14ac:dyDescent="0.25">
      <c r="A39" s="80" t="s">
        <v>79</v>
      </c>
      <c r="B39" s="90" t="str">
        <f t="shared" si="29"/>
        <v>I11</v>
      </c>
      <c r="C39" s="85" t="s">
        <v>88</v>
      </c>
      <c r="D39" s="86">
        <v>1900</v>
      </c>
      <c r="E39" s="86" t="s">
        <v>79</v>
      </c>
      <c r="F39" s="87"/>
      <c r="G39" s="165"/>
      <c r="H39" s="165"/>
      <c r="I39" s="82">
        <v>-10400</v>
      </c>
      <c r="J39" s="82">
        <v>-14800</v>
      </c>
      <c r="K39" s="82">
        <v>-14443</v>
      </c>
      <c r="L39" s="82">
        <v>-16681</v>
      </c>
      <c r="M39" s="82">
        <v>-20732</v>
      </c>
      <c r="N39" s="82">
        <v>-24250</v>
      </c>
      <c r="O39" s="84">
        <v>-26382</v>
      </c>
      <c r="P39" s="84">
        <v>-28514</v>
      </c>
      <c r="Q39" s="84">
        <v>-30646</v>
      </c>
      <c r="R39" s="84">
        <v>-32778</v>
      </c>
      <c r="S39" s="84">
        <v>-34910</v>
      </c>
      <c r="T39" s="84">
        <v>-37042</v>
      </c>
      <c r="U39" s="84">
        <v>-39174</v>
      </c>
      <c r="V39" s="84">
        <v>-41306</v>
      </c>
      <c r="W39" s="84">
        <v>-43437.999999999993</v>
      </c>
      <c r="X39" s="213" t="s">
        <v>467</v>
      </c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136" t="s">
        <v>320</v>
      </c>
      <c r="AV39" s="136">
        <f t="shared" si="30"/>
        <v>11</v>
      </c>
      <c r="AW39" s="163"/>
      <c r="AX39" s="163"/>
      <c r="AY39" s="163"/>
      <c r="AZ39" s="168"/>
      <c r="BA39" s="168"/>
      <c r="BB39" s="168"/>
      <c r="BC39" s="168"/>
    </row>
    <row r="40" spans="1:55" s="137" customFormat="1" ht="18.75" customHeight="1" x14ac:dyDescent="0.25">
      <c r="A40" s="80" t="s">
        <v>79</v>
      </c>
      <c r="B40" s="90" t="str">
        <f t="shared" si="29"/>
        <v>I12</v>
      </c>
      <c r="C40" s="85" t="s">
        <v>89</v>
      </c>
      <c r="D40" s="86">
        <v>1906</v>
      </c>
      <c r="E40" s="86" t="s">
        <v>79</v>
      </c>
      <c r="F40" s="87"/>
      <c r="G40" s="165"/>
      <c r="H40" s="165"/>
      <c r="I40" s="82"/>
      <c r="J40" s="82"/>
      <c r="K40" s="82">
        <v>-2200</v>
      </c>
      <c r="L40" s="82">
        <v>-5000</v>
      </c>
      <c r="M40" s="82">
        <v>-5000</v>
      </c>
      <c r="N40" s="82">
        <v>-5000</v>
      </c>
      <c r="O40" s="84">
        <f>N40</f>
        <v>-5000</v>
      </c>
      <c r="P40" s="84">
        <f t="shared" ref="P40:W40" si="33">O40</f>
        <v>-5000</v>
      </c>
      <c r="Q40" s="84">
        <f t="shared" si="33"/>
        <v>-5000</v>
      </c>
      <c r="R40" s="84">
        <f t="shared" si="33"/>
        <v>-5000</v>
      </c>
      <c r="S40" s="84">
        <f t="shared" si="33"/>
        <v>-5000</v>
      </c>
      <c r="T40" s="84">
        <f t="shared" si="33"/>
        <v>-5000</v>
      </c>
      <c r="U40" s="84">
        <f t="shared" si="33"/>
        <v>-5000</v>
      </c>
      <c r="V40" s="84">
        <f t="shared" si="33"/>
        <v>-5000</v>
      </c>
      <c r="W40" s="84">
        <f t="shared" si="33"/>
        <v>-5000</v>
      </c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136" t="s">
        <v>320</v>
      </c>
      <c r="AV40" s="136">
        <f t="shared" si="30"/>
        <v>12</v>
      </c>
      <c r="AW40" s="163"/>
      <c r="AX40" s="163"/>
      <c r="AY40" s="163"/>
      <c r="AZ40" s="168"/>
      <c r="BA40" s="168"/>
      <c r="BB40" s="168"/>
      <c r="BC40" s="168"/>
    </row>
    <row r="41" spans="1:55" s="137" customFormat="1" ht="18.75" customHeight="1" x14ac:dyDescent="0.25">
      <c r="A41" s="80" t="s">
        <v>79</v>
      </c>
      <c r="B41" s="90" t="str">
        <f t="shared" si="29"/>
        <v>I13</v>
      </c>
      <c r="C41" s="85" t="s">
        <v>90</v>
      </c>
      <c r="D41" s="86">
        <v>1900</v>
      </c>
      <c r="E41" s="86" t="s">
        <v>79</v>
      </c>
      <c r="F41" s="87"/>
      <c r="G41" s="165"/>
      <c r="H41" s="165"/>
      <c r="I41" s="82">
        <v>-17039</v>
      </c>
      <c r="J41" s="82">
        <v>-16231</v>
      </c>
      <c r="K41" s="82">
        <v>-18189</v>
      </c>
      <c r="L41" s="82">
        <v>-21031</v>
      </c>
      <c r="M41" s="82">
        <v>-25640</v>
      </c>
      <c r="N41" s="82">
        <v>-29615</v>
      </c>
      <c r="O41" s="84">
        <v>-31953.650000000005</v>
      </c>
      <c r="P41" s="84">
        <v>-34002.350000000013</v>
      </c>
      <c r="Q41" s="84">
        <v>-35701.050000000017</v>
      </c>
      <c r="R41" s="84">
        <v>-36989.750000000007</v>
      </c>
      <c r="S41" s="84">
        <v>-37808.450000000012</v>
      </c>
      <c r="T41" s="84">
        <v>-38097.150000000016</v>
      </c>
      <c r="U41" s="84">
        <v>-37795.850000000013</v>
      </c>
      <c r="V41" s="84">
        <v>-36844.550000000017</v>
      </c>
      <c r="W41" s="84">
        <v>-35183.250000000015</v>
      </c>
      <c r="X41" s="213" t="s">
        <v>490</v>
      </c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136" t="s">
        <v>320</v>
      </c>
      <c r="AV41" s="136">
        <f t="shared" si="30"/>
        <v>13</v>
      </c>
      <c r="AW41" s="163"/>
      <c r="AX41" s="163"/>
      <c r="AY41" s="163"/>
      <c r="AZ41" s="163"/>
      <c r="BA41" s="169"/>
      <c r="BB41" s="169"/>
    </row>
    <row r="42" spans="1:55" s="137" customFormat="1" ht="18.75" customHeight="1" x14ac:dyDescent="0.25">
      <c r="A42" s="80" t="s">
        <v>79</v>
      </c>
      <c r="B42" s="90" t="str">
        <f t="shared" si="29"/>
        <v>I14</v>
      </c>
      <c r="C42" s="85" t="s">
        <v>91</v>
      </c>
      <c r="D42" s="86">
        <v>1500</v>
      </c>
      <c r="E42" s="86" t="s">
        <v>79</v>
      </c>
      <c r="F42" s="87"/>
      <c r="G42" s="165"/>
      <c r="H42" s="165"/>
      <c r="I42" s="82">
        <v>17039</v>
      </c>
      <c r="J42" s="82">
        <v>16231</v>
      </c>
      <c r="K42" s="82">
        <v>18189</v>
      </c>
      <c r="L42" s="82">
        <v>21031</v>
      </c>
      <c r="M42" s="82">
        <v>25640</v>
      </c>
      <c r="N42" s="82">
        <v>29615</v>
      </c>
      <c r="O42" s="84">
        <v>31953.650000000005</v>
      </c>
      <c r="P42" s="84">
        <v>34002.350000000013</v>
      </c>
      <c r="Q42" s="84">
        <v>35701.050000000017</v>
      </c>
      <c r="R42" s="84">
        <v>36989.750000000007</v>
      </c>
      <c r="S42" s="84">
        <v>37808.450000000012</v>
      </c>
      <c r="T42" s="84">
        <v>38097.150000000016</v>
      </c>
      <c r="U42" s="84">
        <v>37795.850000000013</v>
      </c>
      <c r="V42" s="84">
        <v>36844.550000000017</v>
      </c>
      <c r="W42" s="84">
        <v>35183.250000000015</v>
      </c>
      <c r="X42" s="213" t="s">
        <v>491</v>
      </c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136" t="s">
        <v>320</v>
      </c>
      <c r="AV42" s="136">
        <f t="shared" si="30"/>
        <v>14</v>
      </c>
      <c r="AW42" s="163"/>
      <c r="AX42" s="163"/>
      <c r="AY42" s="163"/>
      <c r="AZ42" s="163"/>
      <c r="BA42" s="169"/>
      <c r="BB42" s="169"/>
    </row>
    <row r="43" spans="1:55" s="137" customFormat="1" ht="18.75" customHeight="1" x14ac:dyDescent="0.25">
      <c r="A43" s="80" t="s">
        <v>79</v>
      </c>
      <c r="B43" s="90" t="str">
        <f t="shared" si="29"/>
        <v>I15</v>
      </c>
      <c r="C43" s="85" t="s">
        <v>92</v>
      </c>
      <c r="D43" s="86">
        <v>1903</v>
      </c>
      <c r="E43" s="86" t="s">
        <v>79</v>
      </c>
      <c r="F43" s="87"/>
      <c r="G43" s="165"/>
      <c r="H43" s="165"/>
      <c r="I43" s="82">
        <v>-12885</v>
      </c>
      <c r="J43" s="82">
        <v>-12021</v>
      </c>
      <c r="K43" s="82">
        <v>-11671</v>
      </c>
      <c r="L43" s="82">
        <v>-11919</v>
      </c>
      <c r="M43" s="82">
        <v>-12707</v>
      </c>
      <c r="N43" s="82">
        <v>-13173</v>
      </c>
      <c r="O43" s="84">
        <v>-13085.1</v>
      </c>
      <c r="P43" s="84">
        <v>-12919.094999999998</v>
      </c>
      <c r="Q43" s="84">
        <v>-12674.97</v>
      </c>
      <c r="R43" s="84">
        <v>-12352.724999999999</v>
      </c>
      <c r="S43" s="84">
        <v>-11952.36</v>
      </c>
      <c r="T43" s="84">
        <v>-11473.875</v>
      </c>
      <c r="U43" s="84">
        <v>-10917.27</v>
      </c>
      <c r="V43" s="84">
        <v>-10282.545000000002</v>
      </c>
      <c r="W43" s="84">
        <v>-9569.6999999999989</v>
      </c>
      <c r="X43" s="213" t="s">
        <v>468</v>
      </c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136" t="s">
        <v>320</v>
      </c>
      <c r="AV43" s="136">
        <f t="shared" si="30"/>
        <v>15</v>
      </c>
      <c r="AW43" s="169"/>
      <c r="AX43" s="169"/>
      <c r="AY43" s="169"/>
      <c r="AZ43" s="169"/>
      <c r="BA43" s="169"/>
      <c r="BB43" s="169"/>
    </row>
    <row r="44" spans="1:55" s="137" customFormat="1" ht="15.75" customHeight="1" x14ac:dyDescent="0.25">
      <c r="A44" s="80" t="s">
        <v>79</v>
      </c>
      <c r="B44" s="90" t="str">
        <f t="shared" si="29"/>
        <v>I16</v>
      </c>
      <c r="C44" s="85" t="s">
        <v>93</v>
      </c>
      <c r="D44" s="86">
        <v>1905</v>
      </c>
      <c r="E44" s="86" t="s">
        <v>79</v>
      </c>
      <c r="F44" s="87"/>
      <c r="G44" s="165"/>
      <c r="H44" s="165"/>
      <c r="I44" s="82">
        <v>-83003</v>
      </c>
      <c r="J44" s="82">
        <v>-93749</v>
      </c>
      <c r="K44" s="82">
        <v>-97655</v>
      </c>
      <c r="L44" s="82">
        <v>-107421</v>
      </c>
      <c r="M44" s="82">
        <v>-112303</v>
      </c>
      <c r="N44" s="84">
        <v>-117186</v>
      </c>
      <c r="O44" s="84">
        <v>-121092.20000000001</v>
      </c>
      <c r="P44" s="84">
        <v>-124998.40000000001</v>
      </c>
      <c r="Q44" s="84">
        <v>-128904.6</v>
      </c>
      <c r="R44" s="84">
        <v>-132810.80000000002</v>
      </c>
      <c r="S44" s="84">
        <v>-136717</v>
      </c>
      <c r="T44" s="84">
        <v>-140623.20000000001</v>
      </c>
      <c r="U44" s="84">
        <v>-144529.4</v>
      </c>
      <c r="V44" s="84">
        <v>-148435.6</v>
      </c>
      <c r="W44" s="84">
        <v>-152341.80000000002</v>
      </c>
      <c r="X44" s="213" t="s">
        <v>469</v>
      </c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136" t="s">
        <v>320</v>
      </c>
      <c r="AV44" s="136">
        <f t="shared" si="30"/>
        <v>16</v>
      </c>
      <c r="AW44" s="136"/>
      <c r="AX44" s="136"/>
      <c r="AY44" s="136"/>
      <c r="AZ44" s="136"/>
    </row>
    <row r="45" spans="1:55" s="137" customFormat="1" x14ac:dyDescent="0.25">
      <c r="A45" s="80" t="s">
        <v>79</v>
      </c>
      <c r="B45" s="90" t="str">
        <f t="shared" si="29"/>
        <v>I17</v>
      </c>
      <c r="C45" s="85" t="s">
        <v>94</v>
      </c>
      <c r="D45" s="86">
        <v>1905</v>
      </c>
      <c r="E45" s="86" t="s">
        <v>79</v>
      </c>
      <c r="F45" s="87"/>
      <c r="G45" s="165"/>
      <c r="H45" s="165"/>
      <c r="I45" s="82">
        <v>-1820</v>
      </c>
      <c r="J45" s="84">
        <v>-1070</v>
      </c>
      <c r="K45" s="84">
        <v>-1785</v>
      </c>
      <c r="L45" s="84">
        <v>-1785</v>
      </c>
      <c r="M45" s="84">
        <v>-1785</v>
      </c>
      <c r="N45" s="84">
        <v>-1785</v>
      </c>
      <c r="O45" s="84">
        <f>N45</f>
        <v>-1785</v>
      </c>
      <c r="P45" s="84">
        <f t="shared" ref="P45:W46" si="34">O45</f>
        <v>-1785</v>
      </c>
      <c r="Q45" s="84">
        <f t="shared" si="34"/>
        <v>-1785</v>
      </c>
      <c r="R45" s="84">
        <f t="shared" si="34"/>
        <v>-1785</v>
      </c>
      <c r="S45" s="84">
        <f t="shared" si="34"/>
        <v>-1785</v>
      </c>
      <c r="T45" s="84">
        <f t="shared" si="34"/>
        <v>-1785</v>
      </c>
      <c r="U45" s="84">
        <f t="shared" si="34"/>
        <v>-1785</v>
      </c>
      <c r="V45" s="84">
        <f t="shared" si="34"/>
        <v>-1785</v>
      </c>
      <c r="W45" s="84">
        <f t="shared" si="34"/>
        <v>-1785</v>
      </c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136" t="s">
        <v>320</v>
      </c>
      <c r="AV45" s="136">
        <f t="shared" si="30"/>
        <v>17</v>
      </c>
      <c r="AW45" s="136"/>
      <c r="AX45" s="136"/>
      <c r="AY45" s="136"/>
      <c r="AZ45" s="136"/>
    </row>
    <row r="46" spans="1:55" s="137" customFormat="1" x14ac:dyDescent="0.25">
      <c r="A46" s="80" t="s">
        <v>79</v>
      </c>
      <c r="B46" s="90" t="str">
        <f t="shared" si="29"/>
        <v>I18</v>
      </c>
      <c r="C46" s="85" t="s">
        <v>95</v>
      </c>
      <c r="D46" s="86">
        <v>1905</v>
      </c>
      <c r="E46" s="86" t="s">
        <v>79</v>
      </c>
      <c r="F46" s="87"/>
      <c r="G46" s="165"/>
      <c r="H46" s="165"/>
      <c r="I46" s="82"/>
      <c r="J46" s="84">
        <v>-1000</v>
      </c>
      <c r="K46" s="84">
        <v>-1000</v>
      </c>
      <c r="L46" s="84">
        <v>-1000</v>
      </c>
      <c r="M46" s="84">
        <v>-1000</v>
      </c>
      <c r="N46" s="84">
        <v>-1000</v>
      </c>
      <c r="O46" s="84">
        <f>N46</f>
        <v>-1000</v>
      </c>
      <c r="P46" s="84">
        <f t="shared" si="34"/>
        <v>-1000</v>
      </c>
      <c r="Q46" s="84">
        <f t="shared" si="34"/>
        <v>-1000</v>
      </c>
      <c r="R46" s="84">
        <f t="shared" si="34"/>
        <v>-1000</v>
      </c>
      <c r="S46" s="84">
        <f t="shared" si="34"/>
        <v>-1000</v>
      </c>
      <c r="T46" s="84">
        <f t="shared" si="34"/>
        <v>-1000</v>
      </c>
      <c r="U46" s="84">
        <f t="shared" si="34"/>
        <v>-1000</v>
      </c>
      <c r="V46" s="84">
        <f t="shared" si="34"/>
        <v>-1000</v>
      </c>
      <c r="W46" s="84">
        <f t="shared" si="34"/>
        <v>-1000</v>
      </c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136" t="s">
        <v>320</v>
      </c>
      <c r="AV46" s="136">
        <f t="shared" si="30"/>
        <v>18</v>
      </c>
      <c r="AW46" s="136"/>
      <c r="AX46" s="136"/>
      <c r="AY46" s="136"/>
      <c r="AZ46" s="136"/>
    </row>
    <row r="47" spans="1:55" s="137" customFormat="1" ht="25.5" x14ac:dyDescent="0.25">
      <c r="A47" s="80" t="s">
        <v>79</v>
      </c>
      <c r="B47" s="90" t="str">
        <f t="shared" si="29"/>
        <v>I19</v>
      </c>
      <c r="C47" s="85" t="s">
        <v>96</v>
      </c>
      <c r="D47" s="86">
        <v>1880</v>
      </c>
      <c r="E47" s="86" t="s">
        <v>79</v>
      </c>
      <c r="F47" s="87"/>
      <c r="G47" s="165"/>
      <c r="H47" s="165"/>
      <c r="I47" s="82"/>
      <c r="J47" s="82"/>
      <c r="K47" s="82"/>
      <c r="L47" s="82">
        <v>-17700</v>
      </c>
      <c r="M47" s="82">
        <v>-2300</v>
      </c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136" t="s">
        <v>320</v>
      </c>
      <c r="AV47" s="136">
        <f t="shared" si="30"/>
        <v>19</v>
      </c>
      <c r="AW47" s="136"/>
      <c r="AX47" s="136"/>
      <c r="AY47" s="136"/>
      <c r="AZ47" s="136"/>
    </row>
    <row r="48" spans="1:55" s="137" customFormat="1" ht="18.75" customHeight="1" x14ac:dyDescent="0.25">
      <c r="A48" s="80" t="s">
        <v>79</v>
      </c>
      <c r="B48" s="90" t="str">
        <f t="shared" si="29"/>
        <v>I20</v>
      </c>
      <c r="C48" s="85" t="s">
        <v>97</v>
      </c>
      <c r="D48" s="86">
        <v>1880</v>
      </c>
      <c r="E48" s="86" t="s">
        <v>79</v>
      </c>
      <c r="F48" s="87"/>
      <c r="G48" s="165"/>
      <c r="H48" s="165"/>
      <c r="I48" s="82"/>
      <c r="J48" s="82"/>
      <c r="K48" s="82">
        <v>-15000</v>
      </c>
      <c r="L48" s="82">
        <v>-25000</v>
      </c>
      <c r="M48" s="82">
        <v>-5000</v>
      </c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136" t="s">
        <v>320</v>
      </c>
      <c r="AV48" s="136">
        <f t="shared" si="30"/>
        <v>20</v>
      </c>
      <c r="AW48" s="136"/>
      <c r="AX48" s="136"/>
      <c r="AY48" s="136"/>
      <c r="AZ48" s="136"/>
    </row>
    <row r="49" spans="1:90" s="137" customFormat="1" ht="18.75" customHeight="1" x14ac:dyDescent="0.25">
      <c r="A49" s="80" t="s">
        <v>79</v>
      </c>
      <c r="B49" s="90" t="str">
        <f t="shared" si="29"/>
        <v>I21</v>
      </c>
      <c r="C49" s="85" t="s">
        <v>98</v>
      </c>
      <c r="D49" s="86">
        <v>1910</v>
      </c>
      <c r="E49" s="86" t="s">
        <v>79</v>
      </c>
      <c r="F49" s="87"/>
      <c r="G49" s="165"/>
      <c r="H49" s="165"/>
      <c r="I49" s="82">
        <v>-4394.0000000000009</v>
      </c>
      <c r="J49" s="82">
        <v>-4149</v>
      </c>
      <c r="K49" s="82">
        <v>-4035</v>
      </c>
      <c r="L49" s="82">
        <v>-4076</v>
      </c>
      <c r="M49" s="82">
        <v>-4261</v>
      </c>
      <c r="N49" s="82">
        <v>-4368</v>
      </c>
      <c r="O49" s="84">
        <v>-4333.3333333333358</v>
      </c>
      <c r="P49" s="84">
        <v>-4281.3333333333358</v>
      </c>
      <c r="Q49" s="84">
        <v>-4212.0000000000018</v>
      </c>
      <c r="R49" s="84">
        <v>-4125.3333333333348</v>
      </c>
      <c r="S49" s="84">
        <v>-4021.3333333333353</v>
      </c>
      <c r="T49" s="84">
        <v>-3900.0000000000023</v>
      </c>
      <c r="U49" s="84">
        <v>-3761.3333333333353</v>
      </c>
      <c r="V49" s="84">
        <v>-3605.3333333333353</v>
      </c>
      <c r="W49" s="84">
        <v>-3432.0000000000018</v>
      </c>
      <c r="X49" s="213" t="s">
        <v>470</v>
      </c>
      <c r="Y49" s="213"/>
      <c r="Z49" s="213"/>
      <c r="AA49" s="213"/>
      <c r="AB49" s="66" t="s">
        <v>471</v>
      </c>
      <c r="AC49" s="66">
        <v>2018</v>
      </c>
      <c r="AD49" s="66">
        <v>2019</v>
      </c>
      <c r="AE49" s="66">
        <v>2020</v>
      </c>
      <c r="AF49" s="66">
        <v>2021</v>
      </c>
      <c r="AG49" s="66">
        <v>2022</v>
      </c>
      <c r="AH49" s="66">
        <v>2023</v>
      </c>
      <c r="AI49" s="66">
        <v>2024</v>
      </c>
      <c r="AJ49" s="66">
        <v>2025</v>
      </c>
      <c r="AK49" s="66">
        <v>2026</v>
      </c>
      <c r="AL49" s="66">
        <v>2027</v>
      </c>
      <c r="AM49" s="66">
        <v>2028</v>
      </c>
      <c r="AN49" s="66">
        <v>2029</v>
      </c>
      <c r="AO49" s="66">
        <v>2030</v>
      </c>
      <c r="AP49" s="213"/>
      <c r="AQ49" s="213"/>
      <c r="AR49" s="213"/>
      <c r="AS49" s="213"/>
      <c r="AT49" s="213"/>
      <c r="AU49" s="136" t="s">
        <v>320</v>
      </c>
      <c r="AV49" s="136">
        <f t="shared" si="30"/>
        <v>21</v>
      </c>
      <c r="AW49" s="136"/>
      <c r="AX49" s="136"/>
      <c r="AY49" s="136"/>
      <c r="AZ49" s="136"/>
    </row>
    <row r="50" spans="1:90" s="137" customFormat="1" ht="18.75" customHeight="1" x14ac:dyDescent="0.25">
      <c r="A50" s="80" t="s">
        <v>79</v>
      </c>
      <c r="B50" s="90" t="str">
        <f t="shared" si="29"/>
        <v>I22</v>
      </c>
      <c r="C50" s="85" t="s">
        <v>99</v>
      </c>
      <c r="D50" s="86">
        <v>1880</v>
      </c>
      <c r="E50" s="86" t="s">
        <v>79</v>
      </c>
      <c r="F50" s="87"/>
      <c r="G50" s="165"/>
      <c r="H50" s="165"/>
      <c r="I50" s="82">
        <v>-1100</v>
      </c>
      <c r="J50" s="82">
        <v>-1100</v>
      </c>
      <c r="K50" s="82">
        <v>-1100</v>
      </c>
      <c r="L50" s="82">
        <v>-1100</v>
      </c>
      <c r="M50" s="82">
        <v>-1100</v>
      </c>
      <c r="N50" s="82">
        <v>-1100</v>
      </c>
      <c r="O50" s="84">
        <f>N50</f>
        <v>-1100</v>
      </c>
      <c r="P50" s="84">
        <f t="shared" ref="P50:W50" si="35">O50</f>
        <v>-1100</v>
      </c>
      <c r="Q50" s="84">
        <f t="shared" si="35"/>
        <v>-1100</v>
      </c>
      <c r="R50" s="84">
        <f t="shared" si="35"/>
        <v>-1100</v>
      </c>
      <c r="S50" s="84">
        <f t="shared" si="35"/>
        <v>-1100</v>
      </c>
      <c r="T50" s="84">
        <f t="shared" si="35"/>
        <v>-1100</v>
      </c>
      <c r="U50" s="84">
        <f t="shared" si="35"/>
        <v>-1100</v>
      </c>
      <c r="V50" s="84">
        <f t="shared" si="35"/>
        <v>-1100</v>
      </c>
      <c r="W50" s="84">
        <f t="shared" si="35"/>
        <v>-1100</v>
      </c>
      <c r="X50" s="213"/>
      <c r="Y50" s="213"/>
      <c r="Z50" s="213"/>
      <c r="AA50" s="213"/>
      <c r="AB50" s="2" t="s">
        <v>100</v>
      </c>
      <c r="AC50" s="4">
        <f>-(K39+K40+K41+K43+K44+K45+K46+K49+K57)</f>
        <v>273331</v>
      </c>
      <c r="AD50" s="4">
        <f>-(L39+L40+L41+L43+L44+L45+L46+L49+L57)</f>
        <v>314315</v>
      </c>
      <c r="AE50" s="4">
        <f>-(M39+M40+M41+M43+M44+M45+M46+M49+M57)</f>
        <v>340085</v>
      </c>
      <c r="AF50" s="4">
        <f>-(N39+N40+N41+N43+N44+N45+N46+N49+N57)</f>
        <v>362403</v>
      </c>
      <c r="AG50" s="4">
        <f>-(O39+O40+O41+O43+O44+O45+O46+O49+O57)</f>
        <v>370657.28333333333</v>
      </c>
      <c r="AH50" s="4">
        <f t="shared" ref="AH50:AO50" si="36">-(P39+P40+P41+P43+P44+P45+P46+P49+P57)</f>
        <v>378526.17833333334</v>
      </c>
      <c r="AI50" s="4">
        <f t="shared" si="36"/>
        <v>385949.62</v>
      </c>
      <c r="AJ50" s="4">
        <f t="shared" si="36"/>
        <v>392867.6083333334</v>
      </c>
      <c r="AK50" s="4">
        <f t="shared" si="36"/>
        <v>399220.14333333331</v>
      </c>
      <c r="AL50" s="4">
        <f t="shared" si="36"/>
        <v>404947.22500000003</v>
      </c>
      <c r="AM50" s="4">
        <f t="shared" si="36"/>
        <v>409988.85333333339</v>
      </c>
      <c r="AN50" s="4">
        <f t="shared" si="36"/>
        <v>414285.02833333332</v>
      </c>
      <c r="AO50" s="4">
        <f t="shared" si="36"/>
        <v>417775.75</v>
      </c>
      <c r="AP50" s="213"/>
      <c r="AQ50" s="213"/>
      <c r="AR50" s="213"/>
      <c r="AS50" s="213"/>
      <c r="AT50" s="213"/>
      <c r="AU50" s="136" t="s">
        <v>320</v>
      </c>
      <c r="AV50" s="136">
        <f t="shared" si="30"/>
        <v>22</v>
      </c>
      <c r="AW50" s="170"/>
      <c r="AX50" s="136"/>
      <c r="AY50" s="136"/>
      <c r="AZ50" s="136"/>
    </row>
    <row r="51" spans="1:90" s="137" customFormat="1" ht="18.75" customHeight="1" x14ac:dyDescent="0.25">
      <c r="A51" s="269" t="s">
        <v>79</v>
      </c>
      <c r="B51" s="269" t="str">
        <f t="shared" si="29"/>
        <v>I23</v>
      </c>
      <c r="C51" s="270" t="s">
        <v>101</v>
      </c>
      <c r="D51" s="271">
        <v>1570</v>
      </c>
      <c r="E51" s="271" t="s">
        <v>79</v>
      </c>
      <c r="F51" s="272"/>
      <c r="G51" s="273"/>
      <c r="H51" s="273"/>
      <c r="I51" s="274">
        <f>22321-1218-3583-2000-1500-1000+406-10+1820+1820+27033+7000+5486-581-9-1-3000-29600-551-9-517-13+100+3-1501-37-1</f>
        <v>20858</v>
      </c>
      <c r="J51" s="274">
        <v>70604</v>
      </c>
      <c r="K51" s="275">
        <f>K22</f>
        <v>91067</v>
      </c>
      <c r="L51" s="275">
        <f>L22</f>
        <v>51496</v>
      </c>
      <c r="M51" s="275">
        <f>M22</f>
        <v>125002</v>
      </c>
      <c r="N51" s="275">
        <f>N22</f>
        <v>147678</v>
      </c>
      <c r="O51" s="268">
        <f>O22</f>
        <v>156189.87341772151</v>
      </c>
      <c r="P51" s="268">
        <f t="shared" ref="P51:V51" si="37">P22</f>
        <v>158658.22784810126</v>
      </c>
      <c r="Q51" s="268">
        <f t="shared" si="37"/>
        <v>161088.60759493671</v>
      </c>
      <c r="R51" s="268">
        <f t="shared" si="37"/>
        <v>163481.01265822782</v>
      </c>
      <c r="S51" s="268">
        <f t="shared" si="37"/>
        <v>165949.36708860757</v>
      </c>
      <c r="T51" s="268">
        <f t="shared" si="37"/>
        <v>168379.74683544305</v>
      </c>
      <c r="U51" s="268">
        <f t="shared" si="37"/>
        <v>170430.37974683542</v>
      </c>
      <c r="V51" s="268">
        <f t="shared" si="37"/>
        <v>172746.83544303797</v>
      </c>
      <c r="W51" s="268">
        <f>W22</f>
        <v>175139.24050632908</v>
      </c>
      <c r="X51" s="171"/>
      <c r="Y51" s="171"/>
      <c r="Z51" s="171"/>
      <c r="AA51" s="171"/>
      <c r="AB51" s="2" t="s">
        <v>102</v>
      </c>
      <c r="AC51" s="83">
        <f>K36+K37+K42</f>
        <v>99445</v>
      </c>
      <c r="AD51" s="83">
        <f t="shared" ref="AD51:AO51" si="38">L36+L37+L42</f>
        <v>116061</v>
      </c>
      <c r="AE51" s="83">
        <f t="shared" si="38"/>
        <v>137722</v>
      </c>
      <c r="AF51" s="83">
        <f t="shared" si="38"/>
        <v>152941</v>
      </c>
      <c r="AG51" s="83">
        <f t="shared" si="38"/>
        <v>161904.4419600087</v>
      </c>
      <c r="AH51" s="83">
        <f t="shared" si="38"/>
        <v>175639.23946511938</v>
      </c>
      <c r="AI51" s="83">
        <f t="shared" si="38"/>
        <v>188144.71485424091</v>
      </c>
      <c r="AJ51" s="83">
        <f t="shared" si="38"/>
        <v>198117.32515534616</v>
      </c>
      <c r="AK51" s="83">
        <f t="shared" si="38"/>
        <v>207207.7042951422</v>
      </c>
      <c r="AL51" s="83">
        <f t="shared" si="38"/>
        <v>215330.30655898576</v>
      </c>
      <c r="AM51" s="83">
        <f t="shared" si="38"/>
        <v>222323.07927020828</v>
      </c>
      <c r="AN51" s="83">
        <f t="shared" si="38"/>
        <v>227798.41012133964</v>
      </c>
      <c r="AO51" s="83">
        <f t="shared" si="38"/>
        <v>231402.07567621744</v>
      </c>
      <c r="AP51" s="171"/>
      <c r="AQ51" s="171"/>
      <c r="AR51" s="171"/>
      <c r="AS51" s="171"/>
      <c r="AT51" s="171"/>
      <c r="AU51" s="136" t="s">
        <v>320</v>
      </c>
      <c r="AV51" s="136">
        <f t="shared" si="30"/>
        <v>23</v>
      </c>
      <c r="AW51" s="136" t="s">
        <v>323</v>
      </c>
      <c r="AX51" s="136"/>
      <c r="AY51" s="136"/>
      <c r="AZ51" s="170">
        <v>73905</v>
      </c>
      <c r="BA51" s="137">
        <v>83548</v>
      </c>
      <c r="BB51" s="137">
        <v>79830</v>
      </c>
    </row>
    <row r="52" spans="1:90" s="137" customFormat="1" ht="18.75" customHeight="1" x14ac:dyDescent="0.25">
      <c r="A52" s="80" t="s">
        <v>79</v>
      </c>
      <c r="B52" s="80" t="str">
        <f t="shared" si="29"/>
        <v>I24</v>
      </c>
      <c r="C52" s="81" t="s">
        <v>103</v>
      </c>
      <c r="D52" s="76">
        <v>1590</v>
      </c>
      <c r="E52" s="76" t="s">
        <v>79</v>
      </c>
      <c r="F52" s="87"/>
      <c r="G52" s="165"/>
      <c r="H52" s="165"/>
      <c r="I52" s="82">
        <v>65000</v>
      </c>
      <c r="J52" s="82">
        <v>67000</v>
      </c>
      <c r="K52" s="82">
        <v>69000</v>
      </c>
      <c r="L52" s="82">
        <v>71000</v>
      </c>
      <c r="M52" s="82">
        <v>74000</v>
      </c>
      <c r="N52" s="82">
        <v>77000</v>
      </c>
      <c r="O52" s="84">
        <f t="shared" ref="O52:O58" si="39">N52</f>
        <v>77000</v>
      </c>
      <c r="P52" s="84">
        <f t="shared" ref="P52:W58" si="40">O52</f>
        <v>77000</v>
      </c>
      <c r="Q52" s="84">
        <f t="shared" si="40"/>
        <v>77000</v>
      </c>
      <c r="R52" s="84">
        <f t="shared" si="40"/>
        <v>77000</v>
      </c>
      <c r="S52" s="84">
        <f t="shared" si="40"/>
        <v>77000</v>
      </c>
      <c r="T52" s="84">
        <f t="shared" si="40"/>
        <v>77000</v>
      </c>
      <c r="U52" s="84">
        <f t="shared" si="40"/>
        <v>77000</v>
      </c>
      <c r="V52" s="84">
        <f t="shared" si="40"/>
        <v>77000</v>
      </c>
      <c r="W52" s="84">
        <f t="shared" si="40"/>
        <v>77000</v>
      </c>
      <c r="X52" s="213"/>
      <c r="Y52" s="213"/>
      <c r="Z52" s="213"/>
      <c r="AA52" s="213"/>
      <c r="AB52" s="2" t="s">
        <v>104</v>
      </c>
      <c r="AC52" s="83">
        <f>K38</f>
        <v>225266</v>
      </c>
      <c r="AD52" s="83">
        <f t="shared" ref="AD52:AO52" si="41">L38</f>
        <v>251805</v>
      </c>
      <c r="AE52" s="83">
        <f t="shared" si="41"/>
        <v>266839</v>
      </c>
      <c r="AF52" s="83">
        <f t="shared" si="41"/>
        <v>273769</v>
      </c>
      <c r="AG52" s="83">
        <f t="shared" si="41"/>
        <v>282199.27972706576</v>
      </c>
      <c r="AH52" s="83">
        <f t="shared" si="41"/>
        <v>297428.43364439462</v>
      </c>
      <c r="AI52" s="83">
        <f t="shared" si="41"/>
        <v>311060.10865876992</v>
      </c>
      <c r="AJ52" s="83">
        <f t="shared" si="41"/>
        <v>322047.23725964315</v>
      </c>
      <c r="AK52" s="83">
        <f t="shared" si="41"/>
        <v>332740.8532022885</v>
      </c>
      <c r="AL52" s="83">
        <f t="shared" si="41"/>
        <v>343225.32357531361</v>
      </c>
      <c r="AM52" s="83">
        <f t="shared" si="41"/>
        <v>353493.44373736822</v>
      </c>
      <c r="AN52" s="83">
        <f t="shared" si="41"/>
        <v>363334.61242262955</v>
      </c>
      <c r="AO52" s="83">
        <f t="shared" si="41"/>
        <v>372601.46676189936</v>
      </c>
      <c r="AP52" s="213"/>
      <c r="AQ52" s="213"/>
      <c r="AR52" s="213"/>
      <c r="AS52" s="213"/>
      <c r="AT52" s="213"/>
      <c r="AU52" s="136" t="s">
        <v>320</v>
      </c>
      <c r="AV52" s="136">
        <f t="shared" si="30"/>
        <v>24</v>
      </c>
      <c r="AW52" s="136"/>
      <c r="AX52" s="136"/>
      <c r="AY52" s="136"/>
      <c r="AZ52" s="136"/>
    </row>
    <row r="53" spans="1:90" s="137" customFormat="1" ht="18.75" customHeight="1" x14ac:dyDescent="0.25">
      <c r="A53" s="90" t="s">
        <v>79</v>
      </c>
      <c r="B53" s="90" t="str">
        <f t="shared" si="29"/>
        <v>I25</v>
      </c>
      <c r="C53" s="85" t="s">
        <v>105</v>
      </c>
      <c r="D53" s="86">
        <v>1990</v>
      </c>
      <c r="E53" s="86" t="s">
        <v>79</v>
      </c>
      <c r="F53" s="87"/>
      <c r="G53" s="165"/>
      <c r="H53" s="165"/>
      <c r="I53" s="82">
        <f>-I52</f>
        <v>-65000</v>
      </c>
      <c r="J53" s="82">
        <v>-67000</v>
      </c>
      <c r="K53" s="82">
        <v>-69000</v>
      </c>
      <c r="L53" s="82">
        <v>-71000</v>
      </c>
      <c r="M53" s="82">
        <v>-74000</v>
      </c>
      <c r="N53" s="82">
        <v>-77000</v>
      </c>
      <c r="O53" s="84">
        <f t="shared" si="39"/>
        <v>-77000</v>
      </c>
      <c r="P53" s="84">
        <f t="shared" si="40"/>
        <v>-77000</v>
      </c>
      <c r="Q53" s="84">
        <f t="shared" si="40"/>
        <v>-77000</v>
      </c>
      <c r="R53" s="84">
        <f t="shared" si="40"/>
        <v>-77000</v>
      </c>
      <c r="S53" s="84">
        <f t="shared" si="40"/>
        <v>-77000</v>
      </c>
      <c r="T53" s="84">
        <f t="shared" si="40"/>
        <v>-77000</v>
      </c>
      <c r="U53" s="84">
        <f t="shared" si="40"/>
        <v>-77000</v>
      </c>
      <c r="V53" s="84">
        <f t="shared" si="40"/>
        <v>-77000</v>
      </c>
      <c r="W53" s="84">
        <f t="shared" si="40"/>
        <v>-77000</v>
      </c>
      <c r="X53" s="213"/>
      <c r="Y53" s="213"/>
      <c r="Z53" s="213"/>
      <c r="AA53" s="213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13"/>
      <c r="AQ53" s="213"/>
      <c r="AR53" s="213"/>
      <c r="AS53" s="213"/>
      <c r="AT53" s="213"/>
      <c r="AU53" s="136" t="s">
        <v>320</v>
      </c>
      <c r="AV53" s="136">
        <f t="shared" si="30"/>
        <v>25</v>
      </c>
      <c r="AW53" s="136"/>
      <c r="AX53" s="136"/>
      <c r="AY53" s="136"/>
      <c r="AZ53" s="136"/>
    </row>
    <row r="54" spans="1:90" s="137" customFormat="1" ht="18.75" customHeight="1" x14ac:dyDescent="0.25">
      <c r="A54" s="90" t="s">
        <v>79</v>
      </c>
      <c r="B54" s="90" t="str">
        <f t="shared" si="29"/>
        <v>I26</v>
      </c>
      <c r="C54" s="85" t="s">
        <v>106</v>
      </c>
      <c r="D54" s="86">
        <v>1591</v>
      </c>
      <c r="E54" s="86" t="s">
        <v>79</v>
      </c>
      <c r="F54" s="87"/>
      <c r="G54" s="165"/>
      <c r="H54" s="165"/>
      <c r="I54" s="82">
        <v>-12201</v>
      </c>
      <c r="J54" s="82">
        <v>-13771</v>
      </c>
      <c r="K54" s="82">
        <v>-14871</v>
      </c>
      <c r="L54" s="82">
        <v>-17072</v>
      </c>
      <c r="M54" s="82">
        <v>-18326</v>
      </c>
      <c r="N54" s="82">
        <v>-19434</v>
      </c>
      <c r="O54" s="84">
        <f t="shared" si="39"/>
        <v>-19434</v>
      </c>
      <c r="P54" s="84">
        <f t="shared" si="40"/>
        <v>-19434</v>
      </c>
      <c r="Q54" s="84">
        <f t="shared" si="40"/>
        <v>-19434</v>
      </c>
      <c r="R54" s="84">
        <f t="shared" si="40"/>
        <v>-19434</v>
      </c>
      <c r="S54" s="84">
        <f t="shared" si="40"/>
        <v>-19434</v>
      </c>
      <c r="T54" s="84">
        <f t="shared" si="40"/>
        <v>-19434</v>
      </c>
      <c r="U54" s="84">
        <f t="shared" si="40"/>
        <v>-19434</v>
      </c>
      <c r="V54" s="84">
        <f t="shared" si="40"/>
        <v>-19434</v>
      </c>
      <c r="W54" s="84">
        <f t="shared" si="40"/>
        <v>-19434</v>
      </c>
      <c r="X54" s="213"/>
      <c r="Y54" s="213"/>
      <c r="Z54" s="213"/>
      <c r="AA54" s="213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13"/>
      <c r="AQ54" s="213"/>
      <c r="AR54" s="213"/>
      <c r="AS54" s="213"/>
      <c r="AT54" s="213"/>
      <c r="AU54" s="136" t="s">
        <v>320</v>
      </c>
      <c r="AV54" s="136">
        <f t="shared" si="30"/>
        <v>26</v>
      </c>
      <c r="AW54" s="136"/>
      <c r="AX54" s="136"/>
      <c r="AY54" s="136"/>
      <c r="AZ54" s="136"/>
      <c r="CK54" s="172"/>
      <c r="CL54" s="172"/>
    </row>
    <row r="55" spans="1:90" s="137" customFormat="1" ht="18.75" customHeight="1" x14ac:dyDescent="0.25">
      <c r="A55" s="90" t="s">
        <v>79</v>
      </c>
      <c r="B55" s="90" t="str">
        <f t="shared" si="29"/>
        <v>I27</v>
      </c>
      <c r="C55" s="85" t="s">
        <v>107</v>
      </c>
      <c r="D55" s="86">
        <v>1591</v>
      </c>
      <c r="E55" s="86" t="s">
        <v>79</v>
      </c>
      <c r="F55" s="87"/>
      <c r="G55" s="165"/>
      <c r="H55" s="165"/>
      <c r="I55" s="82">
        <v>-28864</v>
      </c>
      <c r="J55" s="82">
        <v>-30127</v>
      </c>
      <c r="K55" s="82">
        <v>-30471</v>
      </c>
      <c r="L55" s="82">
        <v>-32841</v>
      </c>
      <c r="M55" s="82">
        <v>-34472</v>
      </c>
      <c r="N55" s="82">
        <v>-36269</v>
      </c>
      <c r="O55" s="84">
        <f t="shared" si="39"/>
        <v>-36269</v>
      </c>
      <c r="P55" s="84">
        <f t="shared" si="40"/>
        <v>-36269</v>
      </c>
      <c r="Q55" s="84">
        <f t="shared" si="40"/>
        <v>-36269</v>
      </c>
      <c r="R55" s="84">
        <f t="shared" si="40"/>
        <v>-36269</v>
      </c>
      <c r="S55" s="84">
        <f t="shared" si="40"/>
        <v>-36269</v>
      </c>
      <c r="T55" s="84">
        <f t="shared" si="40"/>
        <v>-36269</v>
      </c>
      <c r="U55" s="84">
        <f t="shared" si="40"/>
        <v>-36269</v>
      </c>
      <c r="V55" s="84">
        <f t="shared" si="40"/>
        <v>-36269</v>
      </c>
      <c r="W55" s="84">
        <f t="shared" si="40"/>
        <v>-36269</v>
      </c>
      <c r="X55" s="213"/>
      <c r="Y55" s="213"/>
      <c r="Z55" s="213"/>
      <c r="AA55" s="213"/>
      <c r="AB55" s="2" t="s">
        <v>492</v>
      </c>
      <c r="AC55" s="83"/>
      <c r="AD55" s="83"/>
      <c r="AE55" s="83"/>
      <c r="AF55" s="83"/>
      <c r="AG55" s="83">
        <f>O73+O74+O75+O77+O80+O84+O95+O97+O98+O99+O100+O101+O102+O104+O105+O107+O108+O115+O116+O117+O118+O119+O120+O133+O134+O135+O136+O138+O143+O145+O146+O147+O150</f>
        <v>39490</v>
      </c>
      <c r="AH55" s="83">
        <f t="shared" ref="AH55:AO55" si="42">P73+P74+P75+P77+P80+P84+P95+P97+P98+P99+P100+P101+P102+P104+P105+P107+P108+P115+P116+P117+P118+P119+P120+P133+P134+P135+P136+P138+P143+P145+P146+P147+P150</f>
        <v>39490</v>
      </c>
      <c r="AI55" s="83">
        <f t="shared" si="42"/>
        <v>38670</v>
      </c>
      <c r="AJ55" s="83">
        <f t="shared" si="42"/>
        <v>38670</v>
      </c>
      <c r="AK55" s="83">
        <f t="shared" si="42"/>
        <v>38670</v>
      </c>
      <c r="AL55" s="83">
        <f t="shared" si="42"/>
        <v>38670</v>
      </c>
      <c r="AM55" s="83">
        <f t="shared" si="42"/>
        <v>38670</v>
      </c>
      <c r="AN55" s="83">
        <f t="shared" si="42"/>
        <v>38670</v>
      </c>
      <c r="AO55" s="83">
        <f t="shared" si="42"/>
        <v>38670</v>
      </c>
      <c r="AP55" s="213"/>
      <c r="AQ55" s="213"/>
      <c r="AR55" s="213"/>
      <c r="AS55" s="213"/>
      <c r="AT55" s="213"/>
      <c r="AU55" s="136" t="s">
        <v>320</v>
      </c>
      <c r="AV55" s="136">
        <f t="shared" si="30"/>
        <v>27</v>
      </c>
      <c r="AW55" s="136"/>
      <c r="AX55" s="136"/>
      <c r="AY55" s="136"/>
      <c r="AZ55" s="136"/>
    </row>
    <row r="56" spans="1:90" s="137" customFormat="1" ht="18.75" customHeight="1" x14ac:dyDescent="0.25">
      <c r="A56" s="90" t="s">
        <v>79</v>
      </c>
      <c r="B56" s="90" t="str">
        <f t="shared" si="29"/>
        <v>I28</v>
      </c>
      <c r="C56" s="85" t="s">
        <v>108</v>
      </c>
      <c r="D56" s="86">
        <v>1591</v>
      </c>
      <c r="E56" s="86" t="s">
        <v>79</v>
      </c>
      <c r="F56" s="87"/>
      <c r="G56" s="165"/>
      <c r="H56" s="165"/>
      <c r="I56" s="82">
        <v>-1924</v>
      </c>
      <c r="J56" s="82">
        <v>-1396</v>
      </c>
      <c r="K56" s="82">
        <v>-519</v>
      </c>
      <c r="L56" s="82">
        <v>-351</v>
      </c>
      <c r="M56" s="82">
        <v>-29</v>
      </c>
      <c r="N56" s="82">
        <v>-379</v>
      </c>
      <c r="O56" s="84">
        <f t="shared" si="39"/>
        <v>-379</v>
      </c>
      <c r="P56" s="84">
        <f t="shared" si="40"/>
        <v>-379</v>
      </c>
      <c r="Q56" s="84">
        <f t="shared" si="40"/>
        <v>-379</v>
      </c>
      <c r="R56" s="84">
        <f t="shared" si="40"/>
        <v>-379</v>
      </c>
      <c r="S56" s="84">
        <f t="shared" si="40"/>
        <v>-379</v>
      </c>
      <c r="T56" s="84">
        <f t="shared" si="40"/>
        <v>-379</v>
      </c>
      <c r="U56" s="84">
        <f t="shared" si="40"/>
        <v>-379</v>
      </c>
      <c r="V56" s="84">
        <f t="shared" si="40"/>
        <v>-379</v>
      </c>
      <c r="W56" s="84">
        <f t="shared" si="40"/>
        <v>-379</v>
      </c>
      <c r="X56" s="213"/>
      <c r="Y56" s="213"/>
      <c r="Z56" s="213"/>
      <c r="AA56" s="213"/>
      <c r="AB56" s="2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213"/>
      <c r="AQ56" s="213"/>
      <c r="AR56" s="213"/>
      <c r="AS56" s="213"/>
      <c r="AT56" s="213"/>
      <c r="AU56" s="136" t="s">
        <v>320</v>
      </c>
      <c r="AV56" s="136">
        <f t="shared" si="30"/>
        <v>28</v>
      </c>
      <c r="AW56" s="136"/>
      <c r="AX56" s="136"/>
      <c r="AY56" s="136"/>
      <c r="AZ56" s="136"/>
      <c r="CG56" s="153"/>
      <c r="CH56" s="153"/>
      <c r="CI56" s="153"/>
      <c r="CJ56" s="153"/>
    </row>
    <row r="57" spans="1:90" s="137" customFormat="1" ht="18.75" customHeight="1" x14ac:dyDescent="0.25">
      <c r="A57" s="90" t="s">
        <v>79</v>
      </c>
      <c r="B57" s="90" t="str">
        <f t="shared" si="29"/>
        <v>I29</v>
      </c>
      <c r="C57" s="85" t="s">
        <v>109</v>
      </c>
      <c r="D57" s="86">
        <v>1910</v>
      </c>
      <c r="E57" s="86" t="s">
        <v>79</v>
      </c>
      <c r="F57" s="87"/>
      <c r="G57" s="165"/>
      <c r="H57" s="165"/>
      <c r="I57" s="82">
        <v>-96696</v>
      </c>
      <c r="J57" s="173">
        <v>-110754</v>
      </c>
      <c r="K57" s="84">
        <f>[4]Internhusleie!K37+[4]Internhusleie!K39</f>
        <v>-122353</v>
      </c>
      <c r="L57" s="84">
        <f>[4]Internhusleie!L37+[4]Internhusleie!L39</f>
        <v>-145402</v>
      </c>
      <c r="M57" s="84">
        <f>[4]Internhusleie!M37+[4]Internhusleie!M39</f>
        <v>-156657</v>
      </c>
      <c r="N57" s="84">
        <f>[4]Internhusleie!N37+[4]Internhusleie!N39</f>
        <v>-166026</v>
      </c>
      <c r="O57" s="84">
        <f t="shared" si="39"/>
        <v>-166026</v>
      </c>
      <c r="P57" s="84">
        <f t="shared" si="40"/>
        <v>-166026</v>
      </c>
      <c r="Q57" s="84">
        <f t="shared" si="40"/>
        <v>-166026</v>
      </c>
      <c r="R57" s="84">
        <f t="shared" si="40"/>
        <v>-166026</v>
      </c>
      <c r="S57" s="84">
        <f t="shared" si="40"/>
        <v>-166026</v>
      </c>
      <c r="T57" s="84">
        <f t="shared" si="40"/>
        <v>-166026</v>
      </c>
      <c r="U57" s="84">
        <f t="shared" si="40"/>
        <v>-166026</v>
      </c>
      <c r="V57" s="84">
        <f t="shared" si="40"/>
        <v>-166026</v>
      </c>
      <c r="W57" s="84">
        <f t="shared" si="40"/>
        <v>-166026</v>
      </c>
      <c r="X57" s="169"/>
      <c r="Y57" s="169"/>
      <c r="Z57" s="169"/>
      <c r="AA57" s="169"/>
      <c r="AB57" s="2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169"/>
      <c r="AQ57" s="169"/>
      <c r="AR57" s="169"/>
      <c r="AS57" s="169"/>
      <c r="AT57" s="169"/>
      <c r="AU57" s="136" t="s">
        <v>320</v>
      </c>
      <c r="AV57" s="136">
        <f t="shared" si="30"/>
        <v>29</v>
      </c>
      <c r="AW57" s="136"/>
      <c r="AX57" s="136"/>
      <c r="AY57" s="136"/>
      <c r="AZ57" s="136"/>
    </row>
    <row r="58" spans="1:90" s="137" customFormat="1" ht="18.75" customHeight="1" x14ac:dyDescent="0.25">
      <c r="A58" s="90" t="s">
        <v>79</v>
      </c>
      <c r="B58" s="90" t="str">
        <f t="shared" si="29"/>
        <v>I30</v>
      </c>
      <c r="C58" s="85" t="s">
        <v>111</v>
      </c>
      <c r="D58" s="86">
        <v>1925</v>
      </c>
      <c r="E58" s="86" t="s">
        <v>79</v>
      </c>
      <c r="F58" s="87"/>
      <c r="G58" s="165"/>
      <c r="H58" s="165"/>
      <c r="I58" s="82">
        <v>-98309</v>
      </c>
      <c r="J58" s="173">
        <v>-121909</v>
      </c>
      <c r="K58" s="84">
        <f>[4]Internhusleie!K38+[4]Internhusleie!K40</f>
        <v>-135328</v>
      </c>
      <c r="L58" s="84">
        <f>[4]Internhusleie!L38+[4]Internhusleie!L40</f>
        <v>-159822</v>
      </c>
      <c r="M58" s="84">
        <f>[4]Internhusleie!M38+[4]Internhusleie!M40</f>
        <v>-172275</v>
      </c>
      <c r="N58" s="84">
        <f>[4]Internhusleie!N38+[4]Internhusleie!N40</f>
        <v>-181195</v>
      </c>
      <c r="O58" s="84">
        <f t="shared" si="39"/>
        <v>-181195</v>
      </c>
      <c r="P58" s="84">
        <f t="shared" si="40"/>
        <v>-181195</v>
      </c>
      <c r="Q58" s="84">
        <f t="shared" si="40"/>
        <v>-181195</v>
      </c>
      <c r="R58" s="84">
        <f t="shared" si="40"/>
        <v>-181195</v>
      </c>
      <c r="S58" s="84">
        <f t="shared" si="40"/>
        <v>-181195</v>
      </c>
      <c r="T58" s="84">
        <f t="shared" si="40"/>
        <v>-181195</v>
      </c>
      <c r="U58" s="84">
        <f t="shared" si="40"/>
        <v>-181195</v>
      </c>
      <c r="V58" s="84">
        <f t="shared" si="40"/>
        <v>-181195</v>
      </c>
      <c r="W58" s="84">
        <f t="shared" si="40"/>
        <v>-181195</v>
      </c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36" t="s">
        <v>320</v>
      </c>
      <c r="AV58" s="136">
        <f t="shared" si="30"/>
        <v>30</v>
      </c>
      <c r="AW58" s="136"/>
      <c r="AX58" s="136"/>
      <c r="AY58" s="136"/>
      <c r="AZ58" s="136"/>
    </row>
    <row r="59" spans="1:90" s="137" customFormat="1" ht="18.75" customHeight="1" x14ac:dyDescent="0.25">
      <c r="A59" s="90" t="s">
        <v>79</v>
      </c>
      <c r="B59" s="90" t="str">
        <f t="shared" si="29"/>
        <v>I31</v>
      </c>
      <c r="C59" s="85" t="s">
        <v>70</v>
      </c>
      <c r="D59" s="86">
        <v>1940</v>
      </c>
      <c r="E59" s="86" t="s">
        <v>79</v>
      </c>
      <c r="F59" s="87"/>
      <c r="G59" s="165"/>
      <c r="H59" s="165"/>
      <c r="I59" s="82"/>
      <c r="J59" s="84">
        <v>-30000</v>
      </c>
      <c r="K59" s="84">
        <v>-40000</v>
      </c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136" t="s">
        <v>320</v>
      </c>
      <c r="AV59" s="136">
        <f t="shared" si="30"/>
        <v>31</v>
      </c>
      <c r="AW59" s="136"/>
      <c r="AX59" s="136" t="s">
        <v>322</v>
      </c>
      <c r="AY59" s="136"/>
      <c r="AZ59" s="136"/>
    </row>
    <row r="60" spans="1:90" s="137" customFormat="1" ht="18.75" customHeight="1" x14ac:dyDescent="0.25">
      <c r="A60" s="91"/>
      <c r="B60" s="91"/>
      <c r="C60" s="88"/>
      <c r="D60" s="92"/>
      <c r="E60" s="92"/>
      <c r="F60" s="93"/>
      <c r="G60" s="174"/>
      <c r="H60" s="174"/>
      <c r="I60" s="94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136" t="s">
        <v>320</v>
      </c>
      <c r="AV60" s="136">
        <f t="shared" si="30"/>
        <v>32</v>
      </c>
      <c r="AW60" s="136"/>
      <c r="AX60" s="136"/>
      <c r="AY60" s="136"/>
      <c r="AZ60" s="136"/>
    </row>
    <row r="61" spans="1:90" s="137" customFormat="1" ht="18.75" customHeight="1" x14ac:dyDescent="0.25">
      <c r="A61" s="57"/>
      <c r="B61" s="57"/>
      <c r="C61" s="38" t="s">
        <v>112</v>
      </c>
      <c r="D61" s="39"/>
      <c r="E61" s="39"/>
      <c r="F61" s="39"/>
      <c r="G61" s="59"/>
      <c r="H61" s="59">
        <f t="shared" ref="H61:W61" si="43">SUMIF($A:$A,"SENT.INNT",H:H)</f>
        <v>0</v>
      </c>
      <c r="I61" s="59">
        <f t="shared" si="43"/>
        <v>-3870858</v>
      </c>
      <c r="J61" s="59">
        <f t="shared" si="43"/>
        <v>-4023530</v>
      </c>
      <c r="K61" s="59">
        <f t="shared" si="43"/>
        <v>-4233253</v>
      </c>
      <c r="L61" s="59">
        <f t="shared" si="43"/>
        <v>-4320595</v>
      </c>
      <c r="M61" s="59">
        <f t="shared" si="43"/>
        <v>-4365793</v>
      </c>
      <c r="N61" s="59">
        <f t="shared" si="43"/>
        <v>-4409181</v>
      </c>
      <c r="O61" s="59">
        <f t="shared" si="43"/>
        <v>-4446529.6882285383</v>
      </c>
      <c r="P61" s="59">
        <f t="shared" si="43"/>
        <v>-4487966.2773757176</v>
      </c>
      <c r="Q61" s="59">
        <f t="shared" si="43"/>
        <v>-4530822.1888920534</v>
      </c>
      <c r="R61" s="59">
        <f t="shared" si="43"/>
        <v>-4577388.0332601164</v>
      </c>
      <c r="S61" s="59">
        <f t="shared" si="43"/>
        <v>-4626488.2187472945</v>
      </c>
      <c r="T61" s="59">
        <f t="shared" si="43"/>
        <v>-4675177.848030258</v>
      </c>
      <c r="U61" s="59">
        <f t="shared" si="43"/>
        <v>-4714907.9505789205</v>
      </c>
      <c r="V61" s="59">
        <f t="shared" si="43"/>
        <v>-4762571.1703463262</v>
      </c>
      <c r="W61" s="59">
        <f t="shared" si="43"/>
        <v>-4813798.9670555545</v>
      </c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36"/>
      <c r="AV61" s="136"/>
      <c r="AW61" s="136"/>
      <c r="AX61" s="136"/>
      <c r="AY61" s="136"/>
      <c r="AZ61" s="136"/>
    </row>
    <row r="62" spans="1:90" s="137" customFormat="1" ht="18.75" customHeight="1" x14ac:dyDescent="0.25">
      <c r="A62" s="95"/>
      <c r="B62" s="95"/>
      <c r="C62" s="38" t="s">
        <v>113</v>
      </c>
      <c r="D62" s="96"/>
      <c r="E62" s="96"/>
      <c r="F62" s="96"/>
      <c r="G62" s="59"/>
      <c r="H62" s="59">
        <f t="shared" ref="H62:W62" si="44">H4</f>
        <v>3471036</v>
      </c>
      <c r="I62" s="59">
        <f t="shared" si="44"/>
        <v>3552868</v>
      </c>
      <c r="J62" s="59">
        <f t="shared" si="44"/>
        <v>3880044</v>
      </c>
      <c r="K62" s="59">
        <f t="shared" si="44"/>
        <v>4076486</v>
      </c>
      <c r="L62" s="59">
        <f t="shared" si="44"/>
        <v>4076486</v>
      </c>
      <c r="M62" s="59">
        <f t="shared" si="44"/>
        <v>4076486</v>
      </c>
      <c r="N62" s="59">
        <f t="shared" si="44"/>
        <v>4076486</v>
      </c>
      <c r="O62" s="59">
        <f t="shared" si="44"/>
        <v>4076486</v>
      </c>
      <c r="P62" s="59">
        <f t="shared" si="44"/>
        <v>4076486</v>
      </c>
      <c r="Q62" s="59">
        <f t="shared" si="44"/>
        <v>4076486</v>
      </c>
      <c r="R62" s="59">
        <f t="shared" si="44"/>
        <v>4076486</v>
      </c>
      <c r="S62" s="59">
        <f t="shared" si="44"/>
        <v>4076486</v>
      </c>
      <c r="T62" s="59">
        <f t="shared" si="44"/>
        <v>4076486</v>
      </c>
      <c r="U62" s="59">
        <f t="shared" si="44"/>
        <v>4076486</v>
      </c>
      <c r="V62" s="59">
        <f t="shared" si="44"/>
        <v>4076486</v>
      </c>
      <c r="W62" s="59">
        <f t="shared" si="44"/>
        <v>4076486</v>
      </c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36"/>
      <c r="AV62" s="136"/>
      <c r="AW62" s="136"/>
      <c r="AX62" s="136"/>
      <c r="AY62" s="136"/>
      <c r="AZ62" s="136"/>
    </row>
    <row r="63" spans="1:90" s="137" customFormat="1" ht="18.75" customHeight="1" x14ac:dyDescent="0.25">
      <c r="A63" s="57"/>
      <c r="B63" s="57" t="s">
        <v>114</v>
      </c>
      <c r="C63" s="38" t="s">
        <v>115</v>
      </c>
      <c r="D63" s="96"/>
      <c r="E63" s="96"/>
      <c r="F63" s="96"/>
      <c r="G63" s="59"/>
      <c r="H63" s="59">
        <f t="shared" ref="H63:W63" si="45">H61+H62</f>
        <v>3471036</v>
      </c>
      <c r="I63" s="59">
        <f t="shared" si="45"/>
        <v>-317990</v>
      </c>
      <c r="J63" s="59">
        <f t="shared" si="45"/>
        <v>-143486</v>
      </c>
      <c r="K63" s="59">
        <f t="shared" si="45"/>
        <v>-156767</v>
      </c>
      <c r="L63" s="59">
        <f t="shared" si="45"/>
        <v>-244109</v>
      </c>
      <c r="M63" s="59">
        <f t="shared" si="45"/>
        <v>-289307</v>
      </c>
      <c r="N63" s="59">
        <f t="shared" si="45"/>
        <v>-332695</v>
      </c>
      <c r="O63" s="59">
        <f t="shared" si="45"/>
        <v>-370043.68822853826</v>
      </c>
      <c r="P63" s="59">
        <f t="shared" si="45"/>
        <v>-411480.27737571765</v>
      </c>
      <c r="Q63" s="59">
        <f t="shared" si="45"/>
        <v>-454336.18889205344</v>
      </c>
      <c r="R63" s="59">
        <f t="shared" si="45"/>
        <v>-500902.03326011635</v>
      </c>
      <c r="S63" s="59">
        <f t="shared" si="45"/>
        <v>-550002.21874729451</v>
      </c>
      <c r="T63" s="59">
        <f t="shared" si="45"/>
        <v>-598691.84803025797</v>
      </c>
      <c r="U63" s="59">
        <f t="shared" si="45"/>
        <v>-638421.95057892054</v>
      </c>
      <c r="V63" s="59">
        <f t="shared" si="45"/>
        <v>-686085.17034632619</v>
      </c>
      <c r="W63" s="59">
        <f t="shared" si="45"/>
        <v>-737312.9670555545</v>
      </c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36"/>
      <c r="AV63" s="136"/>
      <c r="AW63" s="136"/>
      <c r="AX63" s="136"/>
      <c r="AY63" s="136"/>
      <c r="AZ63" s="136"/>
    </row>
    <row r="64" spans="1:90" s="137" customFormat="1" ht="18.75" customHeight="1" x14ac:dyDescent="0.25">
      <c r="A64" s="97"/>
      <c r="B64" s="97"/>
      <c r="C64" s="144"/>
      <c r="D64" s="98"/>
      <c r="E64" s="98"/>
      <c r="F64" s="98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36"/>
      <c r="AV64" s="136"/>
      <c r="AW64" s="136"/>
      <c r="AX64" s="136"/>
      <c r="AY64" s="136"/>
      <c r="AZ64" s="136"/>
    </row>
    <row r="65" spans="1:56" s="104" customFormat="1" ht="18.75" customHeight="1" x14ac:dyDescent="0.25">
      <c r="A65" s="99"/>
      <c r="B65" s="99"/>
      <c r="C65" s="100" t="s">
        <v>116</v>
      </c>
      <c r="D65" s="101"/>
      <c r="E65" s="101"/>
      <c r="F65" s="101"/>
      <c r="G65" s="102"/>
      <c r="H65" s="102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160"/>
      <c r="AV65" s="160"/>
      <c r="AW65" s="139"/>
      <c r="AX65" s="139"/>
      <c r="AY65" s="139"/>
      <c r="AZ65" s="139"/>
    </row>
    <row r="66" spans="1:56" s="137" customFormat="1" ht="18.75" customHeight="1" x14ac:dyDescent="0.25">
      <c r="A66" s="76"/>
      <c r="B66" s="158"/>
      <c r="C66" s="105" t="s">
        <v>117</v>
      </c>
      <c r="D66" s="101"/>
      <c r="E66" s="101"/>
      <c r="F66" s="101"/>
      <c r="G66" s="159"/>
      <c r="H66" s="159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0"/>
      <c r="AV66" s="160"/>
      <c r="AW66" s="175" t="s">
        <v>324</v>
      </c>
      <c r="AX66" s="175" t="s">
        <v>325</v>
      </c>
      <c r="AY66" s="175" t="s">
        <v>326</v>
      </c>
      <c r="AZ66" s="136" t="s">
        <v>327</v>
      </c>
    </row>
    <row r="67" spans="1:56" s="137" customFormat="1" ht="18.75" customHeight="1" x14ac:dyDescent="0.25">
      <c r="A67" s="80" t="s">
        <v>118</v>
      </c>
      <c r="B67" s="90" t="str">
        <f t="shared" ref="B67:B79" si="46">IF(AV67,AU67&amp;AV67,"")</f>
        <v>S1</v>
      </c>
      <c r="C67" s="85" t="s">
        <v>119</v>
      </c>
      <c r="D67" s="86"/>
      <c r="E67" s="86" t="s">
        <v>120</v>
      </c>
      <c r="F67" s="87" t="s">
        <v>121</v>
      </c>
      <c r="G67" s="165"/>
      <c r="H67" s="165"/>
      <c r="I67" s="82">
        <v>6459</v>
      </c>
      <c r="J67" s="82">
        <v>12197</v>
      </c>
      <c r="K67" s="84">
        <v>1166</v>
      </c>
      <c r="L67" s="84">
        <v>10996</v>
      </c>
      <c r="M67" s="84">
        <v>18674</v>
      </c>
      <c r="N67" s="84">
        <v>26644</v>
      </c>
      <c r="O67" s="268">
        <v>16049.672343281252</v>
      </c>
      <c r="P67" s="268">
        <v>17725.295543328069</v>
      </c>
      <c r="Q67" s="268">
        <v>11395.214436619597</v>
      </c>
      <c r="R67" s="268">
        <v>5544.4453623320542</v>
      </c>
      <c r="S67" s="268">
        <v>5486.329536833613</v>
      </c>
      <c r="T67" s="268">
        <v>-5070.4170769895954</v>
      </c>
      <c r="U67" s="268">
        <v>925.49967882479416</v>
      </c>
      <c r="V67" s="268">
        <v>1919.7186730893761</v>
      </c>
      <c r="W67" s="268">
        <v>3990.1147226397029</v>
      </c>
      <c r="X67" s="185" t="s">
        <v>472</v>
      </c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36" t="s">
        <v>328</v>
      </c>
      <c r="AV67" s="136">
        <v>1</v>
      </c>
      <c r="AW67" s="175" t="str">
        <f>IF(F67="VEDTATT","VEDTATT",0)</f>
        <v>VEDTATT</v>
      </c>
      <c r="AX67" s="175">
        <f>IF(F67="MÅ","Nye tiltak",0)</f>
        <v>0</v>
      </c>
      <c r="AY67" s="175"/>
      <c r="AZ67" s="143"/>
      <c r="BA67" s="153"/>
      <c r="BB67" s="153"/>
      <c r="BC67" s="153"/>
      <c r="BD67" s="153"/>
    </row>
    <row r="68" spans="1:56" s="137" customFormat="1" ht="18.75" customHeight="1" x14ac:dyDescent="0.25">
      <c r="A68" s="80" t="s">
        <v>118</v>
      </c>
      <c r="B68" s="90" t="str">
        <f t="shared" si="46"/>
        <v>S2</v>
      </c>
      <c r="C68" s="85" t="s">
        <v>122</v>
      </c>
      <c r="D68" s="86"/>
      <c r="E68" s="86" t="s">
        <v>120</v>
      </c>
      <c r="F68" s="87" t="s">
        <v>121</v>
      </c>
      <c r="G68" s="165"/>
      <c r="H68" s="165"/>
      <c r="I68" s="82">
        <v>1227</v>
      </c>
      <c r="J68" s="82">
        <v>2320</v>
      </c>
      <c r="K68" s="84">
        <v>216</v>
      </c>
      <c r="L68" s="84">
        <v>2072</v>
      </c>
      <c r="M68" s="84">
        <v>3522</v>
      </c>
      <c r="N68" s="84">
        <v>5028</v>
      </c>
      <c r="O68" s="84"/>
      <c r="P68" s="84"/>
      <c r="Q68" s="84"/>
      <c r="R68" s="84"/>
      <c r="S68" s="84"/>
      <c r="T68" s="84"/>
      <c r="U68" s="84"/>
      <c r="V68" s="84"/>
      <c r="W68" s="84"/>
      <c r="X68" s="185" t="s">
        <v>473</v>
      </c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36" t="s">
        <v>328</v>
      </c>
      <c r="AV68" s="136">
        <f t="shared" ref="AV68:AV72" si="47">AV67+1</f>
        <v>2</v>
      </c>
      <c r="AW68" s="175" t="str">
        <f>IF(F68="VEDTATT","VEDTATT",0)</f>
        <v>VEDTATT</v>
      </c>
      <c r="AX68" s="175">
        <f>IF(F68="MÅ","Nye tiltak",0)</f>
        <v>0</v>
      </c>
      <c r="AY68" s="175"/>
      <c r="AZ68" s="143"/>
      <c r="BB68" s="153"/>
      <c r="BC68" s="153"/>
      <c r="BD68" s="153"/>
    </row>
    <row r="69" spans="1:56" s="137" customFormat="1" ht="18.75" customHeight="1" x14ac:dyDescent="0.25">
      <c r="A69" s="80" t="s">
        <v>118</v>
      </c>
      <c r="B69" s="90" t="str">
        <f t="shared" si="46"/>
        <v>S3</v>
      </c>
      <c r="C69" s="85" t="s">
        <v>329</v>
      </c>
      <c r="D69" s="86"/>
      <c r="E69" s="86" t="s">
        <v>120</v>
      </c>
      <c r="F69" s="87" t="s">
        <v>121</v>
      </c>
      <c r="G69" s="165"/>
      <c r="H69" s="165"/>
      <c r="I69" s="82">
        <v>194</v>
      </c>
      <c r="J69" s="82">
        <v>367</v>
      </c>
      <c r="K69" s="84">
        <v>27</v>
      </c>
      <c r="L69" s="84">
        <v>261</v>
      </c>
      <c r="M69" s="84">
        <v>444</v>
      </c>
      <c r="N69" s="84">
        <v>633</v>
      </c>
      <c r="O69" s="84"/>
      <c r="P69" s="84"/>
      <c r="Q69" s="84"/>
      <c r="R69" s="84"/>
      <c r="S69" s="84"/>
      <c r="T69" s="84"/>
      <c r="U69" s="84"/>
      <c r="V69" s="84"/>
      <c r="W69" s="84"/>
      <c r="X69" s="185" t="s">
        <v>473</v>
      </c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36" t="s">
        <v>328</v>
      </c>
      <c r="AV69" s="136">
        <f t="shared" si="47"/>
        <v>3</v>
      </c>
      <c r="AW69" s="175" t="str">
        <f>IF(F69="VEDTATT","VEDTATT",0)</f>
        <v>VEDTATT</v>
      </c>
      <c r="AX69" s="175">
        <f>IF(F69="MÅ","Nye tiltak",0)</f>
        <v>0</v>
      </c>
      <c r="AY69" s="175"/>
      <c r="AZ69" s="143"/>
      <c r="BC69" s="153"/>
      <c r="BD69" s="153"/>
    </row>
    <row r="70" spans="1:56" s="169" customFormat="1" ht="18.75" customHeight="1" x14ac:dyDescent="0.25">
      <c r="A70" s="90" t="s">
        <v>118</v>
      </c>
      <c r="B70" s="90" t="str">
        <f t="shared" si="46"/>
        <v>S4</v>
      </c>
      <c r="C70" s="85" t="s">
        <v>123</v>
      </c>
      <c r="D70" s="86"/>
      <c r="E70" s="86" t="s">
        <v>124</v>
      </c>
      <c r="F70" s="87" t="s">
        <v>121</v>
      </c>
      <c r="G70" s="165"/>
      <c r="H70" s="165"/>
      <c r="I70" s="82">
        <v>1080</v>
      </c>
      <c r="J70" s="82"/>
      <c r="K70" s="84">
        <v>750</v>
      </c>
      <c r="L70" s="84">
        <v>762</v>
      </c>
      <c r="M70" s="84"/>
      <c r="N70" s="84">
        <v>0</v>
      </c>
      <c r="O70" s="84"/>
      <c r="P70" s="84"/>
      <c r="Q70" s="84"/>
      <c r="R70" s="84"/>
      <c r="S70" s="84"/>
      <c r="T70" s="84"/>
      <c r="U70" s="84"/>
      <c r="V70" s="84"/>
      <c r="W70" s="84"/>
      <c r="X70" s="185" t="s">
        <v>125</v>
      </c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36" t="s">
        <v>328</v>
      </c>
      <c r="AV70" s="136">
        <f>AV69+1</f>
        <v>4</v>
      </c>
      <c r="AW70" s="175" t="str">
        <f>IF(F71="VEDTATT","VEDTATT",0)</f>
        <v>VEDTATT</v>
      </c>
      <c r="AX70" s="175">
        <f>IF(F71="MÅ","Nye tiltak",0)</f>
        <v>0</v>
      </c>
      <c r="AY70" s="176"/>
      <c r="AZ70" s="143"/>
    </row>
    <row r="71" spans="1:56" s="169" customFormat="1" ht="18.75" customHeight="1" x14ac:dyDescent="0.25">
      <c r="A71" s="90" t="s">
        <v>118</v>
      </c>
      <c r="B71" s="90" t="str">
        <f t="shared" si="46"/>
        <v>S5</v>
      </c>
      <c r="C71" s="85" t="s">
        <v>126</v>
      </c>
      <c r="D71" s="86"/>
      <c r="E71" s="86" t="s">
        <v>120</v>
      </c>
      <c r="F71" s="87" t="s">
        <v>121</v>
      </c>
      <c r="G71" s="165"/>
      <c r="H71" s="165"/>
      <c r="I71" s="82"/>
      <c r="J71" s="82"/>
      <c r="K71" s="84">
        <v>560</v>
      </c>
      <c r="L71" s="84">
        <v>1344</v>
      </c>
      <c r="M71" s="84">
        <v>784</v>
      </c>
      <c r="N71" s="84">
        <v>0</v>
      </c>
      <c r="O71" s="84"/>
      <c r="P71" s="84"/>
      <c r="Q71" s="84"/>
      <c r="R71" s="84"/>
      <c r="S71" s="84"/>
      <c r="T71" s="84"/>
      <c r="U71" s="84"/>
      <c r="V71" s="84"/>
      <c r="W71" s="84"/>
      <c r="X71" s="185" t="s">
        <v>125</v>
      </c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36" t="s">
        <v>328</v>
      </c>
      <c r="AV71" s="136">
        <f t="shared" si="47"/>
        <v>5</v>
      </c>
      <c r="AW71" s="175" t="str">
        <f>IF(F72="VEDTATT","VEDTATT",0)</f>
        <v>VEDTATT</v>
      </c>
      <c r="AX71" s="175">
        <f>IF(F72="MÅ","Nye tiltak",0)</f>
        <v>0</v>
      </c>
      <c r="AY71" s="176"/>
      <c r="AZ71" s="143"/>
    </row>
    <row r="72" spans="1:56" s="169" customFormat="1" ht="18.75" customHeight="1" x14ac:dyDescent="0.25">
      <c r="A72" s="90" t="s">
        <v>118</v>
      </c>
      <c r="B72" s="90" t="str">
        <f t="shared" si="46"/>
        <v>S6</v>
      </c>
      <c r="C72" s="85" t="s">
        <v>127</v>
      </c>
      <c r="D72" s="86"/>
      <c r="E72" s="86" t="s">
        <v>124</v>
      </c>
      <c r="F72" s="87" t="s">
        <v>121</v>
      </c>
      <c r="G72" s="165"/>
      <c r="H72" s="165"/>
      <c r="I72" s="82">
        <v>1008</v>
      </c>
      <c r="J72" s="82">
        <v>420</v>
      </c>
      <c r="K72" s="84">
        <v>420</v>
      </c>
      <c r="L72" s="84">
        <v>0</v>
      </c>
      <c r="M72" s="84"/>
      <c r="N72" s="84">
        <v>0</v>
      </c>
      <c r="O72" s="82"/>
      <c r="P72" s="84"/>
      <c r="Q72" s="84"/>
      <c r="R72" s="84"/>
      <c r="S72" s="84"/>
      <c r="T72" s="84"/>
      <c r="U72" s="84"/>
      <c r="V72" s="84"/>
      <c r="W72" s="84"/>
      <c r="X72" s="92" t="s">
        <v>125</v>
      </c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136" t="s">
        <v>328</v>
      </c>
      <c r="AV72" s="136">
        <f t="shared" si="47"/>
        <v>6</v>
      </c>
      <c r="AW72" s="175" t="e">
        <f>IF(#REF!="VEDTATT","VEDTATT",0)</f>
        <v>#REF!</v>
      </c>
      <c r="AX72" s="175" t="e">
        <f>IF(#REF!="MÅ","Nye tiltak",0)</f>
        <v>#REF!</v>
      </c>
      <c r="AY72" s="176"/>
      <c r="AZ72" s="143"/>
    </row>
    <row r="73" spans="1:56" s="169" customFormat="1" ht="18.75" customHeight="1" x14ac:dyDescent="0.25">
      <c r="A73" s="90" t="s">
        <v>118</v>
      </c>
      <c r="B73" s="90" t="str">
        <f t="shared" si="46"/>
        <v>S7</v>
      </c>
      <c r="C73" s="85" t="s">
        <v>128</v>
      </c>
      <c r="D73" s="86"/>
      <c r="E73" s="86" t="s">
        <v>124</v>
      </c>
      <c r="F73" s="87" t="s">
        <v>121</v>
      </c>
      <c r="G73" s="165"/>
      <c r="H73" s="165"/>
      <c r="I73" s="82"/>
      <c r="J73" s="82">
        <v>2000</v>
      </c>
      <c r="K73" s="84">
        <v>4000</v>
      </c>
      <c r="L73" s="84">
        <v>4000</v>
      </c>
      <c r="M73" s="84">
        <v>4000</v>
      </c>
      <c r="N73" s="84">
        <v>4000</v>
      </c>
      <c r="O73" s="82">
        <f>N73</f>
        <v>4000</v>
      </c>
      <c r="P73" s="84">
        <f t="shared" ref="P73:W75" si="48">O73</f>
        <v>4000</v>
      </c>
      <c r="Q73" s="84">
        <f t="shared" si="48"/>
        <v>4000</v>
      </c>
      <c r="R73" s="84">
        <f t="shared" si="48"/>
        <v>4000</v>
      </c>
      <c r="S73" s="84">
        <f t="shared" si="48"/>
        <v>4000</v>
      </c>
      <c r="T73" s="84">
        <f t="shared" si="48"/>
        <v>4000</v>
      </c>
      <c r="U73" s="84">
        <f t="shared" si="48"/>
        <v>4000</v>
      </c>
      <c r="V73" s="84">
        <f t="shared" si="48"/>
        <v>4000</v>
      </c>
      <c r="W73" s="84">
        <f t="shared" si="48"/>
        <v>4000</v>
      </c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36" t="s">
        <v>328</v>
      </c>
      <c r="AV73" s="136">
        <f>AV72+1</f>
        <v>7</v>
      </c>
      <c r="AW73" s="175" t="str">
        <f>IF(F74="VEDTATT","VEDTATT",0)</f>
        <v>VEDTATT</v>
      </c>
      <c r="AX73" s="175">
        <f>IF(F74="MÅ","Nye tiltak",0)</f>
        <v>0</v>
      </c>
      <c r="AY73" s="177"/>
      <c r="AZ73" s="178"/>
    </row>
    <row r="74" spans="1:56" s="169" customFormat="1" ht="22.5" customHeight="1" x14ac:dyDescent="0.25">
      <c r="A74" s="90" t="s">
        <v>118</v>
      </c>
      <c r="B74" s="90" t="str">
        <f t="shared" si="46"/>
        <v>S8</v>
      </c>
      <c r="C74" s="85" t="s">
        <v>129</v>
      </c>
      <c r="D74" s="86"/>
      <c r="E74" s="86" t="s">
        <v>124</v>
      </c>
      <c r="F74" s="87" t="s">
        <v>121</v>
      </c>
      <c r="G74" s="165"/>
      <c r="H74" s="165"/>
      <c r="I74" s="82"/>
      <c r="J74" s="82"/>
      <c r="K74" s="84"/>
      <c r="L74" s="84">
        <f>-5010-L75</f>
        <v>-2410</v>
      </c>
      <c r="M74" s="84">
        <f>-10010-M75</f>
        <v>-7410</v>
      </c>
      <c r="N74" s="84">
        <f>-10010-N75</f>
        <v>-7410</v>
      </c>
      <c r="O74" s="82">
        <f>N74</f>
        <v>-7410</v>
      </c>
      <c r="P74" s="84">
        <f t="shared" si="48"/>
        <v>-7410</v>
      </c>
      <c r="Q74" s="84">
        <f t="shared" si="48"/>
        <v>-7410</v>
      </c>
      <c r="R74" s="84">
        <f t="shared" si="48"/>
        <v>-7410</v>
      </c>
      <c r="S74" s="84">
        <f t="shared" si="48"/>
        <v>-7410</v>
      </c>
      <c r="T74" s="84">
        <f t="shared" si="48"/>
        <v>-7410</v>
      </c>
      <c r="U74" s="84">
        <f t="shared" si="48"/>
        <v>-7410</v>
      </c>
      <c r="V74" s="84">
        <f t="shared" si="48"/>
        <v>-7410</v>
      </c>
      <c r="W74" s="84">
        <f t="shared" si="48"/>
        <v>-7410</v>
      </c>
      <c r="AU74" s="169" t="s">
        <v>328</v>
      </c>
      <c r="AV74" s="136">
        <f>AV73+1</f>
        <v>8</v>
      </c>
      <c r="AW74" s="175"/>
      <c r="AX74" s="175"/>
      <c r="AY74" s="177"/>
      <c r="AZ74" s="178"/>
    </row>
    <row r="75" spans="1:56" s="169" customFormat="1" ht="22.5" customHeight="1" x14ac:dyDescent="0.25">
      <c r="A75" s="90" t="s">
        <v>118</v>
      </c>
      <c r="B75" s="90" t="str">
        <f t="shared" si="46"/>
        <v>S9</v>
      </c>
      <c r="C75" s="85" t="s">
        <v>130</v>
      </c>
      <c r="D75" s="86"/>
      <c r="E75" s="86" t="s">
        <v>131</v>
      </c>
      <c r="F75" s="87" t="s">
        <v>132</v>
      </c>
      <c r="G75" s="165"/>
      <c r="H75" s="165"/>
      <c r="I75" s="82"/>
      <c r="J75" s="82"/>
      <c r="K75" s="84"/>
      <c r="L75" s="84">
        <v>-2600</v>
      </c>
      <c r="M75" s="84">
        <v>-2600</v>
      </c>
      <c r="N75" s="84">
        <f>-2600</f>
        <v>-2600</v>
      </c>
      <c r="O75" s="82">
        <f>N75</f>
        <v>-2600</v>
      </c>
      <c r="P75" s="84">
        <f t="shared" si="48"/>
        <v>-2600</v>
      </c>
      <c r="Q75" s="84">
        <f t="shared" si="48"/>
        <v>-2600</v>
      </c>
      <c r="R75" s="84">
        <f t="shared" si="48"/>
        <v>-2600</v>
      </c>
      <c r="S75" s="84">
        <f t="shared" si="48"/>
        <v>-2600</v>
      </c>
      <c r="T75" s="84">
        <f t="shared" si="48"/>
        <v>-2600</v>
      </c>
      <c r="U75" s="84">
        <f t="shared" si="48"/>
        <v>-2600</v>
      </c>
      <c r="V75" s="84">
        <f t="shared" si="48"/>
        <v>-2600</v>
      </c>
      <c r="W75" s="84">
        <f t="shared" si="48"/>
        <v>-2600</v>
      </c>
      <c r="AU75" s="136" t="s">
        <v>328</v>
      </c>
      <c r="AV75" s="136">
        <f>AV74+1</f>
        <v>9</v>
      </c>
      <c r="AW75" s="175"/>
      <c r="AX75" s="175"/>
      <c r="AY75" s="177"/>
      <c r="AZ75" s="178"/>
    </row>
    <row r="76" spans="1:56" s="169" customFormat="1" ht="27.75" customHeight="1" x14ac:dyDescent="0.25">
      <c r="A76" s="90" t="s">
        <v>118</v>
      </c>
      <c r="B76" s="90" t="str">
        <f t="shared" si="46"/>
        <v>S10</v>
      </c>
      <c r="C76" s="85" t="s">
        <v>133</v>
      </c>
      <c r="D76" s="86"/>
      <c r="E76" s="86" t="s">
        <v>131</v>
      </c>
      <c r="F76" s="87" t="s">
        <v>132</v>
      </c>
      <c r="G76" s="165"/>
      <c r="H76" s="165"/>
      <c r="I76" s="82"/>
      <c r="J76" s="82"/>
      <c r="K76" s="84">
        <f>1500/2</f>
        <v>750</v>
      </c>
      <c r="L76" s="84">
        <v>750</v>
      </c>
      <c r="M76" s="84"/>
      <c r="N76" s="84"/>
      <c r="O76" s="82"/>
      <c r="P76" s="84"/>
      <c r="Q76" s="84"/>
      <c r="R76" s="84"/>
      <c r="S76" s="84"/>
      <c r="T76" s="84"/>
      <c r="U76" s="84"/>
      <c r="V76" s="84"/>
      <c r="W76" s="84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136" t="s">
        <v>328</v>
      </c>
      <c r="AV76" s="136">
        <f t="shared" ref="AV76:AV82" si="49">AV75+1</f>
        <v>10</v>
      </c>
      <c r="AW76" s="175"/>
      <c r="AX76" s="175"/>
      <c r="AY76" s="177"/>
      <c r="AZ76" s="178">
        <v>1</v>
      </c>
    </row>
    <row r="77" spans="1:56" s="169" customFormat="1" ht="18.75" customHeight="1" x14ac:dyDescent="0.25">
      <c r="A77" s="90" t="s">
        <v>118</v>
      </c>
      <c r="B77" s="90" t="str">
        <f t="shared" si="46"/>
        <v>S11</v>
      </c>
      <c r="C77" s="85" t="s">
        <v>330</v>
      </c>
      <c r="D77" s="86"/>
      <c r="E77" s="86" t="s">
        <v>131</v>
      </c>
      <c r="F77" s="87" t="s">
        <v>132</v>
      </c>
      <c r="G77" s="165"/>
      <c r="H77" s="165"/>
      <c r="I77" s="82"/>
      <c r="J77" s="82"/>
      <c r="K77" s="84">
        <v>820</v>
      </c>
      <c r="L77" s="84">
        <v>820</v>
      </c>
      <c r="M77" s="84">
        <v>820</v>
      </c>
      <c r="N77" s="84">
        <v>820</v>
      </c>
      <c r="O77" s="82">
        <f>N77</f>
        <v>820</v>
      </c>
      <c r="P77" s="84">
        <f>O77</f>
        <v>820</v>
      </c>
      <c r="Q77" s="84"/>
      <c r="R77" s="84"/>
      <c r="S77" s="84"/>
      <c r="T77" s="84"/>
      <c r="U77" s="84"/>
      <c r="V77" s="84"/>
      <c r="W77" s="84"/>
      <c r="X77" s="185" t="s">
        <v>134</v>
      </c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36" t="s">
        <v>328</v>
      </c>
      <c r="AV77" s="136">
        <f t="shared" si="49"/>
        <v>11</v>
      </c>
      <c r="AW77" s="175"/>
      <c r="AX77" s="175"/>
      <c r="AY77" s="177"/>
      <c r="AZ77" s="178">
        <v>3</v>
      </c>
    </row>
    <row r="78" spans="1:56" s="169" customFormat="1" ht="18.75" customHeight="1" x14ac:dyDescent="0.25">
      <c r="A78" s="90" t="s">
        <v>118</v>
      </c>
      <c r="B78" s="90" t="str">
        <f t="shared" si="46"/>
        <v>S12</v>
      </c>
      <c r="C78" s="85" t="s">
        <v>135</v>
      </c>
      <c r="D78" s="86"/>
      <c r="E78" s="86" t="s">
        <v>131</v>
      </c>
      <c r="F78" s="87" t="s">
        <v>132</v>
      </c>
      <c r="G78" s="165"/>
      <c r="H78" s="165"/>
      <c r="I78" s="82"/>
      <c r="J78" s="82"/>
      <c r="K78" s="84"/>
      <c r="L78" s="84">
        <v>116</v>
      </c>
      <c r="M78" s="84">
        <v>100</v>
      </c>
      <c r="N78" s="84"/>
      <c r="O78" s="82"/>
      <c r="P78" s="84"/>
      <c r="Q78" s="84"/>
      <c r="R78" s="84"/>
      <c r="S78" s="84"/>
      <c r="T78" s="84"/>
      <c r="U78" s="84"/>
      <c r="V78" s="84"/>
      <c r="W78" s="84"/>
      <c r="X78" s="92" t="s">
        <v>125</v>
      </c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136" t="s">
        <v>328</v>
      </c>
      <c r="AV78" s="136">
        <f t="shared" si="49"/>
        <v>12</v>
      </c>
      <c r="AW78" s="175"/>
      <c r="AX78" s="175"/>
      <c r="AY78" s="177"/>
      <c r="AZ78" s="178">
        <v>1</v>
      </c>
    </row>
    <row r="79" spans="1:56" s="169" customFormat="1" ht="18.75" customHeight="1" x14ac:dyDescent="0.25">
      <c r="A79" s="90" t="s">
        <v>118</v>
      </c>
      <c r="B79" s="90" t="str">
        <f t="shared" si="46"/>
        <v>S13</v>
      </c>
      <c r="C79" s="85" t="s">
        <v>136</v>
      </c>
      <c r="D79" s="86"/>
      <c r="E79" s="86" t="s">
        <v>131</v>
      </c>
      <c r="F79" s="87" t="s">
        <v>132</v>
      </c>
      <c r="G79" s="165"/>
      <c r="H79" s="165"/>
      <c r="I79" s="82"/>
      <c r="J79" s="82"/>
      <c r="K79" s="84"/>
      <c r="L79" s="84"/>
      <c r="M79" s="84">
        <v>3000</v>
      </c>
      <c r="N79" s="84">
        <v>1500</v>
      </c>
      <c r="O79" s="82"/>
      <c r="P79" s="84"/>
      <c r="Q79" s="84"/>
      <c r="R79" s="84"/>
      <c r="S79" s="84"/>
      <c r="T79" s="84"/>
      <c r="U79" s="84"/>
      <c r="V79" s="84"/>
      <c r="W79" s="84"/>
      <c r="X79" s="92" t="s">
        <v>125</v>
      </c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136" t="s">
        <v>328</v>
      </c>
      <c r="AV79" s="136">
        <f t="shared" si="49"/>
        <v>13</v>
      </c>
      <c r="AW79" s="175"/>
      <c r="AX79" s="175"/>
      <c r="AY79" s="177"/>
      <c r="AZ79" s="178">
        <v>1</v>
      </c>
    </row>
    <row r="80" spans="1:56" s="169" customFormat="1" ht="18.75" customHeight="1" x14ac:dyDescent="0.25">
      <c r="A80" s="86" t="s">
        <v>118</v>
      </c>
      <c r="B80" s="90" t="s">
        <v>474</v>
      </c>
      <c r="C80" s="85" t="s">
        <v>475</v>
      </c>
      <c r="D80" s="86"/>
      <c r="E80" s="86" t="s">
        <v>131</v>
      </c>
      <c r="F80" s="87" t="s">
        <v>132</v>
      </c>
      <c r="G80" s="165"/>
      <c r="H80" s="165"/>
      <c r="I80" s="82"/>
      <c r="J80" s="82"/>
      <c r="K80" s="84">
        <v>254</v>
      </c>
      <c r="L80" s="84">
        <v>254</v>
      </c>
      <c r="M80" s="84">
        <v>254</v>
      </c>
      <c r="N80" s="84">
        <v>254</v>
      </c>
      <c r="O80" s="82">
        <f>N80</f>
        <v>254</v>
      </c>
      <c r="P80" s="84">
        <f t="shared" ref="P80:W82" si="50">O80</f>
        <v>254</v>
      </c>
      <c r="Q80" s="84">
        <f t="shared" si="50"/>
        <v>254</v>
      </c>
      <c r="R80" s="84">
        <f t="shared" si="50"/>
        <v>254</v>
      </c>
      <c r="S80" s="84">
        <f t="shared" si="50"/>
        <v>254</v>
      </c>
      <c r="T80" s="84">
        <f t="shared" si="50"/>
        <v>254</v>
      </c>
      <c r="U80" s="84">
        <f t="shared" si="50"/>
        <v>254</v>
      </c>
      <c r="V80" s="84">
        <f t="shared" si="50"/>
        <v>254</v>
      </c>
      <c r="W80" s="84">
        <f t="shared" si="50"/>
        <v>254</v>
      </c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136"/>
      <c r="AV80" s="136"/>
      <c r="AW80" s="175"/>
      <c r="AX80" s="175"/>
      <c r="AY80" s="177"/>
      <c r="AZ80" s="178"/>
    </row>
    <row r="81" spans="1:89" s="169" customFormat="1" ht="18.75" customHeight="1" x14ac:dyDescent="0.25">
      <c r="A81" s="86" t="s">
        <v>118</v>
      </c>
      <c r="B81" s="86" t="s">
        <v>476</v>
      </c>
      <c r="C81" s="85" t="s">
        <v>137</v>
      </c>
      <c r="D81" s="86"/>
      <c r="E81" s="86" t="s">
        <v>120</v>
      </c>
      <c r="F81" s="87" t="s">
        <v>121</v>
      </c>
      <c r="G81" s="179"/>
      <c r="H81" s="179"/>
      <c r="I81" s="180"/>
      <c r="J81" s="180"/>
      <c r="K81" s="180">
        <f>[4]Internhusleie!K81</f>
        <v>2042</v>
      </c>
      <c r="L81" s="180">
        <f>[4]Internhusleie!L81</f>
        <v>21779</v>
      </c>
      <c r="M81" s="180">
        <f>[4]Internhusleie!M81</f>
        <v>30219</v>
      </c>
      <c r="N81" s="180">
        <f>[4]Internhusleie!N81</f>
        <v>30219</v>
      </c>
      <c r="O81" s="82">
        <f>N81</f>
        <v>30219</v>
      </c>
      <c r="P81" s="84">
        <f t="shared" si="50"/>
        <v>30219</v>
      </c>
      <c r="Q81" s="84">
        <f t="shared" si="50"/>
        <v>30219</v>
      </c>
      <c r="R81" s="84">
        <f t="shared" si="50"/>
        <v>30219</v>
      </c>
      <c r="S81" s="84">
        <f t="shared" si="50"/>
        <v>30219</v>
      </c>
      <c r="T81" s="84">
        <f t="shared" si="50"/>
        <v>30219</v>
      </c>
      <c r="U81" s="84">
        <f t="shared" si="50"/>
        <v>30219</v>
      </c>
      <c r="V81" s="84">
        <f t="shared" si="50"/>
        <v>30219</v>
      </c>
      <c r="W81" s="84">
        <f t="shared" si="50"/>
        <v>30219</v>
      </c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136" t="s">
        <v>328</v>
      </c>
      <c r="AV81" s="136">
        <f>AV79+1</f>
        <v>14</v>
      </c>
      <c r="AW81" s="175"/>
      <c r="AX81" s="175"/>
      <c r="AY81" s="177"/>
      <c r="AZ81" s="178"/>
    </row>
    <row r="82" spans="1:89" s="169" customFormat="1" ht="19.5" customHeight="1" x14ac:dyDescent="0.25">
      <c r="A82" s="86" t="s">
        <v>118</v>
      </c>
      <c r="B82" s="86" t="s">
        <v>139</v>
      </c>
      <c r="C82" s="85" t="s">
        <v>137</v>
      </c>
      <c r="D82" s="86"/>
      <c r="E82" s="86" t="s">
        <v>131</v>
      </c>
      <c r="F82" s="86" t="s">
        <v>132</v>
      </c>
      <c r="G82" s="179"/>
      <c r="H82" s="179"/>
      <c r="I82" s="180"/>
      <c r="J82" s="180"/>
      <c r="K82" s="180">
        <f>[4]Internhusleie!K82</f>
        <v>0</v>
      </c>
      <c r="L82" s="180">
        <f>[4]Internhusleie!L82</f>
        <v>0</v>
      </c>
      <c r="M82" s="180">
        <f>[4]Internhusleie!M82</f>
        <v>12353</v>
      </c>
      <c r="N82" s="180">
        <f>[4]Internhusleie!N82</f>
        <v>27215</v>
      </c>
      <c r="O82" s="84">
        <f>N82</f>
        <v>27215</v>
      </c>
      <c r="P82" s="84">
        <f t="shared" si="50"/>
        <v>27215</v>
      </c>
      <c r="Q82" s="84">
        <f t="shared" si="50"/>
        <v>27215</v>
      </c>
      <c r="R82" s="84">
        <f t="shared" si="50"/>
        <v>27215</v>
      </c>
      <c r="S82" s="84">
        <f t="shared" si="50"/>
        <v>27215</v>
      </c>
      <c r="T82" s="84">
        <f t="shared" si="50"/>
        <v>27215</v>
      </c>
      <c r="U82" s="84">
        <f t="shared" si="50"/>
        <v>27215</v>
      </c>
      <c r="V82" s="84">
        <f t="shared" si="50"/>
        <v>27215</v>
      </c>
      <c r="W82" s="84">
        <f t="shared" si="50"/>
        <v>27215</v>
      </c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136" t="s">
        <v>328</v>
      </c>
      <c r="AV82" s="136">
        <f t="shared" si="49"/>
        <v>15</v>
      </c>
      <c r="AW82" s="175"/>
      <c r="AX82" s="175"/>
      <c r="AY82" s="177"/>
      <c r="AZ82" s="178"/>
    </row>
    <row r="83" spans="1:89" s="137" customFormat="1" ht="18.75" customHeight="1" x14ac:dyDescent="0.25">
      <c r="A83" s="90"/>
      <c r="B83" s="90"/>
      <c r="C83" s="119" t="s">
        <v>138</v>
      </c>
      <c r="D83" s="181"/>
      <c r="E83" s="181"/>
      <c r="F83" s="181"/>
      <c r="G83" s="165"/>
      <c r="H83" s="165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160"/>
      <c r="AV83" s="160"/>
      <c r="AW83" s="175">
        <f t="shared" ref="AW83:AW93" si="51">IF(F83="VEDTATT","VEDTATT",0)</f>
        <v>0</v>
      </c>
      <c r="AX83" s="175">
        <f t="shared" ref="AX83:AX93" si="52">IF(F83="MÅ","Nye tiltak",0)</f>
        <v>0</v>
      </c>
      <c r="AY83" s="176"/>
      <c r="AZ83" s="143"/>
      <c r="BA83" s="169"/>
      <c r="BB83" s="169"/>
      <c r="BC83" s="169"/>
    </row>
    <row r="84" spans="1:89" s="169" customFormat="1" ht="18.75" customHeight="1" x14ac:dyDescent="0.25">
      <c r="A84" s="80" t="s">
        <v>118</v>
      </c>
      <c r="B84" s="90" t="s">
        <v>140</v>
      </c>
      <c r="C84" s="85" t="s">
        <v>331</v>
      </c>
      <c r="D84" s="86"/>
      <c r="E84" s="86" t="s">
        <v>124</v>
      </c>
      <c r="F84" s="87" t="s">
        <v>121</v>
      </c>
      <c r="G84" s="165"/>
      <c r="H84" s="165"/>
      <c r="I84" s="82">
        <v>2485</v>
      </c>
      <c r="J84" s="82">
        <v>-590</v>
      </c>
      <c r="K84" s="82">
        <v>1118.568</v>
      </c>
      <c r="L84" s="82">
        <v>1148.7693359999998</v>
      </c>
      <c r="M84" s="82">
        <v>1179.7861080719997</v>
      </c>
      <c r="N84" s="82">
        <v>1211.6403329899435</v>
      </c>
      <c r="O84" s="242"/>
      <c r="P84" s="84"/>
      <c r="Q84" s="84"/>
      <c r="R84" s="84"/>
      <c r="S84" s="84"/>
      <c r="T84" s="84"/>
      <c r="U84" s="84"/>
      <c r="V84" s="84"/>
      <c r="W84" s="84"/>
      <c r="AU84" s="136" t="s">
        <v>328</v>
      </c>
      <c r="AV84" s="136">
        <f>AV82+1</f>
        <v>16</v>
      </c>
      <c r="AW84" s="175" t="str">
        <f t="shared" si="51"/>
        <v>VEDTATT</v>
      </c>
      <c r="AX84" s="175">
        <f t="shared" si="52"/>
        <v>0</v>
      </c>
      <c r="AY84" s="182"/>
      <c r="AZ84" s="143"/>
      <c r="BA84" s="137"/>
      <c r="BB84" s="137"/>
      <c r="BC84" s="137"/>
      <c r="CG84" s="153"/>
      <c r="CH84" s="153"/>
      <c r="CI84" s="153"/>
      <c r="CJ84" s="153"/>
    </row>
    <row r="85" spans="1:89" s="169" customFormat="1" ht="18.75" customHeight="1" x14ac:dyDescent="0.25">
      <c r="A85" s="80" t="s">
        <v>118</v>
      </c>
      <c r="B85" s="90" t="s">
        <v>477</v>
      </c>
      <c r="C85" s="85" t="s">
        <v>332</v>
      </c>
      <c r="D85" s="86"/>
      <c r="E85" s="86" t="s">
        <v>124</v>
      </c>
      <c r="F85" s="87" t="s">
        <v>121</v>
      </c>
      <c r="G85" s="165"/>
      <c r="H85" s="165"/>
      <c r="I85" s="82">
        <v>-6018</v>
      </c>
      <c r="J85" s="82">
        <v>590</v>
      </c>
      <c r="K85" s="82">
        <v>-1118.568</v>
      </c>
      <c r="L85" s="82">
        <v>-1148.7693359999998</v>
      </c>
      <c r="M85" s="82">
        <v>-1179.7861080719997</v>
      </c>
      <c r="N85" s="82">
        <v>-1211.6403329899435</v>
      </c>
      <c r="O85" s="84"/>
      <c r="P85" s="84"/>
      <c r="Q85" s="84"/>
      <c r="R85" s="84"/>
      <c r="S85" s="84"/>
      <c r="T85" s="84"/>
      <c r="U85" s="84"/>
      <c r="V85" s="84"/>
      <c r="W85" s="84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136" t="s">
        <v>328</v>
      </c>
      <c r="AV85" s="136">
        <f>AV84+1</f>
        <v>17</v>
      </c>
      <c r="AW85" s="175" t="str">
        <f t="shared" si="51"/>
        <v>VEDTATT</v>
      </c>
      <c r="AX85" s="175">
        <f t="shared" si="52"/>
        <v>0</v>
      </c>
      <c r="AY85" s="176"/>
      <c r="AZ85" s="143"/>
      <c r="CG85" s="153"/>
      <c r="CH85" s="153"/>
      <c r="CI85" s="153"/>
      <c r="CJ85" s="153"/>
    </row>
    <row r="86" spans="1:89" s="137" customFormat="1" ht="18.75" customHeight="1" x14ac:dyDescent="0.25">
      <c r="A86" s="57"/>
      <c r="B86" s="57" t="s">
        <v>141</v>
      </c>
      <c r="C86" s="38" t="s">
        <v>142</v>
      </c>
      <c r="D86" s="96"/>
      <c r="E86" s="96"/>
      <c r="F86" s="96"/>
      <c r="G86" s="59"/>
      <c r="H86" s="59">
        <f t="shared" ref="H86:W86" si="53">SUMIF($A:$A,"SKOLE",H:H)</f>
        <v>0</v>
      </c>
      <c r="I86" s="106">
        <f t="shared" si="53"/>
        <v>6435</v>
      </c>
      <c r="J86" s="106">
        <f t="shared" si="53"/>
        <v>17304</v>
      </c>
      <c r="K86" s="106">
        <f t="shared" si="53"/>
        <v>11005</v>
      </c>
      <c r="L86" s="106">
        <f t="shared" si="53"/>
        <v>38144</v>
      </c>
      <c r="M86" s="106">
        <f t="shared" si="53"/>
        <v>64160</v>
      </c>
      <c r="N86" s="106">
        <f t="shared" si="53"/>
        <v>86303</v>
      </c>
      <c r="O86" s="106">
        <f t="shared" si="53"/>
        <v>68547.672343281243</v>
      </c>
      <c r="P86" s="106">
        <f t="shared" si="53"/>
        <v>70223.295543328073</v>
      </c>
      <c r="Q86" s="106">
        <f t="shared" si="53"/>
        <v>63073.214436619601</v>
      </c>
      <c r="R86" s="106">
        <f t="shared" si="53"/>
        <v>57222.445362332059</v>
      </c>
      <c r="S86" s="106">
        <f t="shared" si="53"/>
        <v>57164.329536833611</v>
      </c>
      <c r="T86" s="106">
        <f t="shared" si="53"/>
        <v>46607.582923010406</v>
      </c>
      <c r="U86" s="106">
        <f t="shared" si="53"/>
        <v>52603.499678824795</v>
      </c>
      <c r="V86" s="106">
        <f t="shared" si="53"/>
        <v>53597.718673089374</v>
      </c>
      <c r="W86" s="106">
        <f t="shared" si="53"/>
        <v>55668.114722639701</v>
      </c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136"/>
      <c r="AV86" s="136"/>
      <c r="AW86" s="175">
        <f t="shared" si="51"/>
        <v>0</v>
      </c>
      <c r="AX86" s="175">
        <f t="shared" si="52"/>
        <v>0</v>
      </c>
      <c r="AY86" s="177"/>
      <c r="AZ86" s="143"/>
      <c r="BA86" s="169"/>
      <c r="BB86" s="169"/>
      <c r="BC86" s="169"/>
    </row>
    <row r="87" spans="1:89" s="137" customFormat="1" ht="18.75" customHeight="1" x14ac:dyDescent="0.25">
      <c r="A87" s="97"/>
      <c r="B87" s="97"/>
      <c r="C87" s="144"/>
      <c r="D87" s="98"/>
      <c r="E87" s="98"/>
      <c r="F87" s="98"/>
      <c r="G87" s="44"/>
      <c r="H87" s="44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36"/>
      <c r="AV87" s="136"/>
      <c r="AW87" s="175">
        <f t="shared" si="51"/>
        <v>0</v>
      </c>
      <c r="AX87" s="175">
        <f t="shared" si="52"/>
        <v>0</v>
      </c>
      <c r="AY87" s="182"/>
      <c r="AZ87" s="143"/>
    </row>
    <row r="88" spans="1:89" s="104" customFormat="1" ht="18.75" customHeight="1" x14ac:dyDescent="0.25">
      <c r="A88" s="99"/>
      <c r="B88" s="99"/>
      <c r="C88" s="100" t="s">
        <v>143</v>
      </c>
      <c r="D88" s="101"/>
      <c r="E88" s="101"/>
      <c r="F88" s="101"/>
      <c r="G88" s="102"/>
      <c r="H88" s="102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169"/>
      <c r="AT88" s="169"/>
      <c r="AU88" s="160"/>
      <c r="AV88" s="160"/>
      <c r="AW88" s="175">
        <f t="shared" si="51"/>
        <v>0</v>
      </c>
      <c r="AX88" s="175">
        <f t="shared" si="52"/>
        <v>0</v>
      </c>
      <c r="AY88" s="182"/>
      <c r="AZ88" s="143"/>
      <c r="BA88" s="137"/>
      <c r="BB88" s="137"/>
      <c r="BC88" s="137"/>
    </row>
    <row r="89" spans="1:89" s="137" customFormat="1" ht="18.75" customHeight="1" x14ac:dyDescent="0.25">
      <c r="A89" s="158"/>
      <c r="B89" s="158"/>
      <c r="C89" s="75" t="s">
        <v>144</v>
      </c>
      <c r="D89" s="101"/>
      <c r="E89" s="101"/>
      <c r="F89" s="101"/>
      <c r="G89" s="159"/>
      <c r="H89" s="15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210"/>
      <c r="Y89" s="210"/>
      <c r="Z89" s="210"/>
      <c r="AA89" s="210"/>
      <c r="AB89" s="210"/>
      <c r="AC89" s="210"/>
      <c r="AD89" s="210"/>
      <c r="AE89" s="210"/>
      <c r="AF89" s="210"/>
      <c r="AG89" s="210"/>
      <c r="AH89" s="210"/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160"/>
      <c r="AV89" s="160"/>
      <c r="AW89" s="175">
        <f t="shared" si="51"/>
        <v>0</v>
      </c>
      <c r="AX89" s="175">
        <f t="shared" si="52"/>
        <v>0</v>
      </c>
      <c r="AY89" s="183"/>
      <c r="AZ89" s="184"/>
      <c r="BA89" s="104"/>
      <c r="BB89" s="104"/>
      <c r="BC89" s="104"/>
    </row>
    <row r="90" spans="1:89" s="137" customFormat="1" ht="18.75" customHeight="1" x14ac:dyDescent="0.25">
      <c r="A90" s="90" t="s">
        <v>145</v>
      </c>
      <c r="B90" s="90" t="str">
        <f t="shared" ref="B90:B105" si="54">IF(AV90,AU90&amp;AV90,"")</f>
        <v>B1</v>
      </c>
      <c r="C90" s="110" t="s">
        <v>146</v>
      </c>
      <c r="D90" s="86"/>
      <c r="E90" s="86" t="s">
        <v>120</v>
      </c>
      <c r="F90" s="87" t="s">
        <v>121</v>
      </c>
      <c r="G90" s="180"/>
      <c r="H90" s="180"/>
      <c r="I90" s="111"/>
      <c r="J90" s="111"/>
      <c r="K90" s="111">
        <v>2700</v>
      </c>
      <c r="L90" s="111">
        <v>6400</v>
      </c>
      <c r="M90" s="111">
        <v>6400</v>
      </c>
      <c r="N90" s="111">
        <v>6400</v>
      </c>
      <c r="O90" s="268">
        <v>3292.4875144514617</v>
      </c>
      <c r="P90" s="268">
        <v>-9657.1548740024591</v>
      </c>
      <c r="Q90" s="268">
        <v>629.55295768700671</v>
      </c>
      <c r="R90" s="268">
        <v>1258.4979100583678</v>
      </c>
      <c r="S90" s="268">
        <v>3703.6139878797867</v>
      </c>
      <c r="T90" s="268">
        <v>5511.8474119695238</v>
      </c>
      <c r="U90" s="268">
        <v>7205.2108724811997</v>
      </c>
      <c r="V90" s="268">
        <v>9258.4942064058814</v>
      </c>
      <c r="W90" s="268">
        <v>9433.3088955481344</v>
      </c>
      <c r="X90" s="185" t="s">
        <v>472</v>
      </c>
      <c r="Y90" s="185"/>
      <c r="Z90" s="185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  <c r="AO90" s="216"/>
      <c r="AP90" s="216"/>
      <c r="AQ90" s="216"/>
      <c r="AR90" s="216"/>
      <c r="AS90" s="216"/>
      <c r="AT90" s="216"/>
      <c r="AU90" s="136" t="s">
        <v>333</v>
      </c>
      <c r="AV90" s="136">
        <v>1</v>
      </c>
      <c r="AW90" s="175" t="str">
        <f t="shared" si="51"/>
        <v>VEDTATT</v>
      </c>
      <c r="AX90" s="175">
        <f t="shared" si="52"/>
        <v>0</v>
      </c>
      <c r="AY90" s="182"/>
      <c r="AZ90" s="143"/>
    </row>
    <row r="91" spans="1:89" s="137" customFormat="1" ht="18.75" customHeight="1" x14ac:dyDescent="0.25">
      <c r="A91" s="90" t="s">
        <v>145</v>
      </c>
      <c r="B91" s="90" t="str">
        <f t="shared" si="54"/>
        <v>B2</v>
      </c>
      <c r="C91" s="110" t="s">
        <v>147</v>
      </c>
      <c r="D91" s="86"/>
      <c r="E91" s="86" t="s">
        <v>120</v>
      </c>
      <c r="F91" s="112" t="s">
        <v>121</v>
      </c>
      <c r="G91" s="180"/>
      <c r="H91" s="180"/>
      <c r="I91" s="111"/>
      <c r="J91" s="111">
        <v>-2900</v>
      </c>
      <c r="K91" s="111"/>
      <c r="L91" s="111">
        <v>-700</v>
      </c>
      <c r="M91" s="111">
        <v>-1600</v>
      </c>
      <c r="N91" s="111">
        <v>-1600</v>
      </c>
      <c r="O91" s="111"/>
      <c r="P91" s="111"/>
      <c r="Q91" s="111"/>
      <c r="R91" s="111"/>
      <c r="S91" s="111"/>
      <c r="T91" s="111"/>
      <c r="U91" s="111"/>
      <c r="V91" s="111"/>
      <c r="W91" s="111"/>
      <c r="X91" s="185" t="s">
        <v>473</v>
      </c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36" t="s">
        <v>333</v>
      </c>
      <c r="AV91" s="136">
        <f t="shared" ref="AV91:AV101" si="55">AV90+1</f>
        <v>2</v>
      </c>
      <c r="AW91" s="175" t="str">
        <f t="shared" si="51"/>
        <v>VEDTATT</v>
      </c>
      <c r="AX91" s="175">
        <f t="shared" si="52"/>
        <v>0</v>
      </c>
      <c r="AY91" s="186"/>
      <c r="AZ91" s="143"/>
    </row>
    <row r="92" spans="1:89" s="137" customFormat="1" ht="18.75" customHeight="1" x14ac:dyDescent="0.25">
      <c r="A92" s="90" t="s">
        <v>145</v>
      </c>
      <c r="B92" s="90" t="str">
        <f t="shared" si="54"/>
        <v>B3</v>
      </c>
      <c r="C92" s="110" t="s">
        <v>148</v>
      </c>
      <c r="D92" s="86"/>
      <c r="E92" s="86" t="s">
        <v>120</v>
      </c>
      <c r="F92" s="112" t="s">
        <v>121</v>
      </c>
      <c r="G92" s="180"/>
      <c r="H92" s="180"/>
      <c r="I92" s="111"/>
      <c r="J92" s="111"/>
      <c r="K92" s="111"/>
      <c r="L92" s="111"/>
      <c r="M92" s="111">
        <v>-1800</v>
      </c>
      <c r="N92" s="111">
        <v>-4200</v>
      </c>
      <c r="O92" s="111"/>
      <c r="P92" s="111"/>
      <c r="Q92" s="111"/>
      <c r="R92" s="111"/>
      <c r="S92" s="111"/>
      <c r="T92" s="111"/>
      <c r="U92" s="111"/>
      <c r="V92" s="111"/>
      <c r="W92" s="111"/>
      <c r="X92" s="185" t="s">
        <v>473</v>
      </c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36" t="s">
        <v>333</v>
      </c>
      <c r="AV92" s="136">
        <f t="shared" si="55"/>
        <v>3</v>
      </c>
      <c r="AW92" s="175" t="str">
        <f t="shared" si="51"/>
        <v>VEDTATT</v>
      </c>
      <c r="AX92" s="175">
        <f t="shared" si="52"/>
        <v>0</v>
      </c>
      <c r="AY92" s="186"/>
      <c r="AZ92" s="143"/>
    </row>
    <row r="93" spans="1:89" s="137" customFormat="1" ht="18.75" customHeight="1" x14ac:dyDescent="0.25">
      <c r="A93" s="90" t="s">
        <v>145</v>
      </c>
      <c r="B93" s="90" t="str">
        <f t="shared" si="54"/>
        <v>B4</v>
      </c>
      <c r="C93" s="110" t="s">
        <v>149</v>
      </c>
      <c r="D93" s="86"/>
      <c r="E93" s="86" t="s">
        <v>120</v>
      </c>
      <c r="F93" s="112" t="s">
        <v>121</v>
      </c>
      <c r="G93" s="180"/>
      <c r="H93" s="180"/>
      <c r="I93" s="111"/>
      <c r="J93" s="111"/>
      <c r="K93" s="111"/>
      <c r="L93" s="111"/>
      <c r="M93" s="111"/>
      <c r="N93" s="111">
        <v>-800</v>
      </c>
      <c r="O93" s="111"/>
      <c r="P93" s="111"/>
      <c r="Q93" s="111"/>
      <c r="R93" s="111"/>
      <c r="S93" s="111"/>
      <c r="T93" s="111"/>
      <c r="U93" s="111"/>
      <c r="V93" s="111"/>
      <c r="W93" s="111"/>
      <c r="X93" s="185" t="s">
        <v>473</v>
      </c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36" t="s">
        <v>333</v>
      </c>
      <c r="AV93" s="136">
        <f t="shared" si="55"/>
        <v>4</v>
      </c>
      <c r="AW93" s="175" t="str">
        <f t="shared" si="51"/>
        <v>VEDTATT</v>
      </c>
      <c r="AX93" s="175">
        <f t="shared" si="52"/>
        <v>0</v>
      </c>
      <c r="AY93" s="186"/>
      <c r="AZ93" s="143"/>
    </row>
    <row r="94" spans="1:89" s="137" customFormat="1" ht="18.75" customHeight="1" x14ac:dyDescent="0.25">
      <c r="A94" s="90" t="s">
        <v>145</v>
      </c>
      <c r="B94" s="90" t="str">
        <f t="shared" si="54"/>
        <v>B5</v>
      </c>
      <c r="C94" s="110" t="s">
        <v>150</v>
      </c>
      <c r="D94" s="86"/>
      <c r="E94" s="86" t="s">
        <v>131</v>
      </c>
      <c r="F94" s="112" t="s">
        <v>132</v>
      </c>
      <c r="G94" s="180"/>
      <c r="H94" s="180"/>
      <c r="I94" s="111"/>
      <c r="J94" s="111">
        <v>5000</v>
      </c>
      <c r="K94" s="111">
        <v>2170</v>
      </c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36" t="s">
        <v>333</v>
      </c>
      <c r="AV94" s="136">
        <f t="shared" si="55"/>
        <v>5</v>
      </c>
      <c r="AW94" s="175"/>
      <c r="AX94" s="175"/>
      <c r="AY94" s="186"/>
      <c r="AZ94" s="143"/>
    </row>
    <row r="95" spans="1:89" s="137" customFormat="1" x14ac:dyDescent="0.25">
      <c r="A95" s="90" t="s">
        <v>145</v>
      </c>
      <c r="B95" s="90" t="str">
        <f t="shared" si="54"/>
        <v>B6</v>
      </c>
      <c r="C95" s="110" t="s">
        <v>151</v>
      </c>
      <c r="D95" s="86"/>
      <c r="E95" s="86" t="s">
        <v>131</v>
      </c>
      <c r="F95" s="112" t="s">
        <v>132</v>
      </c>
      <c r="G95" s="180"/>
      <c r="H95" s="180"/>
      <c r="I95" s="111"/>
      <c r="J95" s="111"/>
      <c r="K95" s="111">
        <f>24000*5/12</f>
        <v>10000</v>
      </c>
      <c r="L95" s="111">
        <v>24000</v>
      </c>
      <c r="M95" s="111">
        <v>34000</v>
      </c>
      <c r="N95" s="111">
        <v>48000</v>
      </c>
      <c r="O95" s="84">
        <f t="shared" ref="O95:O105" si="56">N95</f>
        <v>48000</v>
      </c>
      <c r="P95" s="84">
        <f t="shared" ref="P95:W105" si="57">O95</f>
        <v>48000</v>
      </c>
      <c r="Q95" s="84">
        <f t="shared" si="57"/>
        <v>48000</v>
      </c>
      <c r="R95" s="84">
        <f t="shared" si="57"/>
        <v>48000</v>
      </c>
      <c r="S95" s="84">
        <f t="shared" si="57"/>
        <v>48000</v>
      </c>
      <c r="T95" s="84">
        <f t="shared" si="57"/>
        <v>48000</v>
      </c>
      <c r="U95" s="84">
        <f t="shared" si="57"/>
        <v>48000</v>
      </c>
      <c r="V95" s="84">
        <f t="shared" si="57"/>
        <v>48000</v>
      </c>
      <c r="W95" s="84">
        <f t="shared" si="57"/>
        <v>48000</v>
      </c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36" t="s">
        <v>333</v>
      </c>
      <c r="AV95" s="136">
        <f t="shared" si="55"/>
        <v>6</v>
      </c>
      <c r="AW95" s="175"/>
      <c r="AX95" s="175"/>
      <c r="AY95" s="186"/>
      <c r="AZ95" s="143"/>
      <c r="CG95" s="187"/>
      <c r="CH95" s="188">
        <v>2017</v>
      </c>
      <c r="CI95" s="188">
        <v>2018</v>
      </c>
      <c r="CJ95" s="188">
        <v>2019</v>
      </c>
      <c r="CK95" s="188">
        <v>2020</v>
      </c>
    </row>
    <row r="96" spans="1:89" s="137" customFormat="1" ht="18.75" customHeight="1" x14ac:dyDescent="0.25">
      <c r="A96" s="90" t="s">
        <v>145</v>
      </c>
      <c r="B96" s="90" t="str">
        <f t="shared" si="54"/>
        <v>B7</v>
      </c>
      <c r="C96" s="110" t="s">
        <v>152</v>
      </c>
      <c r="D96" s="86"/>
      <c r="E96" s="86" t="s">
        <v>124</v>
      </c>
      <c r="F96" s="112" t="s">
        <v>121</v>
      </c>
      <c r="G96" s="180"/>
      <c r="H96" s="180"/>
      <c r="I96" s="111"/>
      <c r="J96" s="111"/>
      <c r="K96" s="130">
        <v>-4500</v>
      </c>
      <c r="L96" s="130">
        <v>-4550</v>
      </c>
      <c r="M96" s="130">
        <v>-4510</v>
      </c>
      <c r="N96" s="130">
        <v>-4470</v>
      </c>
      <c r="O96" s="84">
        <f t="shared" si="56"/>
        <v>-4470</v>
      </c>
      <c r="P96" s="84">
        <f t="shared" si="57"/>
        <v>-4470</v>
      </c>
      <c r="Q96" s="84">
        <f t="shared" si="57"/>
        <v>-4470</v>
      </c>
      <c r="R96" s="84">
        <f t="shared" si="57"/>
        <v>-4470</v>
      </c>
      <c r="S96" s="84">
        <f t="shared" si="57"/>
        <v>-4470</v>
      </c>
      <c r="T96" s="84">
        <f t="shared" si="57"/>
        <v>-4470</v>
      </c>
      <c r="U96" s="84">
        <f t="shared" si="57"/>
        <v>-4470</v>
      </c>
      <c r="V96" s="84">
        <f t="shared" si="57"/>
        <v>-4470</v>
      </c>
      <c r="W96" s="84">
        <f t="shared" si="57"/>
        <v>-4470</v>
      </c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5"/>
      <c r="AU96" s="136" t="s">
        <v>333</v>
      </c>
      <c r="AV96" s="136">
        <f t="shared" si="55"/>
        <v>7</v>
      </c>
      <c r="AW96" s="175" t="str">
        <f>IF(F96="VEDTATT","VEDTATT",0)</f>
        <v>VEDTATT</v>
      </c>
      <c r="AX96" s="175">
        <f>IF(F96="MÅ","Nye tiltak",0)</f>
        <v>0</v>
      </c>
      <c r="AY96" s="186"/>
      <c r="AZ96" s="143"/>
      <c r="CG96" s="187" t="s">
        <v>334</v>
      </c>
      <c r="CH96" s="189">
        <v>-1700</v>
      </c>
      <c r="CI96" s="189">
        <v>-6500</v>
      </c>
      <c r="CJ96" s="189">
        <v>-12800</v>
      </c>
      <c r="CK96" s="189">
        <v>-19200</v>
      </c>
    </row>
    <row r="97" spans="1:89" s="137" customFormat="1" ht="18.75" customHeight="1" x14ac:dyDescent="0.25">
      <c r="A97" s="90" t="s">
        <v>145</v>
      </c>
      <c r="B97" s="90" t="str">
        <f t="shared" si="54"/>
        <v>B8</v>
      </c>
      <c r="C97" s="110" t="s">
        <v>129</v>
      </c>
      <c r="D97" s="86"/>
      <c r="E97" s="86" t="s">
        <v>124</v>
      </c>
      <c r="F97" s="112" t="s">
        <v>121</v>
      </c>
      <c r="G97" s="180"/>
      <c r="H97" s="180"/>
      <c r="I97" s="111"/>
      <c r="J97" s="111"/>
      <c r="K97" s="130"/>
      <c r="L97" s="130">
        <f>-4600-L98</f>
        <v>-4000</v>
      </c>
      <c r="M97" s="130">
        <f>-9190-M98</f>
        <v>-8590</v>
      </c>
      <c r="N97" s="130">
        <f>-9190-N98</f>
        <v>-8590</v>
      </c>
      <c r="O97" s="84">
        <f t="shared" si="56"/>
        <v>-8590</v>
      </c>
      <c r="P97" s="84">
        <f t="shared" si="57"/>
        <v>-8590</v>
      </c>
      <c r="Q97" s="84">
        <f t="shared" si="57"/>
        <v>-8590</v>
      </c>
      <c r="R97" s="84">
        <f t="shared" si="57"/>
        <v>-8590</v>
      </c>
      <c r="S97" s="84">
        <f t="shared" si="57"/>
        <v>-8590</v>
      </c>
      <c r="T97" s="84">
        <f t="shared" si="57"/>
        <v>-8590</v>
      </c>
      <c r="U97" s="84">
        <f t="shared" si="57"/>
        <v>-8590</v>
      </c>
      <c r="V97" s="84">
        <f t="shared" si="57"/>
        <v>-8590</v>
      </c>
      <c r="W97" s="84">
        <f t="shared" si="57"/>
        <v>-8590</v>
      </c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36" t="s">
        <v>333</v>
      </c>
      <c r="AV97" s="136">
        <f t="shared" si="55"/>
        <v>8</v>
      </c>
      <c r="AW97" s="175" t="str">
        <f>IF(F97="VEDTATT","VEDTATT",0)</f>
        <v>VEDTATT</v>
      </c>
      <c r="AX97" s="175">
        <f>IF(F97="MÅ","Nye tiltak",0)</f>
        <v>0</v>
      </c>
      <c r="AY97" s="186"/>
      <c r="AZ97" s="143"/>
      <c r="CG97" s="187"/>
      <c r="CH97" s="189"/>
      <c r="CI97" s="189"/>
      <c r="CJ97" s="189"/>
      <c r="CK97" s="189"/>
    </row>
    <row r="98" spans="1:89" s="137" customFormat="1" x14ac:dyDescent="0.25">
      <c r="A98" s="90" t="s">
        <v>145</v>
      </c>
      <c r="B98" s="90" t="str">
        <f t="shared" si="54"/>
        <v>B9</v>
      </c>
      <c r="C98" s="110" t="s">
        <v>130</v>
      </c>
      <c r="D98" s="86"/>
      <c r="E98" s="86" t="s">
        <v>131</v>
      </c>
      <c r="F98" s="112" t="s">
        <v>132</v>
      </c>
      <c r="G98" s="180"/>
      <c r="H98" s="180"/>
      <c r="I98" s="111"/>
      <c r="J98" s="111"/>
      <c r="K98" s="130"/>
      <c r="L98" s="130">
        <v>-600</v>
      </c>
      <c r="M98" s="130">
        <v>-600</v>
      </c>
      <c r="N98" s="130">
        <v>-600</v>
      </c>
      <c r="O98" s="84">
        <f t="shared" si="56"/>
        <v>-600</v>
      </c>
      <c r="P98" s="84">
        <f t="shared" si="57"/>
        <v>-600</v>
      </c>
      <c r="Q98" s="84">
        <f t="shared" si="57"/>
        <v>-600</v>
      </c>
      <c r="R98" s="84">
        <f t="shared" si="57"/>
        <v>-600</v>
      </c>
      <c r="S98" s="84">
        <f t="shared" si="57"/>
        <v>-600</v>
      </c>
      <c r="T98" s="84">
        <f t="shared" si="57"/>
        <v>-600</v>
      </c>
      <c r="U98" s="84">
        <f t="shared" si="57"/>
        <v>-600</v>
      </c>
      <c r="V98" s="84">
        <f t="shared" si="57"/>
        <v>-600</v>
      </c>
      <c r="W98" s="84">
        <f t="shared" si="57"/>
        <v>-600</v>
      </c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36" t="s">
        <v>333</v>
      </c>
      <c r="AV98" s="136">
        <f t="shared" si="55"/>
        <v>9</v>
      </c>
      <c r="AW98" s="175"/>
      <c r="AX98" s="175"/>
      <c r="AY98" s="186"/>
      <c r="AZ98" s="143"/>
      <c r="CG98" s="187" t="s">
        <v>335</v>
      </c>
      <c r="CH98" s="190">
        <v>-3225</v>
      </c>
      <c r="CI98" s="190">
        <v>-11325</v>
      </c>
      <c r="CJ98" s="190">
        <v>-20540</v>
      </c>
      <c r="CK98" s="190">
        <v>-29660</v>
      </c>
    </row>
    <row r="99" spans="1:89" s="137" customFormat="1" ht="19.5" customHeight="1" x14ac:dyDescent="0.25">
      <c r="A99" s="90" t="s">
        <v>145</v>
      </c>
      <c r="B99" s="90" t="str">
        <f t="shared" si="54"/>
        <v>B10</v>
      </c>
      <c r="C99" s="113" t="s">
        <v>153</v>
      </c>
      <c r="D99" s="86"/>
      <c r="E99" s="86" t="s">
        <v>124</v>
      </c>
      <c r="F99" s="112" t="s">
        <v>121</v>
      </c>
      <c r="G99" s="180"/>
      <c r="H99" s="180"/>
      <c r="I99" s="111"/>
      <c r="J99" s="111">
        <v>484</v>
      </c>
      <c r="K99" s="130"/>
      <c r="L99" s="130">
        <v>-200</v>
      </c>
      <c r="M99" s="130">
        <v>-200</v>
      </c>
      <c r="N99" s="130">
        <v>-200</v>
      </c>
      <c r="O99" s="84">
        <f t="shared" si="56"/>
        <v>-200</v>
      </c>
      <c r="P99" s="84">
        <f t="shared" si="57"/>
        <v>-200</v>
      </c>
      <c r="Q99" s="84">
        <f t="shared" si="57"/>
        <v>-200</v>
      </c>
      <c r="R99" s="84">
        <f t="shared" si="57"/>
        <v>-200</v>
      </c>
      <c r="S99" s="84">
        <f t="shared" si="57"/>
        <v>-200</v>
      </c>
      <c r="T99" s="84">
        <f t="shared" si="57"/>
        <v>-200</v>
      </c>
      <c r="U99" s="84">
        <f t="shared" si="57"/>
        <v>-200</v>
      </c>
      <c r="V99" s="84">
        <f t="shared" si="57"/>
        <v>-200</v>
      </c>
      <c r="W99" s="84">
        <f t="shared" si="57"/>
        <v>-200</v>
      </c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36" t="s">
        <v>333</v>
      </c>
      <c r="AV99" s="136">
        <f>AV98+1</f>
        <v>10</v>
      </c>
      <c r="AW99" s="175" t="str">
        <f>IF(F99="VEDTATT","VEDTATT",0)</f>
        <v>VEDTATT</v>
      </c>
      <c r="AX99" s="175">
        <f>IF(F99="MÅ","Nye tiltak",0)</f>
        <v>0</v>
      </c>
      <c r="AY99" s="186"/>
      <c r="AZ99" s="143"/>
    </row>
    <row r="100" spans="1:89" s="137" customFormat="1" ht="19.5" customHeight="1" x14ac:dyDescent="0.25">
      <c r="A100" s="90" t="s">
        <v>145</v>
      </c>
      <c r="B100" s="90" t="str">
        <f t="shared" si="54"/>
        <v>B11</v>
      </c>
      <c r="C100" s="110" t="s">
        <v>154</v>
      </c>
      <c r="D100" s="86"/>
      <c r="E100" s="86" t="s">
        <v>124</v>
      </c>
      <c r="F100" s="112" t="s">
        <v>121</v>
      </c>
      <c r="G100" s="180"/>
      <c r="H100" s="180"/>
      <c r="I100" s="111">
        <v>2220</v>
      </c>
      <c r="J100" s="111">
        <v>12650</v>
      </c>
      <c r="K100" s="130">
        <v>-1000</v>
      </c>
      <c r="L100" s="130">
        <v>-2000</v>
      </c>
      <c r="M100" s="130">
        <v>-2000</v>
      </c>
      <c r="N100" s="130">
        <v>-2000</v>
      </c>
      <c r="O100" s="84">
        <f t="shared" si="56"/>
        <v>-2000</v>
      </c>
      <c r="P100" s="84">
        <f t="shared" si="57"/>
        <v>-2000</v>
      </c>
      <c r="Q100" s="84">
        <f t="shared" si="57"/>
        <v>-2000</v>
      </c>
      <c r="R100" s="84">
        <f t="shared" si="57"/>
        <v>-2000</v>
      </c>
      <c r="S100" s="84">
        <f t="shared" si="57"/>
        <v>-2000</v>
      </c>
      <c r="T100" s="84">
        <f t="shared" si="57"/>
        <v>-2000</v>
      </c>
      <c r="U100" s="84">
        <f t="shared" si="57"/>
        <v>-2000</v>
      </c>
      <c r="V100" s="84">
        <f t="shared" si="57"/>
        <v>-2000</v>
      </c>
      <c r="W100" s="84">
        <f t="shared" si="57"/>
        <v>-2000</v>
      </c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36" t="s">
        <v>333</v>
      </c>
      <c r="AV100" s="136">
        <f t="shared" si="55"/>
        <v>11</v>
      </c>
      <c r="AW100" s="175" t="str">
        <f>IF(F100="VEDTATT","VEDTATT",0)</f>
        <v>VEDTATT</v>
      </c>
      <c r="AX100" s="175">
        <f>IF(F100="MÅ","Nye tiltak",0)</f>
        <v>0</v>
      </c>
      <c r="AY100" s="186"/>
      <c r="AZ100" s="143"/>
    </row>
    <row r="101" spans="1:89" s="137" customFormat="1" ht="18.75" customHeight="1" x14ac:dyDescent="0.25">
      <c r="A101" s="90" t="s">
        <v>145</v>
      </c>
      <c r="B101" s="90" t="str">
        <f t="shared" si="54"/>
        <v>B12</v>
      </c>
      <c r="C101" s="110" t="s">
        <v>155</v>
      </c>
      <c r="D101" s="86"/>
      <c r="E101" s="86" t="s">
        <v>120</v>
      </c>
      <c r="F101" s="112" t="s">
        <v>121</v>
      </c>
      <c r="G101" s="180"/>
      <c r="H101" s="180"/>
      <c r="I101" s="111"/>
      <c r="J101" s="111"/>
      <c r="K101" s="276">
        <v>7650</v>
      </c>
      <c r="L101" s="276">
        <f>K101</f>
        <v>7650</v>
      </c>
      <c r="M101" s="276">
        <v>5970</v>
      </c>
      <c r="N101" s="276">
        <v>3610</v>
      </c>
      <c r="O101" s="84">
        <f t="shared" si="56"/>
        <v>3610</v>
      </c>
      <c r="P101" s="84">
        <f t="shared" si="57"/>
        <v>3610</v>
      </c>
      <c r="Q101" s="84">
        <f t="shared" si="57"/>
        <v>3610</v>
      </c>
      <c r="R101" s="84">
        <f t="shared" si="57"/>
        <v>3610</v>
      </c>
      <c r="S101" s="84">
        <f t="shared" si="57"/>
        <v>3610</v>
      </c>
      <c r="T101" s="84">
        <f t="shared" si="57"/>
        <v>3610</v>
      </c>
      <c r="U101" s="84">
        <f t="shared" si="57"/>
        <v>3610</v>
      </c>
      <c r="V101" s="84">
        <f t="shared" si="57"/>
        <v>3610</v>
      </c>
      <c r="W101" s="84">
        <f t="shared" si="57"/>
        <v>3610</v>
      </c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5"/>
      <c r="AU101" s="136" t="s">
        <v>333</v>
      </c>
      <c r="AV101" s="136">
        <f t="shared" si="55"/>
        <v>12</v>
      </c>
      <c r="AW101" s="175" t="str">
        <f>IF(F101="VEDTATT","VEDTATT",0)</f>
        <v>VEDTATT</v>
      </c>
      <c r="AX101" s="175">
        <f>IF(F101="MÅ","Nye tiltak",0)</f>
        <v>0</v>
      </c>
      <c r="AY101" s="186"/>
      <c r="AZ101" s="143"/>
      <c r="BD101" s="137">
        <v>2013</v>
      </c>
      <c r="BE101" s="137">
        <v>2012</v>
      </c>
    </row>
    <row r="102" spans="1:89" s="137" customFormat="1" ht="18.75" customHeight="1" x14ac:dyDescent="0.25">
      <c r="A102" s="90" t="s">
        <v>145</v>
      </c>
      <c r="B102" s="90" t="str">
        <f t="shared" si="54"/>
        <v>B13</v>
      </c>
      <c r="C102" s="110" t="s">
        <v>156</v>
      </c>
      <c r="D102" s="86"/>
      <c r="E102" s="86" t="s">
        <v>131</v>
      </c>
      <c r="F102" s="112" t="s">
        <v>132</v>
      </c>
      <c r="G102" s="180"/>
      <c r="H102" s="180"/>
      <c r="I102" s="111"/>
      <c r="J102" s="111">
        <v>-1834</v>
      </c>
      <c r="K102" s="130">
        <v>500</v>
      </c>
      <c r="L102" s="130">
        <v>500</v>
      </c>
      <c r="M102" s="130">
        <v>500</v>
      </c>
      <c r="N102" s="130">
        <v>500</v>
      </c>
      <c r="O102" s="84">
        <f t="shared" si="56"/>
        <v>500</v>
      </c>
      <c r="P102" s="84">
        <f t="shared" si="57"/>
        <v>500</v>
      </c>
      <c r="Q102" s="84">
        <f t="shared" si="57"/>
        <v>500</v>
      </c>
      <c r="R102" s="84">
        <f t="shared" si="57"/>
        <v>500</v>
      </c>
      <c r="S102" s="84">
        <f t="shared" si="57"/>
        <v>500</v>
      </c>
      <c r="T102" s="84">
        <f t="shared" si="57"/>
        <v>500</v>
      </c>
      <c r="U102" s="84">
        <f t="shared" si="57"/>
        <v>500</v>
      </c>
      <c r="V102" s="84">
        <f t="shared" si="57"/>
        <v>500</v>
      </c>
      <c r="W102" s="84">
        <f t="shared" si="57"/>
        <v>500</v>
      </c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36" t="s">
        <v>333</v>
      </c>
      <c r="AV102" s="136">
        <f>AV101+1</f>
        <v>13</v>
      </c>
      <c r="AW102" s="175">
        <f>IF(F102="VEDTATT","VEDTATT",0)</f>
        <v>0</v>
      </c>
      <c r="AX102" s="175" t="str">
        <f>IF(F102="MÅ","Nye tiltak",0)</f>
        <v>Nye tiltak</v>
      </c>
      <c r="AY102" s="186"/>
      <c r="AZ102" s="143"/>
      <c r="BA102" s="137">
        <v>2016</v>
      </c>
      <c r="BB102" s="137">
        <v>2015</v>
      </c>
      <c r="BC102" s="137">
        <v>2014</v>
      </c>
    </row>
    <row r="103" spans="1:89" s="137" customFormat="1" ht="18.75" customHeight="1" x14ac:dyDescent="0.25">
      <c r="A103" s="90" t="s">
        <v>145</v>
      </c>
      <c r="B103" s="90" t="str">
        <f t="shared" si="54"/>
        <v>B14</v>
      </c>
      <c r="C103" s="191" t="s">
        <v>157</v>
      </c>
      <c r="D103" s="86"/>
      <c r="E103" s="86" t="s">
        <v>120</v>
      </c>
      <c r="F103" s="112" t="s">
        <v>121</v>
      </c>
      <c r="G103" s="180"/>
      <c r="H103" s="180"/>
      <c r="I103" s="111"/>
      <c r="J103" s="111"/>
      <c r="K103" s="130">
        <f>[4]Internhusleie!K96</f>
        <v>3559</v>
      </c>
      <c r="L103" s="130">
        <f>[4]Internhusleie!L96</f>
        <v>3559</v>
      </c>
      <c r="M103" s="130">
        <f>[4]Internhusleie!M96</f>
        <v>3559</v>
      </c>
      <c r="N103" s="130">
        <f>[4]Internhusleie!N96</f>
        <v>3559</v>
      </c>
      <c r="O103" s="84">
        <f t="shared" si="56"/>
        <v>3559</v>
      </c>
      <c r="P103" s="84">
        <f t="shared" si="57"/>
        <v>3559</v>
      </c>
      <c r="Q103" s="84">
        <f t="shared" si="57"/>
        <v>3559</v>
      </c>
      <c r="R103" s="84">
        <f t="shared" si="57"/>
        <v>3559</v>
      </c>
      <c r="S103" s="84">
        <f t="shared" si="57"/>
        <v>3559</v>
      </c>
      <c r="T103" s="84">
        <f t="shared" si="57"/>
        <v>3559</v>
      </c>
      <c r="U103" s="84">
        <f t="shared" si="57"/>
        <v>3559</v>
      </c>
      <c r="V103" s="84">
        <f t="shared" si="57"/>
        <v>3559</v>
      </c>
      <c r="W103" s="84">
        <f t="shared" si="57"/>
        <v>3559</v>
      </c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36" t="s">
        <v>333</v>
      </c>
      <c r="AV103" s="136">
        <f>AV102+1</f>
        <v>14</v>
      </c>
      <c r="AW103" s="175"/>
      <c r="AX103" s="175"/>
      <c r="AY103" s="186"/>
      <c r="AZ103" s="143"/>
      <c r="BD103" s="166"/>
      <c r="BE103" s="166"/>
    </row>
    <row r="104" spans="1:89" s="137" customFormat="1" ht="18.75" customHeight="1" x14ac:dyDescent="0.25">
      <c r="A104" s="90" t="s">
        <v>145</v>
      </c>
      <c r="B104" s="90" t="str">
        <f t="shared" si="54"/>
        <v>B15</v>
      </c>
      <c r="C104" s="277" t="s">
        <v>128</v>
      </c>
      <c r="D104" s="86"/>
      <c r="E104" s="86" t="s">
        <v>131</v>
      </c>
      <c r="F104" s="112" t="s">
        <v>132</v>
      </c>
      <c r="G104" s="180"/>
      <c r="H104" s="180"/>
      <c r="I104" s="111"/>
      <c r="J104" s="111"/>
      <c r="K104" s="130">
        <v>1300</v>
      </c>
      <c r="L104" s="130">
        <v>1300</v>
      </c>
      <c r="M104" s="130">
        <v>1300</v>
      </c>
      <c r="N104" s="130">
        <v>1300</v>
      </c>
      <c r="O104" s="84">
        <f t="shared" si="56"/>
        <v>1300</v>
      </c>
      <c r="P104" s="84">
        <f t="shared" si="57"/>
        <v>1300</v>
      </c>
      <c r="Q104" s="84">
        <f t="shared" si="57"/>
        <v>1300</v>
      </c>
      <c r="R104" s="84">
        <f t="shared" si="57"/>
        <v>1300</v>
      </c>
      <c r="S104" s="84">
        <f t="shared" si="57"/>
        <v>1300</v>
      </c>
      <c r="T104" s="84">
        <f t="shared" si="57"/>
        <v>1300</v>
      </c>
      <c r="U104" s="84">
        <f t="shared" si="57"/>
        <v>1300</v>
      </c>
      <c r="V104" s="84">
        <f t="shared" si="57"/>
        <v>1300</v>
      </c>
      <c r="W104" s="84">
        <f t="shared" si="57"/>
        <v>1300</v>
      </c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36" t="s">
        <v>333</v>
      </c>
      <c r="AV104" s="136">
        <f>AV103+1</f>
        <v>15</v>
      </c>
      <c r="AW104" s="175"/>
      <c r="AX104" s="175"/>
      <c r="AY104" s="186"/>
      <c r="AZ104" s="143"/>
    </row>
    <row r="105" spans="1:89" s="137" customFormat="1" ht="18.75" customHeight="1" x14ac:dyDescent="0.25">
      <c r="A105" s="90" t="s">
        <v>145</v>
      </c>
      <c r="B105" s="90" t="str">
        <f t="shared" si="54"/>
        <v>B16</v>
      </c>
      <c r="C105" s="277" t="s">
        <v>478</v>
      </c>
      <c r="D105" s="92"/>
      <c r="E105" s="92" t="s">
        <v>131</v>
      </c>
      <c r="F105" s="112" t="s">
        <v>132</v>
      </c>
      <c r="G105" s="180"/>
      <c r="H105" s="180"/>
      <c r="I105" s="111"/>
      <c r="J105" s="111"/>
      <c r="K105" s="130">
        <v>100</v>
      </c>
      <c r="L105" s="130">
        <v>100</v>
      </c>
      <c r="M105" s="130">
        <v>100</v>
      </c>
      <c r="N105" s="130">
        <v>100</v>
      </c>
      <c r="O105" s="84">
        <f t="shared" si="56"/>
        <v>100</v>
      </c>
      <c r="P105" s="84">
        <f t="shared" si="57"/>
        <v>100</v>
      </c>
      <c r="Q105" s="84">
        <f t="shared" si="57"/>
        <v>100</v>
      </c>
      <c r="R105" s="84">
        <f t="shared" si="57"/>
        <v>100</v>
      </c>
      <c r="S105" s="84">
        <f t="shared" si="57"/>
        <v>100</v>
      </c>
      <c r="T105" s="84">
        <f t="shared" si="57"/>
        <v>100</v>
      </c>
      <c r="U105" s="84">
        <f t="shared" si="57"/>
        <v>100</v>
      </c>
      <c r="V105" s="84">
        <f t="shared" si="57"/>
        <v>100</v>
      </c>
      <c r="W105" s="84">
        <f t="shared" si="57"/>
        <v>100</v>
      </c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36" t="s">
        <v>333</v>
      </c>
      <c r="AV105" s="136">
        <f>AV104+1</f>
        <v>16</v>
      </c>
      <c r="AW105" s="175"/>
      <c r="AX105" s="175"/>
      <c r="AY105" s="186"/>
      <c r="AZ105" s="143"/>
    </row>
    <row r="106" spans="1:89" s="137" customFormat="1" ht="18.75" customHeight="1" x14ac:dyDescent="0.25">
      <c r="A106" s="90"/>
      <c r="B106" s="90"/>
      <c r="C106" s="119" t="s">
        <v>158</v>
      </c>
      <c r="D106" s="114"/>
      <c r="E106" s="114"/>
      <c r="F106" s="112"/>
      <c r="G106" s="180"/>
      <c r="H106" s="180"/>
      <c r="I106" s="111"/>
      <c r="J106" s="111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60"/>
      <c r="AV106" s="160"/>
      <c r="AW106" s="175">
        <f>IF(F106="VEDTATT","VEDTATT",0)</f>
        <v>0</v>
      </c>
      <c r="AX106" s="175">
        <f>IF(F106="MÅ","Nye tiltak",0)</f>
        <v>0</v>
      </c>
      <c r="AY106" s="186"/>
      <c r="AZ106" s="143"/>
      <c r="BA106" s="166"/>
      <c r="BB106" s="166"/>
      <c r="BC106" s="166"/>
    </row>
    <row r="107" spans="1:89" s="137" customFormat="1" ht="18.75" customHeight="1" x14ac:dyDescent="0.25">
      <c r="A107" s="90" t="s">
        <v>145</v>
      </c>
      <c r="B107" s="90" t="str">
        <f>IF(AV107,AU107&amp;AV107,"")</f>
        <v>B17</v>
      </c>
      <c r="C107" s="120" t="s">
        <v>159</v>
      </c>
      <c r="D107" s="86"/>
      <c r="E107" s="86" t="s">
        <v>124</v>
      </c>
      <c r="F107" s="112" t="s">
        <v>121</v>
      </c>
      <c r="G107" s="180"/>
      <c r="H107" s="180"/>
      <c r="I107" s="111"/>
      <c r="J107" s="111"/>
      <c r="K107" s="130">
        <v>-444</v>
      </c>
      <c r="L107" s="130">
        <v>-444</v>
      </c>
      <c r="M107" s="130">
        <v>-444</v>
      </c>
      <c r="N107" s="130">
        <v>-444</v>
      </c>
      <c r="O107" s="84">
        <f>N107</f>
        <v>-444</v>
      </c>
      <c r="P107" s="84">
        <f t="shared" ref="P107:W109" si="58">O107</f>
        <v>-444</v>
      </c>
      <c r="Q107" s="84">
        <f t="shared" si="58"/>
        <v>-444</v>
      </c>
      <c r="R107" s="84">
        <f t="shared" si="58"/>
        <v>-444</v>
      </c>
      <c r="S107" s="84">
        <f t="shared" si="58"/>
        <v>-444</v>
      </c>
      <c r="T107" s="84">
        <f t="shared" si="58"/>
        <v>-444</v>
      </c>
      <c r="U107" s="84">
        <f t="shared" si="58"/>
        <v>-444</v>
      </c>
      <c r="V107" s="84">
        <f t="shared" si="58"/>
        <v>-444</v>
      </c>
      <c r="W107" s="84">
        <f t="shared" si="58"/>
        <v>-444</v>
      </c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36" t="s">
        <v>333</v>
      </c>
      <c r="AV107" s="136">
        <f>AV105+1</f>
        <v>17</v>
      </c>
      <c r="AW107" s="175" t="str">
        <f>IF(F107="VEDTATT","VEDTATT",0)</f>
        <v>VEDTATT</v>
      </c>
      <c r="AX107" s="175">
        <f>IF(F107="MÅ","Nye tiltak",0)</f>
        <v>0</v>
      </c>
      <c r="AY107" s="186"/>
      <c r="AZ107" s="143"/>
    </row>
    <row r="108" spans="1:89" s="137" customFormat="1" ht="18.75" customHeight="1" x14ac:dyDescent="0.25">
      <c r="A108" s="90" t="s">
        <v>145</v>
      </c>
      <c r="B108" s="90" t="str">
        <f>IF(AV108,AU108&amp;AV108,"")</f>
        <v>B18</v>
      </c>
      <c r="C108" s="120" t="s">
        <v>479</v>
      </c>
      <c r="D108" s="86"/>
      <c r="E108" s="86" t="s">
        <v>131</v>
      </c>
      <c r="F108" s="112" t="s">
        <v>132</v>
      </c>
      <c r="G108" s="180"/>
      <c r="H108" s="180"/>
      <c r="I108" s="111"/>
      <c r="J108" s="111"/>
      <c r="K108" s="130">
        <v>2540</v>
      </c>
      <c r="L108" s="130">
        <v>2540</v>
      </c>
      <c r="M108" s="130">
        <v>2540</v>
      </c>
      <c r="N108" s="130">
        <v>2540</v>
      </c>
      <c r="O108" s="84">
        <f>N108</f>
        <v>2540</v>
      </c>
      <c r="P108" s="84">
        <f t="shared" si="58"/>
        <v>2540</v>
      </c>
      <c r="Q108" s="84">
        <f t="shared" si="58"/>
        <v>2540</v>
      </c>
      <c r="R108" s="84">
        <f t="shared" si="58"/>
        <v>2540</v>
      </c>
      <c r="S108" s="84">
        <f t="shared" si="58"/>
        <v>2540</v>
      </c>
      <c r="T108" s="84">
        <f t="shared" si="58"/>
        <v>2540</v>
      </c>
      <c r="U108" s="84">
        <f t="shared" si="58"/>
        <v>2540</v>
      </c>
      <c r="V108" s="84">
        <f t="shared" si="58"/>
        <v>2540</v>
      </c>
      <c r="W108" s="84">
        <f t="shared" si="58"/>
        <v>2540</v>
      </c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36" t="s">
        <v>333</v>
      </c>
      <c r="AV108" s="136">
        <f>AV107+1</f>
        <v>18</v>
      </c>
      <c r="AW108" s="175"/>
      <c r="AX108" s="175"/>
      <c r="AY108" s="186"/>
      <c r="AZ108" s="143"/>
    </row>
    <row r="109" spans="1:89" s="137" customFormat="1" ht="18.75" customHeight="1" x14ac:dyDescent="0.25">
      <c r="A109" s="90" t="s">
        <v>145</v>
      </c>
      <c r="B109" s="90" t="str">
        <f>IF(AV109,AU109&amp;AV109,"")</f>
        <v>B19</v>
      </c>
      <c r="C109" s="191" t="s">
        <v>160</v>
      </c>
      <c r="D109" s="86"/>
      <c r="E109" s="86" t="s">
        <v>120</v>
      </c>
      <c r="F109" s="112" t="s">
        <v>121</v>
      </c>
      <c r="G109" s="180"/>
      <c r="H109" s="180"/>
      <c r="I109" s="111"/>
      <c r="J109" s="111"/>
      <c r="K109" s="111">
        <f>[4]Internhusleie!K105</f>
        <v>1088</v>
      </c>
      <c r="L109" s="111">
        <f>[4]Internhusleie!L105</f>
        <v>2174</v>
      </c>
      <c r="M109" s="111">
        <f>[4]Internhusleie!M105</f>
        <v>2174</v>
      </c>
      <c r="N109" s="111">
        <f>[4]Internhusleie!N105</f>
        <v>2174</v>
      </c>
      <c r="O109" s="84">
        <f>N109</f>
        <v>2174</v>
      </c>
      <c r="P109" s="84">
        <f t="shared" si="58"/>
        <v>2174</v>
      </c>
      <c r="Q109" s="84">
        <f t="shared" si="58"/>
        <v>2174</v>
      </c>
      <c r="R109" s="84">
        <f t="shared" si="58"/>
        <v>2174</v>
      </c>
      <c r="S109" s="84">
        <f t="shared" si="58"/>
        <v>2174</v>
      </c>
      <c r="T109" s="84">
        <f t="shared" si="58"/>
        <v>2174</v>
      </c>
      <c r="U109" s="84">
        <f t="shared" si="58"/>
        <v>2174</v>
      </c>
      <c r="V109" s="84">
        <f t="shared" si="58"/>
        <v>2174</v>
      </c>
      <c r="W109" s="84">
        <f t="shared" si="58"/>
        <v>2174</v>
      </c>
      <c r="X109" s="185"/>
      <c r="Y109" s="185"/>
      <c r="Z109" s="185"/>
      <c r="AA109" s="185"/>
      <c r="AB109" s="185"/>
      <c r="AC109" s="185"/>
      <c r="AD109" s="185"/>
      <c r="AE109" s="185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36" t="s">
        <v>333</v>
      </c>
      <c r="AV109" s="136">
        <f>AV108+1</f>
        <v>19</v>
      </c>
      <c r="AW109" s="175"/>
      <c r="AX109" s="175"/>
      <c r="AY109" s="182"/>
      <c r="AZ109" s="143"/>
    </row>
    <row r="110" spans="1:89" s="137" customFormat="1" ht="18.75" customHeight="1" x14ac:dyDescent="0.25">
      <c r="A110" s="57"/>
      <c r="B110" s="57" t="s">
        <v>141</v>
      </c>
      <c r="C110" s="38" t="s">
        <v>161</v>
      </c>
      <c r="D110" s="96"/>
      <c r="E110" s="96"/>
      <c r="F110" s="96"/>
      <c r="G110" s="59"/>
      <c r="H110" s="59">
        <f t="shared" ref="H110:W110" si="59">SUMIF($A:$A,"B/U",H:H)</f>
        <v>0</v>
      </c>
      <c r="I110" s="106">
        <f t="shared" si="59"/>
        <v>2220</v>
      </c>
      <c r="J110" s="106">
        <f t="shared" si="59"/>
        <v>13400</v>
      </c>
      <c r="K110" s="106">
        <f t="shared" si="59"/>
        <v>25663</v>
      </c>
      <c r="L110" s="106">
        <f t="shared" si="59"/>
        <v>35729</v>
      </c>
      <c r="M110" s="106">
        <f t="shared" si="59"/>
        <v>36799</v>
      </c>
      <c r="N110" s="106">
        <f t="shared" si="59"/>
        <v>45279</v>
      </c>
      <c r="O110" s="106">
        <f t="shared" si="59"/>
        <v>48771.487514451459</v>
      </c>
      <c r="P110" s="106">
        <f t="shared" si="59"/>
        <v>35821.845125997541</v>
      </c>
      <c r="Q110" s="106">
        <f t="shared" si="59"/>
        <v>46108.552957687003</v>
      </c>
      <c r="R110" s="106">
        <f t="shared" si="59"/>
        <v>46737.497910058366</v>
      </c>
      <c r="S110" s="106">
        <f t="shared" si="59"/>
        <v>49182.613987879784</v>
      </c>
      <c r="T110" s="106">
        <f t="shared" si="59"/>
        <v>50990.847411969524</v>
      </c>
      <c r="U110" s="106">
        <f t="shared" si="59"/>
        <v>52684.210872481199</v>
      </c>
      <c r="V110" s="106">
        <f t="shared" si="59"/>
        <v>54737.494206405885</v>
      </c>
      <c r="W110" s="106">
        <f t="shared" si="59"/>
        <v>54912.308895548136</v>
      </c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36"/>
      <c r="AV110" s="136"/>
      <c r="AW110" s="175">
        <f t="shared" ref="AW110:AW115" si="60">IF(F110="VEDTATT","VEDTATT",0)</f>
        <v>0</v>
      </c>
      <c r="AX110" s="175">
        <f t="shared" ref="AX110:AX115" si="61">IF(F110="MÅ","Nye tiltak",0)</f>
        <v>0</v>
      </c>
      <c r="AY110" s="182"/>
      <c r="AZ110" s="143"/>
    </row>
    <row r="111" spans="1:89" s="137" customFormat="1" ht="18.75" customHeight="1" x14ac:dyDescent="0.25">
      <c r="A111" s="97"/>
      <c r="B111" s="97"/>
      <c r="C111" s="144"/>
      <c r="D111" s="98"/>
      <c r="E111" s="98"/>
      <c r="F111" s="98"/>
      <c r="G111" s="44"/>
      <c r="H111" s="44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36"/>
      <c r="AV111" s="136"/>
      <c r="AW111" s="175">
        <f t="shared" si="60"/>
        <v>0</v>
      </c>
      <c r="AX111" s="175">
        <f t="shared" si="61"/>
        <v>0</v>
      </c>
      <c r="AY111" s="182"/>
      <c r="AZ111" s="143"/>
    </row>
    <row r="112" spans="1:89" s="169" customFormat="1" ht="18.75" customHeight="1" x14ac:dyDescent="0.25">
      <c r="A112" s="99"/>
      <c r="B112" s="99"/>
      <c r="C112" s="100" t="s">
        <v>162</v>
      </c>
      <c r="D112" s="101"/>
      <c r="E112" s="101"/>
      <c r="F112" s="115"/>
      <c r="G112" s="102"/>
      <c r="H112" s="102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AU112" s="160"/>
      <c r="AV112" s="160"/>
      <c r="AW112" s="175">
        <f t="shared" si="60"/>
        <v>0</v>
      </c>
      <c r="AX112" s="175">
        <f t="shared" si="61"/>
        <v>0</v>
      </c>
      <c r="AY112" s="182"/>
      <c r="AZ112" s="143"/>
      <c r="BA112" s="137"/>
      <c r="BB112" s="137"/>
      <c r="BC112" s="137"/>
    </row>
    <row r="113" spans="1:122" s="137" customFormat="1" ht="18.75" customHeight="1" x14ac:dyDescent="0.25">
      <c r="A113" s="158"/>
      <c r="B113" s="198"/>
      <c r="C113" s="119" t="s">
        <v>163</v>
      </c>
      <c r="D113" s="121"/>
      <c r="E113" s="121"/>
      <c r="F113" s="112"/>
      <c r="G113" s="179"/>
      <c r="H113" s="179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0"/>
      <c r="AV113" s="160"/>
      <c r="AW113" s="175">
        <f t="shared" si="60"/>
        <v>0</v>
      </c>
      <c r="AX113" s="175">
        <f t="shared" si="61"/>
        <v>0</v>
      </c>
      <c r="AY113" s="182"/>
      <c r="AZ113" s="143"/>
    </row>
    <row r="114" spans="1:122" s="137" customFormat="1" ht="18.75" customHeight="1" x14ac:dyDescent="0.25">
      <c r="A114" s="80" t="s">
        <v>164</v>
      </c>
      <c r="B114" s="90" t="str">
        <f t="shared" ref="B114:B140" si="62">IF(AV114,AU114&amp;AV114,"")</f>
        <v>L1</v>
      </c>
      <c r="C114" s="116" t="s">
        <v>165</v>
      </c>
      <c r="D114" s="86"/>
      <c r="E114" s="86" t="s">
        <v>124</v>
      </c>
      <c r="F114" s="112" t="s">
        <v>121</v>
      </c>
      <c r="G114" s="179"/>
      <c r="H114" s="179"/>
      <c r="I114" s="111">
        <v>150</v>
      </c>
      <c r="J114" s="111">
        <v>50</v>
      </c>
      <c r="K114" s="111">
        <v>-384</v>
      </c>
      <c r="L114" s="111">
        <v>-1156</v>
      </c>
      <c r="M114" s="111">
        <v>-1928</v>
      </c>
      <c r="N114" s="111">
        <v>-2700</v>
      </c>
      <c r="O114" s="84">
        <f t="shared" ref="O114:O120" si="63">N114</f>
        <v>-2700</v>
      </c>
      <c r="P114" s="84">
        <f t="shared" ref="P114:W120" si="64">O114</f>
        <v>-2700</v>
      </c>
      <c r="Q114" s="84">
        <f t="shared" si="64"/>
        <v>-2700</v>
      </c>
      <c r="R114" s="84">
        <f t="shared" si="64"/>
        <v>-2700</v>
      </c>
      <c r="S114" s="84">
        <f t="shared" si="64"/>
        <v>-2700</v>
      </c>
      <c r="T114" s="84">
        <f t="shared" si="64"/>
        <v>-2700</v>
      </c>
      <c r="U114" s="84">
        <f t="shared" si="64"/>
        <v>-2700</v>
      </c>
      <c r="V114" s="84">
        <f t="shared" si="64"/>
        <v>-2700</v>
      </c>
      <c r="W114" s="84">
        <f t="shared" si="64"/>
        <v>-2700</v>
      </c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36" t="s">
        <v>336</v>
      </c>
      <c r="AV114" s="136">
        <v>1</v>
      </c>
      <c r="AW114" s="175" t="str">
        <f t="shared" si="60"/>
        <v>VEDTATT</v>
      </c>
      <c r="AX114" s="175">
        <f t="shared" si="61"/>
        <v>0</v>
      </c>
      <c r="AY114" s="182"/>
      <c r="AZ114" s="143"/>
    </row>
    <row r="115" spans="1:122" s="137" customFormat="1" x14ac:dyDescent="0.25">
      <c r="A115" s="80" t="s">
        <v>164</v>
      </c>
      <c r="B115" s="90" t="str">
        <f t="shared" si="62"/>
        <v>L2</v>
      </c>
      <c r="C115" s="116" t="s">
        <v>129</v>
      </c>
      <c r="D115" s="86"/>
      <c r="E115" s="86" t="s">
        <v>124</v>
      </c>
      <c r="F115" s="112" t="s">
        <v>121</v>
      </c>
      <c r="G115" s="180"/>
      <c r="H115" s="180"/>
      <c r="I115" s="111"/>
      <c r="J115" s="111"/>
      <c r="K115" s="111"/>
      <c r="L115" s="111">
        <v>-5070</v>
      </c>
      <c r="M115" s="111">
        <v>-10150</v>
      </c>
      <c r="N115" s="111">
        <v>-10150</v>
      </c>
      <c r="O115" s="84">
        <f t="shared" si="63"/>
        <v>-10150</v>
      </c>
      <c r="P115" s="84">
        <f t="shared" si="64"/>
        <v>-10150</v>
      </c>
      <c r="Q115" s="84">
        <f t="shared" si="64"/>
        <v>-10150</v>
      </c>
      <c r="R115" s="84">
        <f t="shared" si="64"/>
        <v>-10150</v>
      </c>
      <c r="S115" s="84">
        <f t="shared" si="64"/>
        <v>-10150</v>
      </c>
      <c r="T115" s="84">
        <f t="shared" si="64"/>
        <v>-10150</v>
      </c>
      <c r="U115" s="84">
        <f t="shared" si="64"/>
        <v>-10150</v>
      </c>
      <c r="V115" s="84">
        <f t="shared" si="64"/>
        <v>-10150</v>
      </c>
      <c r="W115" s="84">
        <f t="shared" si="64"/>
        <v>-10150</v>
      </c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36" t="s">
        <v>336</v>
      </c>
      <c r="AV115" s="136">
        <f t="shared" ref="AV115:AV120" si="65">AV114+1</f>
        <v>2</v>
      </c>
      <c r="AW115" s="175" t="str">
        <f t="shared" si="60"/>
        <v>VEDTATT</v>
      </c>
      <c r="AX115" s="175">
        <f t="shared" si="61"/>
        <v>0</v>
      </c>
      <c r="AY115" s="182"/>
      <c r="AZ115" s="143"/>
    </row>
    <row r="116" spans="1:122" s="137" customFormat="1" ht="18.75" customHeight="1" x14ac:dyDescent="0.25">
      <c r="A116" s="90" t="s">
        <v>164</v>
      </c>
      <c r="B116" s="90" t="str">
        <f t="shared" si="62"/>
        <v>L3</v>
      </c>
      <c r="C116" s="116" t="s">
        <v>130</v>
      </c>
      <c r="D116" s="86"/>
      <c r="E116" s="86" t="s">
        <v>131</v>
      </c>
      <c r="F116" s="112" t="s">
        <v>132</v>
      </c>
      <c r="G116" s="180"/>
      <c r="H116" s="180"/>
      <c r="I116" s="111"/>
      <c r="J116" s="111"/>
      <c r="K116" s="111"/>
      <c r="L116" s="111">
        <v>-2000</v>
      </c>
      <c r="M116" s="111">
        <v>-4000</v>
      </c>
      <c r="N116" s="111">
        <v>-4000</v>
      </c>
      <c r="O116" s="84">
        <f t="shared" si="63"/>
        <v>-4000</v>
      </c>
      <c r="P116" s="84">
        <f t="shared" si="64"/>
        <v>-4000</v>
      </c>
      <c r="Q116" s="84">
        <f t="shared" si="64"/>
        <v>-4000</v>
      </c>
      <c r="R116" s="84">
        <f t="shared" si="64"/>
        <v>-4000</v>
      </c>
      <c r="S116" s="84">
        <f t="shared" si="64"/>
        <v>-4000</v>
      </c>
      <c r="T116" s="84">
        <f t="shared" si="64"/>
        <v>-4000</v>
      </c>
      <c r="U116" s="84">
        <f t="shared" si="64"/>
        <v>-4000</v>
      </c>
      <c r="V116" s="84">
        <f t="shared" si="64"/>
        <v>-4000</v>
      </c>
      <c r="W116" s="84">
        <f t="shared" si="64"/>
        <v>-4000</v>
      </c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185"/>
      <c r="AI116" s="185"/>
      <c r="AJ116" s="185"/>
      <c r="AK116" s="185"/>
      <c r="AL116" s="185"/>
      <c r="AM116" s="185"/>
      <c r="AN116" s="185"/>
      <c r="AO116" s="185"/>
      <c r="AP116" s="185"/>
      <c r="AQ116" s="185"/>
      <c r="AR116" s="185"/>
      <c r="AS116" s="185"/>
      <c r="AT116" s="185"/>
      <c r="AU116" s="136" t="s">
        <v>336</v>
      </c>
      <c r="AV116" s="136">
        <f>AV115+1</f>
        <v>3</v>
      </c>
      <c r="AW116" s="192"/>
      <c r="AX116" s="192"/>
      <c r="AY116" s="193"/>
      <c r="AZ116" s="178"/>
      <c r="BA116" s="169"/>
      <c r="BB116" s="169"/>
      <c r="BC116" s="169"/>
    </row>
    <row r="117" spans="1:122" s="137" customFormat="1" ht="18.75" customHeight="1" x14ac:dyDescent="0.25">
      <c r="A117" s="90" t="s">
        <v>164</v>
      </c>
      <c r="B117" s="90" t="str">
        <f t="shared" si="62"/>
        <v>L4</v>
      </c>
      <c r="C117" s="116" t="s">
        <v>110</v>
      </c>
      <c r="D117" s="86"/>
      <c r="E117" s="86" t="s">
        <v>131</v>
      </c>
      <c r="F117" s="117" t="s">
        <v>132</v>
      </c>
      <c r="G117" s="180"/>
      <c r="H117" s="180"/>
      <c r="I117" s="111"/>
      <c r="J117" s="111"/>
      <c r="K117" s="111">
        <v>10000</v>
      </c>
      <c r="L117" s="111">
        <f>K117</f>
        <v>10000</v>
      </c>
      <c r="M117" s="111">
        <f>L117</f>
        <v>10000</v>
      </c>
      <c r="N117" s="111">
        <f>M117</f>
        <v>10000</v>
      </c>
      <c r="O117" s="84">
        <f t="shared" si="63"/>
        <v>10000</v>
      </c>
      <c r="P117" s="84">
        <f t="shared" si="64"/>
        <v>10000</v>
      </c>
      <c r="Q117" s="84">
        <f t="shared" si="64"/>
        <v>10000</v>
      </c>
      <c r="R117" s="84">
        <f t="shared" si="64"/>
        <v>10000</v>
      </c>
      <c r="S117" s="84">
        <f t="shared" si="64"/>
        <v>10000</v>
      </c>
      <c r="T117" s="84">
        <f t="shared" si="64"/>
        <v>10000</v>
      </c>
      <c r="U117" s="84">
        <f t="shared" si="64"/>
        <v>10000</v>
      </c>
      <c r="V117" s="84">
        <f t="shared" si="64"/>
        <v>10000</v>
      </c>
      <c r="W117" s="84">
        <f t="shared" si="64"/>
        <v>10000</v>
      </c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36" t="s">
        <v>336</v>
      </c>
      <c r="AV117" s="136">
        <f>AV116+1</f>
        <v>4</v>
      </c>
      <c r="AW117" s="175">
        <f>IF(F117="VEDTATT","VEDTATT",0)</f>
        <v>0</v>
      </c>
      <c r="AX117" s="175" t="str">
        <f>IF(F117="MÅ","Nye tiltak",0)</f>
        <v>Nye tiltak</v>
      </c>
      <c r="AY117" s="182"/>
      <c r="AZ117" s="143"/>
    </row>
    <row r="118" spans="1:122" s="137" customFormat="1" ht="18.75" customHeight="1" x14ac:dyDescent="0.25">
      <c r="A118" s="90" t="s">
        <v>164</v>
      </c>
      <c r="B118" s="90" t="str">
        <f t="shared" si="62"/>
        <v>L5</v>
      </c>
      <c r="C118" s="116" t="s">
        <v>166</v>
      </c>
      <c r="D118" s="86"/>
      <c r="E118" s="86" t="s">
        <v>131</v>
      </c>
      <c r="F118" s="112" t="s">
        <v>132</v>
      </c>
      <c r="G118" s="180"/>
      <c r="H118" s="180"/>
      <c r="I118" s="111"/>
      <c r="J118" s="111"/>
      <c r="K118" s="111">
        <v>-2700</v>
      </c>
      <c r="L118" s="111">
        <f>K118</f>
        <v>-2700</v>
      </c>
      <c r="M118" s="111">
        <f t="shared" ref="M118:N118" si="66">L118</f>
        <v>-2700</v>
      </c>
      <c r="N118" s="111">
        <f t="shared" si="66"/>
        <v>-2700</v>
      </c>
      <c r="O118" s="84">
        <f t="shared" si="63"/>
        <v>-2700</v>
      </c>
      <c r="P118" s="84">
        <f t="shared" si="64"/>
        <v>-2700</v>
      </c>
      <c r="Q118" s="84">
        <f t="shared" si="64"/>
        <v>-2700</v>
      </c>
      <c r="R118" s="84">
        <f t="shared" si="64"/>
        <v>-2700</v>
      </c>
      <c r="S118" s="84">
        <f t="shared" si="64"/>
        <v>-2700</v>
      </c>
      <c r="T118" s="84">
        <f t="shared" si="64"/>
        <v>-2700</v>
      </c>
      <c r="U118" s="84">
        <f t="shared" si="64"/>
        <v>-2700</v>
      </c>
      <c r="V118" s="84">
        <f t="shared" si="64"/>
        <v>-2700</v>
      </c>
      <c r="W118" s="84">
        <f t="shared" si="64"/>
        <v>-2700</v>
      </c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36" t="s">
        <v>336</v>
      </c>
      <c r="AV118" s="136">
        <f t="shared" si="65"/>
        <v>5</v>
      </c>
      <c r="AW118" s="175"/>
      <c r="AX118" s="175"/>
      <c r="AY118" s="182"/>
      <c r="AZ118" s="143"/>
    </row>
    <row r="119" spans="1:122" s="137" customFormat="1" ht="18.75" customHeight="1" x14ac:dyDescent="0.25">
      <c r="A119" s="90" t="s">
        <v>164</v>
      </c>
      <c r="B119" s="90" t="str">
        <f t="shared" si="62"/>
        <v>L6</v>
      </c>
      <c r="C119" s="116" t="s">
        <v>167</v>
      </c>
      <c r="D119" s="86"/>
      <c r="E119" s="86" t="s">
        <v>131</v>
      </c>
      <c r="F119" s="112" t="s">
        <v>132</v>
      </c>
      <c r="G119" s="180"/>
      <c r="H119" s="180"/>
      <c r="I119" s="111"/>
      <c r="J119" s="111"/>
      <c r="K119" s="111">
        <v>300</v>
      </c>
      <c r="L119" s="111">
        <v>300</v>
      </c>
      <c r="M119" s="111">
        <v>300</v>
      </c>
      <c r="N119" s="111">
        <v>300</v>
      </c>
      <c r="O119" s="84">
        <f t="shared" si="63"/>
        <v>300</v>
      </c>
      <c r="P119" s="84">
        <f t="shared" si="64"/>
        <v>300</v>
      </c>
      <c r="Q119" s="84">
        <f t="shared" si="64"/>
        <v>300</v>
      </c>
      <c r="R119" s="84">
        <f t="shared" si="64"/>
        <v>300</v>
      </c>
      <c r="S119" s="84">
        <f t="shared" si="64"/>
        <v>300</v>
      </c>
      <c r="T119" s="84">
        <f t="shared" si="64"/>
        <v>300</v>
      </c>
      <c r="U119" s="84">
        <f t="shared" si="64"/>
        <v>300</v>
      </c>
      <c r="V119" s="84">
        <f t="shared" si="64"/>
        <v>300</v>
      </c>
      <c r="W119" s="84">
        <f t="shared" si="64"/>
        <v>300</v>
      </c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69"/>
      <c r="AT119" s="169"/>
      <c r="AU119" s="136" t="s">
        <v>336</v>
      </c>
      <c r="AV119" s="136">
        <f t="shared" si="65"/>
        <v>6</v>
      </c>
      <c r="AW119" s="175"/>
      <c r="AX119" s="175"/>
      <c r="AY119" s="182"/>
      <c r="AZ119" s="143"/>
    </row>
    <row r="120" spans="1:122" s="137" customFormat="1" ht="18.75" customHeight="1" x14ac:dyDescent="0.25">
      <c r="A120" s="90" t="s">
        <v>164</v>
      </c>
      <c r="B120" s="90" t="str">
        <f t="shared" si="62"/>
        <v>L7</v>
      </c>
      <c r="C120" s="279" t="s">
        <v>480</v>
      </c>
      <c r="D120" s="86"/>
      <c r="E120" s="86" t="s">
        <v>131</v>
      </c>
      <c r="F120" s="112" t="s">
        <v>132</v>
      </c>
      <c r="G120" s="180"/>
      <c r="H120" s="180"/>
      <c r="I120" s="111"/>
      <c r="J120" s="111"/>
      <c r="K120" s="130">
        <v>4750</v>
      </c>
      <c r="L120" s="130">
        <v>4750</v>
      </c>
      <c r="M120" s="130">
        <v>4750</v>
      </c>
      <c r="N120" s="130">
        <v>4750</v>
      </c>
      <c r="O120" s="84">
        <f t="shared" si="63"/>
        <v>4750</v>
      </c>
      <c r="P120" s="84">
        <f t="shared" si="64"/>
        <v>4750</v>
      </c>
      <c r="Q120" s="84">
        <f t="shared" si="64"/>
        <v>4750</v>
      </c>
      <c r="R120" s="84">
        <f t="shared" si="64"/>
        <v>4750</v>
      </c>
      <c r="S120" s="84">
        <f t="shared" si="64"/>
        <v>4750</v>
      </c>
      <c r="T120" s="84">
        <f t="shared" si="64"/>
        <v>4750</v>
      </c>
      <c r="U120" s="84">
        <f t="shared" si="64"/>
        <v>4750</v>
      </c>
      <c r="V120" s="84">
        <f t="shared" si="64"/>
        <v>4750</v>
      </c>
      <c r="W120" s="84">
        <f t="shared" si="64"/>
        <v>4750</v>
      </c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69"/>
      <c r="AT120" s="169"/>
      <c r="AU120" s="136" t="s">
        <v>336</v>
      </c>
      <c r="AV120" s="136">
        <f t="shared" si="65"/>
        <v>7</v>
      </c>
      <c r="AW120" s="175"/>
      <c r="AX120" s="175"/>
      <c r="AY120" s="182"/>
      <c r="AZ120" s="143"/>
    </row>
    <row r="121" spans="1:122" s="137" customFormat="1" ht="18.75" customHeight="1" x14ac:dyDescent="0.25">
      <c r="A121" s="90"/>
      <c r="B121" s="90" t="str">
        <f t="shared" si="62"/>
        <v/>
      </c>
      <c r="C121" s="119" t="s">
        <v>168</v>
      </c>
      <c r="D121" s="121"/>
      <c r="E121" s="121"/>
      <c r="F121" s="112"/>
      <c r="G121" s="179"/>
      <c r="H121" s="179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69"/>
      <c r="AT121" s="169"/>
      <c r="AU121" s="160"/>
      <c r="AV121" s="160"/>
      <c r="AW121" s="175">
        <f>IF(F121="VEDTATT","VEDTATT",0)</f>
        <v>0</v>
      </c>
      <c r="AX121" s="175">
        <f>IF(F121="MÅ","Nye tiltak",0)</f>
        <v>0</v>
      </c>
      <c r="AY121" s="182"/>
      <c r="AZ121" s="143"/>
    </row>
    <row r="122" spans="1:122" s="137" customFormat="1" ht="18.75" customHeight="1" x14ac:dyDescent="0.25">
      <c r="A122" s="90" t="s">
        <v>164</v>
      </c>
      <c r="B122" s="90" t="str">
        <f t="shared" si="62"/>
        <v>L8</v>
      </c>
      <c r="C122" s="116" t="s">
        <v>169</v>
      </c>
      <c r="D122" s="86"/>
      <c r="E122" s="86" t="s">
        <v>124</v>
      </c>
      <c r="F122" s="112" t="s">
        <v>121</v>
      </c>
      <c r="G122" s="180"/>
      <c r="H122" s="180"/>
      <c r="I122" s="111">
        <v>9000</v>
      </c>
      <c r="J122" s="111">
        <v>0</v>
      </c>
      <c r="K122" s="111">
        <v>0</v>
      </c>
      <c r="L122" s="111">
        <v>9000</v>
      </c>
      <c r="M122" s="111">
        <v>19000</v>
      </c>
      <c r="N122" s="111">
        <v>19000</v>
      </c>
      <c r="O122" s="278">
        <v>9659.0625336622325</v>
      </c>
      <c r="P122" s="278">
        <v>9559.9954456081705</v>
      </c>
      <c r="Q122" s="278">
        <v>9601.7214974456292</v>
      </c>
      <c r="R122" s="278">
        <v>9666.4620999392228</v>
      </c>
      <c r="S122" s="278">
        <v>9953.4806713357939</v>
      </c>
      <c r="T122" s="278">
        <v>9147.7406908432768</v>
      </c>
      <c r="U122" s="278">
        <v>9473.2986901722124</v>
      </c>
      <c r="V122" s="278">
        <v>9256.1379557615928</v>
      </c>
      <c r="W122" s="278">
        <v>9304.7273287902772</v>
      </c>
      <c r="X122" s="185" t="s">
        <v>472</v>
      </c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69"/>
      <c r="AT122" s="169"/>
      <c r="AU122" s="136" t="s">
        <v>336</v>
      </c>
      <c r="AV122" s="136">
        <f>AV120+1</f>
        <v>8</v>
      </c>
      <c r="AW122" s="175" t="str">
        <f>IF(F122="VEDTATT","VEDTATT",0)</f>
        <v>VEDTATT</v>
      </c>
      <c r="AX122" s="175">
        <f>IF(F122="MÅ","Nye tiltak",0)</f>
        <v>0</v>
      </c>
      <c r="AY122" s="182"/>
      <c r="AZ122" s="143"/>
    </row>
    <row r="123" spans="1:122" s="137" customFormat="1" ht="18.75" customHeight="1" x14ac:dyDescent="0.25">
      <c r="A123" s="90" t="s">
        <v>164</v>
      </c>
      <c r="B123" s="90" t="str">
        <f t="shared" si="62"/>
        <v>L9</v>
      </c>
      <c r="C123" s="116" t="s">
        <v>170</v>
      </c>
      <c r="D123" s="86"/>
      <c r="E123" s="86" t="s">
        <v>120</v>
      </c>
      <c r="F123" s="112" t="s">
        <v>121</v>
      </c>
      <c r="G123" s="180"/>
      <c r="H123" s="180"/>
      <c r="I123" s="111">
        <v>29000</v>
      </c>
      <c r="J123" s="111">
        <v>2500</v>
      </c>
      <c r="K123" s="111">
        <v>2500</v>
      </c>
      <c r="L123" s="111">
        <v>5000</v>
      </c>
      <c r="M123" s="111">
        <v>7500</v>
      </c>
      <c r="N123" s="111">
        <v>10000</v>
      </c>
      <c r="O123" s="268">
        <v>29056.058911495471</v>
      </c>
      <c r="P123" s="268">
        <v>36138.507549497277</v>
      </c>
      <c r="Q123" s="268">
        <v>32644.494206725576</v>
      </c>
      <c r="R123" s="268">
        <v>34419.881971086455</v>
      </c>
      <c r="S123" s="268">
        <v>40410.704373087239</v>
      </c>
      <c r="T123" s="268">
        <v>39183.235226927063</v>
      </c>
      <c r="U123" s="268">
        <v>36370.259374375244</v>
      </c>
      <c r="V123" s="268">
        <v>37989.735981274061</v>
      </c>
      <c r="W123" s="268">
        <v>35754.964254629827</v>
      </c>
      <c r="X123" s="185" t="s">
        <v>472</v>
      </c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169"/>
      <c r="AO123" s="169"/>
      <c r="AP123" s="169"/>
      <c r="AQ123" s="169"/>
      <c r="AR123" s="169"/>
      <c r="AS123" s="169"/>
      <c r="AT123" s="169"/>
      <c r="AU123" s="136" t="s">
        <v>336</v>
      </c>
      <c r="AV123" s="136">
        <f>AV122+1</f>
        <v>9</v>
      </c>
      <c r="AW123" s="175" t="str">
        <f>IF(F123="VEDTATT","VEDTATT",0)</f>
        <v>VEDTATT</v>
      </c>
      <c r="AX123" s="175">
        <f>IF(F123="MÅ","Nye tiltak",0)</f>
        <v>0</v>
      </c>
      <c r="AY123" s="182"/>
      <c r="AZ123" s="143"/>
    </row>
    <row r="124" spans="1:122" s="137" customFormat="1" ht="18.75" customHeight="1" x14ac:dyDescent="0.25">
      <c r="A124" s="90" t="s">
        <v>164</v>
      </c>
      <c r="B124" s="90" t="str">
        <f t="shared" si="62"/>
        <v>L10</v>
      </c>
      <c r="C124" s="116" t="s">
        <v>171</v>
      </c>
      <c r="D124" s="86"/>
      <c r="E124" s="86" t="s">
        <v>131</v>
      </c>
      <c r="F124" s="112" t="s">
        <v>132</v>
      </c>
      <c r="G124" s="180"/>
      <c r="H124" s="180"/>
      <c r="I124" s="111"/>
      <c r="J124" s="111">
        <v>1000</v>
      </c>
      <c r="K124" s="111">
        <f>7000-((7000-1500)*0.8)</f>
        <v>2600</v>
      </c>
      <c r="L124" s="111">
        <f>7000-((7000-1500)*0.8)</f>
        <v>2600</v>
      </c>
      <c r="M124" s="111">
        <f>7000-((7000-1500)*0.8)</f>
        <v>2600</v>
      </c>
      <c r="N124" s="111">
        <f>7000-((7000-1500)*0.8)</f>
        <v>2600</v>
      </c>
      <c r="O124" s="111"/>
      <c r="P124" s="111"/>
      <c r="Q124" s="111"/>
      <c r="R124" s="111"/>
      <c r="S124" s="111"/>
      <c r="T124" s="111"/>
      <c r="U124" s="111"/>
      <c r="V124" s="111"/>
      <c r="W124" s="111"/>
      <c r="X124" s="185" t="s">
        <v>473</v>
      </c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69"/>
      <c r="AU124" s="136" t="s">
        <v>336</v>
      </c>
      <c r="AV124" s="136">
        <f>AV123+1</f>
        <v>10</v>
      </c>
      <c r="AW124" s="175">
        <f>IF(F124="VEDTATT","VEDTATT",0)</f>
        <v>0</v>
      </c>
      <c r="AX124" s="175" t="str">
        <f>IF(F124="MÅ","Nye tiltak",0)</f>
        <v>Nye tiltak</v>
      </c>
      <c r="AY124" s="182"/>
      <c r="AZ124" s="143">
        <v>1</v>
      </c>
    </row>
    <row r="125" spans="1:122" s="137" customFormat="1" ht="18.75" customHeight="1" x14ac:dyDescent="0.25">
      <c r="A125" s="90" t="s">
        <v>164</v>
      </c>
      <c r="B125" s="90" t="str">
        <f t="shared" si="62"/>
        <v>L11</v>
      </c>
      <c r="C125" s="191" t="s">
        <v>172</v>
      </c>
      <c r="D125" s="86"/>
      <c r="E125" s="86" t="s">
        <v>120</v>
      </c>
      <c r="F125" s="112" t="s">
        <v>121</v>
      </c>
      <c r="G125" s="180"/>
      <c r="H125" s="180"/>
      <c r="I125" s="111">
        <v>9000</v>
      </c>
      <c r="J125" s="111">
        <v>0</v>
      </c>
      <c r="K125" s="111">
        <f>[4]Internhusleie!K119</f>
        <v>107</v>
      </c>
      <c r="L125" s="111">
        <f>[4]Internhusleie!L119</f>
        <v>692</v>
      </c>
      <c r="M125" s="111">
        <f>[4]Internhusleie!M119</f>
        <v>1879</v>
      </c>
      <c r="N125" s="111">
        <f>[4]Internhusleie!N119</f>
        <v>2482</v>
      </c>
      <c r="O125" s="84">
        <f>N125</f>
        <v>2482</v>
      </c>
      <c r="P125" s="84">
        <f t="shared" ref="P125:W125" si="67">O125</f>
        <v>2482</v>
      </c>
      <c r="Q125" s="84">
        <f t="shared" si="67"/>
        <v>2482</v>
      </c>
      <c r="R125" s="84">
        <f t="shared" si="67"/>
        <v>2482</v>
      </c>
      <c r="S125" s="84">
        <f t="shared" si="67"/>
        <v>2482</v>
      </c>
      <c r="T125" s="84">
        <f t="shared" si="67"/>
        <v>2482</v>
      </c>
      <c r="U125" s="84">
        <f t="shared" si="67"/>
        <v>2482</v>
      </c>
      <c r="V125" s="84">
        <f t="shared" si="67"/>
        <v>2482</v>
      </c>
      <c r="W125" s="84">
        <f t="shared" si="67"/>
        <v>2482</v>
      </c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36" t="s">
        <v>336</v>
      </c>
      <c r="AV125" s="136">
        <f>AV124+1</f>
        <v>11</v>
      </c>
      <c r="AW125" s="175"/>
      <c r="AX125" s="175"/>
      <c r="AY125" s="182"/>
      <c r="AZ125" s="143"/>
    </row>
    <row r="126" spans="1:122" s="195" customFormat="1" ht="19.5" customHeight="1" x14ac:dyDescent="0.25">
      <c r="A126" s="169"/>
      <c r="B126" s="90" t="str">
        <f t="shared" si="62"/>
        <v/>
      </c>
      <c r="C126" s="119" t="s">
        <v>173</v>
      </c>
      <c r="D126" s="86"/>
      <c r="E126" s="86"/>
      <c r="F126" s="112"/>
      <c r="G126" s="180"/>
      <c r="H126" s="180"/>
      <c r="I126" s="111">
        <v>-4795</v>
      </c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0"/>
      <c r="AV126" s="160"/>
      <c r="AW126" s="175">
        <f>IF(F126="VEDTATT","VEDTATT",0)</f>
        <v>0</v>
      </c>
      <c r="AX126" s="175">
        <f>IF(F126="MÅ","Nye tiltak",0)</f>
        <v>0</v>
      </c>
      <c r="AY126" s="182"/>
      <c r="AZ126" s="143"/>
      <c r="BA126" s="137"/>
      <c r="BB126" s="137"/>
      <c r="BC126" s="137"/>
      <c r="BD126" s="137"/>
      <c r="BE126" s="137"/>
      <c r="BF126" s="137"/>
      <c r="BG126" s="137"/>
      <c r="BH126" s="137"/>
      <c r="BI126" s="137"/>
      <c r="BJ126" s="137"/>
      <c r="BK126" s="137"/>
      <c r="CE126" s="137"/>
      <c r="CF126" s="137"/>
      <c r="CG126" s="137"/>
      <c r="CH126" s="137"/>
      <c r="CI126" s="137"/>
      <c r="CJ126" s="137"/>
      <c r="CK126" s="137"/>
      <c r="CL126" s="137"/>
      <c r="CM126" s="137"/>
      <c r="CN126" s="137"/>
      <c r="CO126" s="137"/>
      <c r="CP126" s="137"/>
      <c r="CQ126" s="137"/>
      <c r="CR126" s="137"/>
      <c r="CS126" s="137"/>
      <c r="CT126" s="137"/>
      <c r="CU126" s="137"/>
      <c r="CV126" s="137"/>
      <c r="CW126" s="137"/>
      <c r="CX126" s="137"/>
      <c r="CY126" s="137"/>
      <c r="CZ126" s="137"/>
      <c r="DA126" s="137"/>
      <c r="DB126" s="137"/>
      <c r="DC126" s="137"/>
      <c r="DD126" s="137"/>
      <c r="DE126" s="137"/>
      <c r="DF126" s="137"/>
      <c r="DG126" s="137"/>
      <c r="DH126" s="137"/>
      <c r="DI126" s="137"/>
      <c r="DJ126" s="137"/>
      <c r="DK126" s="137"/>
      <c r="DL126" s="137"/>
      <c r="DM126" s="137"/>
      <c r="DN126" s="137"/>
      <c r="DO126" s="137"/>
      <c r="DP126" s="137"/>
      <c r="DQ126" s="137"/>
      <c r="DR126" s="137"/>
    </row>
    <row r="127" spans="1:122" s="137" customFormat="1" ht="18.75" customHeight="1" x14ac:dyDescent="0.25">
      <c r="A127" s="194" t="s">
        <v>164</v>
      </c>
      <c r="B127" s="90" t="str">
        <f t="shared" si="62"/>
        <v>L12</v>
      </c>
      <c r="C127" s="116" t="s">
        <v>174</v>
      </c>
      <c r="D127" s="86"/>
      <c r="E127" s="86" t="s">
        <v>131</v>
      </c>
      <c r="F127" s="112" t="s">
        <v>132</v>
      </c>
      <c r="G127" s="180"/>
      <c r="H127" s="180"/>
      <c r="I127" s="111">
        <v>-4794</v>
      </c>
      <c r="J127" s="111">
        <v>5500</v>
      </c>
      <c r="K127" s="111">
        <v>1900</v>
      </c>
      <c r="L127" s="111">
        <v>1900</v>
      </c>
      <c r="M127" s="111">
        <v>1900</v>
      </c>
      <c r="N127" s="111">
        <v>1900</v>
      </c>
      <c r="O127" s="111"/>
      <c r="P127" s="111"/>
      <c r="Q127" s="111"/>
      <c r="R127" s="111"/>
      <c r="S127" s="111"/>
      <c r="T127" s="111"/>
      <c r="U127" s="111"/>
      <c r="V127" s="111"/>
      <c r="W127" s="111"/>
      <c r="X127" s="185" t="s">
        <v>473</v>
      </c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69"/>
      <c r="AU127" s="136" t="s">
        <v>336</v>
      </c>
      <c r="AV127" s="136">
        <f>AV125+1</f>
        <v>12</v>
      </c>
      <c r="AW127" s="175">
        <f>IF(F127="VEDTATT","VEDTATT",0)</f>
        <v>0</v>
      </c>
      <c r="AX127" s="175" t="str">
        <f>IF(F127="MÅ","Nye tiltak",0)</f>
        <v>Nye tiltak</v>
      </c>
      <c r="AY127" s="182"/>
      <c r="AZ127" s="143">
        <v>1</v>
      </c>
    </row>
    <row r="128" spans="1:122" s="137" customFormat="1" ht="18.75" customHeight="1" x14ac:dyDescent="0.25">
      <c r="A128" s="90" t="s">
        <v>164</v>
      </c>
      <c r="B128" s="90" t="str">
        <f t="shared" si="62"/>
        <v>L13</v>
      </c>
      <c r="C128" s="116" t="s">
        <v>175</v>
      </c>
      <c r="D128" s="86"/>
      <c r="E128" s="86" t="s">
        <v>131</v>
      </c>
      <c r="F128" s="112" t="s">
        <v>132</v>
      </c>
      <c r="G128" s="180"/>
      <c r="H128" s="180"/>
      <c r="I128" s="111">
        <v>-4793</v>
      </c>
      <c r="J128" s="111">
        <v>11000</v>
      </c>
      <c r="K128" s="111">
        <v>2600</v>
      </c>
      <c r="L128" s="111">
        <v>2600</v>
      </c>
      <c r="M128" s="111">
        <v>2600</v>
      </c>
      <c r="N128" s="111">
        <v>2600</v>
      </c>
      <c r="O128" s="111"/>
      <c r="P128" s="111"/>
      <c r="Q128" s="111"/>
      <c r="R128" s="111"/>
      <c r="S128" s="111"/>
      <c r="T128" s="111"/>
      <c r="U128" s="111"/>
      <c r="V128" s="111"/>
      <c r="W128" s="111"/>
      <c r="X128" s="185" t="s">
        <v>473</v>
      </c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36" t="s">
        <v>336</v>
      </c>
      <c r="AV128" s="136">
        <f>AV127+1</f>
        <v>13</v>
      </c>
      <c r="AW128" s="175">
        <f>IF(F128="VEDTATT","VEDTATT",0)</f>
        <v>0</v>
      </c>
      <c r="AX128" s="175" t="str">
        <f>IF(F128="MÅ","Nye tiltak",0)</f>
        <v>Nye tiltak</v>
      </c>
      <c r="AY128" s="182"/>
      <c r="AZ128" s="143">
        <v>1</v>
      </c>
    </row>
    <row r="129" spans="1:55" s="137" customFormat="1" ht="18.75" customHeight="1" x14ac:dyDescent="0.25">
      <c r="A129" s="90" t="s">
        <v>164</v>
      </c>
      <c r="B129" s="90" t="str">
        <f t="shared" si="62"/>
        <v>L14</v>
      </c>
      <c r="C129" s="191" t="s">
        <v>176</v>
      </c>
      <c r="D129" s="86"/>
      <c r="E129" s="86" t="s">
        <v>120</v>
      </c>
      <c r="F129" s="112" t="s">
        <v>121</v>
      </c>
      <c r="G129" s="180"/>
      <c r="H129" s="180"/>
      <c r="I129" s="111"/>
      <c r="J129" s="111"/>
      <c r="K129" s="111">
        <f>[4]Internhusleie!K143</f>
        <v>3474</v>
      </c>
      <c r="L129" s="111">
        <f>[4]Internhusleie!L143</f>
        <v>5959</v>
      </c>
      <c r="M129" s="111">
        <f>[4]Internhusleie!M143</f>
        <v>5959</v>
      </c>
      <c r="N129" s="111">
        <f>[4]Internhusleie!N143</f>
        <v>7752</v>
      </c>
      <c r="O129" s="84">
        <f>N129</f>
        <v>7752</v>
      </c>
      <c r="P129" s="84">
        <f t="shared" ref="P129:W130" si="68">O129</f>
        <v>7752</v>
      </c>
      <c r="Q129" s="84">
        <f t="shared" si="68"/>
        <v>7752</v>
      </c>
      <c r="R129" s="84">
        <f t="shared" si="68"/>
        <v>7752</v>
      </c>
      <c r="S129" s="84">
        <f t="shared" si="68"/>
        <v>7752</v>
      </c>
      <c r="T129" s="84">
        <f t="shared" si="68"/>
        <v>7752</v>
      </c>
      <c r="U129" s="84">
        <f t="shared" si="68"/>
        <v>7752</v>
      </c>
      <c r="V129" s="84">
        <f t="shared" si="68"/>
        <v>7752</v>
      </c>
      <c r="W129" s="84">
        <f t="shared" si="68"/>
        <v>7752</v>
      </c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36" t="s">
        <v>336</v>
      </c>
      <c r="AV129" s="136">
        <f>AV128+1</f>
        <v>14</v>
      </c>
      <c r="AW129" s="175"/>
      <c r="AX129" s="175"/>
      <c r="AY129" s="182"/>
      <c r="AZ129" s="143"/>
    </row>
    <row r="130" spans="1:55" s="137" customFormat="1" ht="18.75" customHeight="1" x14ac:dyDescent="0.25">
      <c r="A130" s="90" t="s">
        <v>164</v>
      </c>
      <c r="B130" s="90" t="str">
        <f t="shared" si="62"/>
        <v>L15</v>
      </c>
      <c r="C130" s="191" t="s">
        <v>176</v>
      </c>
      <c r="D130" s="86"/>
      <c r="E130" s="86" t="s">
        <v>131</v>
      </c>
      <c r="F130" s="86" t="s">
        <v>132</v>
      </c>
      <c r="G130" s="180"/>
      <c r="H130" s="180"/>
      <c r="I130" s="111"/>
      <c r="J130" s="111"/>
      <c r="K130" s="111">
        <f>[4]Internhusleie!K144</f>
        <v>0</v>
      </c>
      <c r="L130" s="111">
        <f>[4]Internhusleie!L144</f>
        <v>0</v>
      </c>
      <c r="M130" s="111">
        <f>[4]Internhusleie!M144</f>
        <v>0</v>
      </c>
      <c r="N130" s="111">
        <f>[4]Internhusleie!N144</f>
        <v>2176</v>
      </c>
      <c r="O130" s="84">
        <f>N130</f>
        <v>2176</v>
      </c>
      <c r="P130" s="84">
        <f t="shared" si="68"/>
        <v>2176</v>
      </c>
      <c r="Q130" s="84">
        <f t="shared" si="68"/>
        <v>2176</v>
      </c>
      <c r="R130" s="84">
        <f t="shared" si="68"/>
        <v>2176</v>
      </c>
      <c r="S130" s="84">
        <f t="shared" si="68"/>
        <v>2176</v>
      </c>
      <c r="T130" s="84">
        <f t="shared" si="68"/>
        <v>2176</v>
      </c>
      <c r="U130" s="84">
        <f t="shared" si="68"/>
        <v>2176</v>
      </c>
      <c r="V130" s="84">
        <f t="shared" si="68"/>
        <v>2176</v>
      </c>
      <c r="W130" s="84">
        <f t="shared" si="68"/>
        <v>2176</v>
      </c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169"/>
      <c r="AO130" s="169"/>
      <c r="AP130" s="169"/>
      <c r="AQ130" s="169"/>
      <c r="AR130" s="169"/>
      <c r="AS130" s="169"/>
      <c r="AT130" s="169"/>
      <c r="AU130" s="136" t="s">
        <v>336</v>
      </c>
      <c r="AV130" s="136">
        <f>AV129+1</f>
        <v>15</v>
      </c>
      <c r="AW130" s="175"/>
      <c r="AX130" s="175"/>
      <c r="AY130" s="182"/>
      <c r="AZ130" s="143"/>
    </row>
    <row r="131" spans="1:55" s="169" customFormat="1" ht="18.75" customHeight="1" x14ac:dyDescent="0.25">
      <c r="A131" s="90"/>
      <c r="B131" s="90" t="str">
        <f t="shared" si="62"/>
        <v/>
      </c>
      <c r="C131" s="119" t="s">
        <v>177</v>
      </c>
      <c r="D131" s="86"/>
      <c r="E131" s="86"/>
      <c r="F131" s="112"/>
      <c r="G131" s="180"/>
      <c r="H131" s="180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AU131" s="160"/>
      <c r="AV131" s="160"/>
      <c r="AW131" s="175">
        <f t="shared" ref="AW131:AW137" si="69">IF(F131="VEDTATT","VEDTATT",0)</f>
        <v>0</v>
      </c>
      <c r="AX131" s="175">
        <f t="shared" ref="AX131:AX136" si="70">IF(F131="MÅ","Nye tiltak",0)</f>
        <v>0</v>
      </c>
      <c r="AY131" s="182"/>
      <c r="AZ131" s="143"/>
      <c r="BA131" s="137"/>
      <c r="BB131" s="137"/>
      <c r="BC131" s="137"/>
    </row>
    <row r="132" spans="1:55" s="169" customFormat="1" x14ac:dyDescent="0.25">
      <c r="A132" s="90" t="s">
        <v>164</v>
      </c>
      <c r="B132" s="90" t="str">
        <f t="shared" si="62"/>
        <v>L16</v>
      </c>
      <c r="C132" s="116" t="s">
        <v>178</v>
      </c>
      <c r="D132" s="86"/>
      <c r="E132" s="86" t="s">
        <v>124</v>
      </c>
      <c r="F132" s="112" t="s">
        <v>121</v>
      </c>
      <c r="G132" s="180"/>
      <c r="H132" s="180"/>
      <c r="I132" s="111"/>
      <c r="J132" s="111"/>
      <c r="K132" s="111">
        <v>0</v>
      </c>
      <c r="L132" s="111">
        <v>10000</v>
      </c>
      <c r="M132" s="111">
        <v>10000</v>
      </c>
      <c r="N132" s="111">
        <v>10000</v>
      </c>
      <c r="O132" s="111"/>
      <c r="P132" s="111"/>
      <c r="Q132" s="111"/>
      <c r="R132" s="111"/>
      <c r="S132" s="111"/>
      <c r="T132" s="111"/>
      <c r="U132" s="111"/>
      <c r="V132" s="111"/>
      <c r="W132" s="111"/>
      <c r="X132" s="185" t="s">
        <v>473</v>
      </c>
      <c r="AU132" s="136" t="s">
        <v>336</v>
      </c>
      <c r="AV132" s="136">
        <f>AV130+1</f>
        <v>16</v>
      </c>
      <c r="AW132" s="175" t="str">
        <f t="shared" si="69"/>
        <v>VEDTATT</v>
      </c>
      <c r="AX132" s="175">
        <f t="shared" si="70"/>
        <v>0</v>
      </c>
      <c r="AY132" s="182"/>
      <c r="AZ132" s="143"/>
      <c r="BA132" s="137"/>
      <c r="BB132" s="137"/>
      <c r="BC132" s="137"/>
    </row>
    <row r="133" spans="1:55" s="137" customFormat="1" ht="18.75" customHeight="1" x14ac:dyDescent="0.25">
      <c r="A133" s="80" t="s">
        <v>164</v>
      </c>
      <c r="B133" s="90" t="str">
        <f t="shared" si="62"/>
        <v>L17</v>
      </c>
      <c r="C133" s="116" t="s">
        <v>179</v>
      </c>
      <c r="D133" s="86"/>
      <c r="E133" s="86" t="s">
        <v>131</v>
      </c>
      <c r="F133" s="112" t="s">
        <v>132</v>
      </c>
      <c r="G133" s="180"/>
      <c r="H133" s="180"/>
      <c r="I133" s="111"/>
      <c r="J133" s="111"/>
      <c r="K133" s="111"/>
      <c r="L133" s="111">
        <v>3900</v>
      </c>
      <c r="M133" s="111">
        <v>3900</v>
      </c>
      <c r="N133" s="111">
        <v>3900</v>
      </c>
      <c r="O133" s="84">
        <f>N133</f>
        <v>3900</v>
      </c>
      <c r="P133" s="84">
        <f t="shared" ref="P133:W136" si="71">O133</f>
        <v>3900</v>
      </c>
      <c r="Q133" s="84">
        <f t="shared" si="71"/>
        <v>3900</v>
      </c>
      <c r="R133" s="84">
        <f t="shared" si="71"/>
        <v>3900</v>
      </c>
      <c r="S133" s="84">
        <f t="shared" si="71"/>
        <v>3900</v>
      </c>
      <c r="T133" s="84">
        <f t="shared" si="71"/>
        <v>3900</v>
      </c>
      <c r="U133" s="84">
        <f t="shared" si="71"/>
        <v>3900</v>
      </c>
      <c r="V133" s="84">
        <f t="shared" si="71"/>
        <v>3900</v>
      </c>
      <c r="W133" s="84">
        <f t="shared" si="71"/>
        <v>3900</v>
      </c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69"/>
      <c r="AQ133" s="169"/>
      <c r="AR133" s="169"/>
      <c r="AS133" s="169"/>
      <c r="AT133" s="169"/>
      <c r="AU133" s="136" t="s">
        <v>336</v>
      </c>
      <c r="AV133" s="136">
        <f t="shared" ref="AV133:AV140" si="72">AV132+1</f>
        <v>17</v>
      </c>
      <c r="AW133" s="175">
        <f t="shared" si="69"/>
        <v>0</v>
      </c>
      <c r="AX133" s="175" t="str">
        <f t="shared" si="70"/>
        <v>Nye tiltak</v>
      </c>
      <c r="AY133" s="182"/>
      <c r="AZ133" s="143"/>
    </row>
    <row r="134" spans="1:55" s="137" customFormat="1" ht="18.75" customHeight="1" x14ac:dyDescent="0.25">
      <c r="A134" s="90" t="s">
        <v>164</v>
      </c>
      <c r="B134" s="80" t="str">
        <f t="shared" si="62"/>
        <v>L18</v>
      </c>
      <c r="C134" s="116" t="s">
        <v>180</v>
      </c>
      <c r="D134" s="86"/>
      <c r="E134" s="86" t="s">
        <v>131</v>
      </c>
      <c r="F134" s="112" t="s">
        <v>132</v>
      </c>
      <c r="G134" s="180"/>
      <c r="H134" s="180"/>
      <c r="I134" s="111"/>
      <c r="J134" s="111"/>
      <c r="K134" s="111">
        <v>2100</v>
      </c>
      <c r="L134" s="111">
        <v>2100</v>
      </c>
      <c r="M134" s="111">
        <v>2100</v>
      </c>
      <c r="N134" s="111">
        <v>2100</v>
      </c>
      <c r="O134" s="84">
        <f>N134</f>
        <v>2100</v>
      </c>
      <c r="P134" s="84">
        <f t="shared" si="71"/>
        <v>2100</v>
      </c>
      <c r="Q134" s="84">
        <f t="shared" si="71"/>
        <v>2100</v>
      </c>
      <c r="R134" s="84">
        <f t="shared" si="71"/>
        <v>2100</v>
      </c>
      <c r="S134" s="84">
        <f t="shared" si="71"/>
        <v>2100</v>
      </c>
      <c r="T134" s="84">
        <f t="shared" si="71"/>
        <v>2100</v>
      </c>
      <c r="U134" s="84">
        <f t="shared" si="71"/>
        <v>2100</v>
      </c>
      <c r="V134" s="84">
        <f t="shared" si="71"/>
        <v>2100</v>
      </c>
      <c r="W134" s="84">
        <f t="shared" si="71"/>
        <v>2100</v>
      </c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69"/>
      <c r="AU134" s="136" t="s">
        <v>336</v>
      </c>
      <c r="AV134" s="136">
        <f t="shared" si="72"/>
        <v>18</v>
      </c>
      <c r="AW134" s="175">
        <f t="shared" si="69"/>
        <v>0</v>
      </c>
      <c r="AX134" s="175" t="str">
        <f t="shared" si="70"/>
        <v>Nye tiltak</v>
      </c>
      <c r="AY134" s="182"/>
      <c r="AZ134" s="143">
        <v>1</v>
      </c>
    </row>
    <row r="135" spans="1:55" s="137" customFormat="1" ht="18.75" customHeight="1" x14ac:dyDescent="0.25">
      <c r="A135" s="90" t="s">
        <v>164</v>
      </c>
      <c r="B135" s="90" t="str">
        <f t="shared" si="62"/>
        <v>L19</v>
      </c>
      <c r="C135" s="120" t="s">
        <v>181</v>
      </c>
      <c r="D135" s="86"/>
      <c r="E135" s="86" t="s">
        <v>131</v>
      </c>
      <c r="F135" s="112" t="s">
        <v>132</v>
      </c>
      <c r="G135" s="180"/>
      <c r="H135" s="180"/>
      <c r="I135" s="111"/>
      <c r="J135" s="111"/>
      <c r="K135" s="111">
        <v>200</v>
      </c>
      <c r="L135" s="111">
        <v>200</v>
      </c>
      <c r="M135" s="111">
        <v>200</v>
      </c>
      <c r="N135" s="111">
        <v>200</v>
      </c>
      <c r="O135" s="84">
        <f>N135</f>
        <v>200</v>
      </c>
      <c r="P135" s="84">
        <f t="shared" si="71"/>
        <v>200</v>
      </c>
      <c r="Q135" s="84">
        <f t="shared" si="71"/>
        <v>200</v>
      </c>
      <c r="R135" s="84">
        <f t="shared" si="71"/>
        <v>200</v>
      </c>
      <c r="S135" s="84">
        <f t="shared" si="71"/>
        <v>200</v>
      </c>
      <c r="T135" s="84">
        <f t="shared" si="71"/>
        <v>200</v>
      </c>
      <c r="U135" s="84">
        <f t="shared" si="71"/>
        <v>200</v>
      </c>
      <c r="V135" s="84">
        <f t="shared" si="71"/>
        <v>200</v>
      </c>
      <c r="W135" s="84">
        <f t="shared" si="71"/>
        <v>200</v>
      </c>
      <c r="X135" s="185"/>
      <c r="Y135" s="185"/>
      <c r="Z135" s="185"/>
      <c r="AA135" s="185"/>
      <c r="AB135" s="185"/>
      <c r="AC135" s="185"/>
      <c r="AD135" s="185"/>
      <c r="AE135" s="185"/>
      <c r="AF135" s="185"/>
      <c r="AG135" s="185"/>
      <c r="AH135" s="185"/>
      <c r="AI135" s="185"/>
      <c r="AJ135" s="185"/>
      <c r="AK135" s="185"/>
      <c r="AL135" s="185"/>
      <c r="AM135" s="185"/>
      <c r="AN135" s="185"/>
      <c r="AO135" s="185"/>
      <c r="AP135" s="185"/>
      <c r="AQ135" s="185"/>
      <c r="AR135" s="185"/>
      <c r="AS135" s="185"/>
      <c r="AT135" s="185"/>
      <c r="AU135" s="136" t="s">
        <v>336</v>
      </c>
      <c r="AV135" s="136">
        <f t="shared" si="72"/>
        <v>19</v>
      </c>
      <c r="AW135" s="175">
        <f t="shared" si="69"/>
        <v>0</v>
      </c>
      <c r="AX135" s="175" t="str">
        <f t="shared" si="70"/>
        <v>Nye tiltak</v>
      </c>
      <c r="AY135" s="182"/>
      <c r="AZ135" s="143">
        <v>5</v>
      </c>
    </row>
    <row r="136" spans="1:55" s="137" customFormat="1" ht="18.75" customHeight="1" x14ac:dyDescent="0.25">
      <c r="A136" s="90" t="s">
        <v>164</v>
      </c>
      <c r="B136" s="90" t="str">
        <f t="shared" si="62"/>
        <v>L20</v>
      </c>
      <c r="C136" s="120" t="s">
        <v>182</v>
      </c>
      <c r="D136" s="86"/>
      <c r="E136" s="86" t="s">
        <v>131</v>
      </c>
      <c r="F136" s="112" t="s">
        <v>132</v>
      </c>
      <c r="G136" s="180"/>
      <c r="H136" s="180"/>
      <c r="I136" s="111"/>
      <c r="J136" s="111"/>
      <c r="K136" s="111">
        <v>1250</v>
      </c>
      <c r="L136" s="111">
        <v>1250</v>
      </c>
      <c r="M136" s="111">
        <v>1250</v>
      </c>
      <c r="N136" s="111">
        <v>1250</v>
      </c>
      <c r="O136" s="84">
        <f>N136</f>
        <v>1250</v>
      </c>
      <c r="P136" s="84">
        <f t="shared" si="71"/>
        <v>1250</v>
      </c>
      <c r="Q136" s="84">
        <f t="shared" si="71"/>
        <v>1250</v>
      </c>
      <c r="R136" s="84">
        <f t="shared" si="71"/>
        <v>1250</v>
      </c>
      <c r="S136" s="84">
        <f t="shared" si="71"/>
        <v>1250</v>
      </c>
      <c r="T136" s="84">
        <f t="shared" si="71"/>
        <v>1250</v>
      </c>
      <c r="U136" s="84">
        <f t="shared" si="71"/>
        <v>1250</v>
      </c>
      <c r="V136" s="84">
        <f t="shared" si="71"/>
        <v>1250</v>
      </c>
      <c r="W136" s="84">
        <f t="shared" si="71"/>
        <v>1250</v>
      </c>
      <c r="X136" s="185"/>
      <c r="Y136" s="185"/>
      <c r="Z136" s="185"/>
      <c r="AA136" s="185"/>
      <c r="AB136" s="185"/>
      <c r="AC136" s="185"/>
      <c r="AD136" s="185"/>
      <c r="AE136" s="185"/>
      <c r="AF136" s="185"/>
      <c r="AG136" s="185"/>
      <c r="AH136" s="185"/>
      <c r="AI136" s="185"/>
      <c r="AJ136" s="185"/>
      <c r="AK136" s="185"/>
      <c r="AL136" s="185"/>
      <c r="AM136" s="185"/>
      <c r="AN136" s="185"/>
      <c r="AO136" s="185"/>
      <c r="AP136" s="185"/>
      <c r="AQ136" s="185"/>
      <c r="AR136" s="185"/>
      <c r="AS136" s="185"/>
      <c r="AT136" s="185"/>
      <c r="AU136" s="169" t="s">
        <v>336</v>
      </c>
      <c r="AV136" s="136">
        <f t="shared" si="72"/>
        <v>20</v>
      </c>
      <c r="AW136" s="192">
        <f t="shared" si="69"/>
        <v>0</v>
      </c>
      <c r="AX136" s="192" t="str">
        <f t="shared" si="70"/>
        <v>Nye tiltak</v>
      </c>
      <c r="AY136" s="193"/>
      <c r="AZ136" s="178">
        <v>3</v>
      </c>
      <c r="BA136" s="169"/>
      <c r="BB136" s="169"/>
      <c r="BC136" s="169"/>
    </row>
    <row r="137" spans="1:55" s="137" customFormat="1" ht="18.75" customHeight="1" x14ac:dyDescent="0.25">
      <c r="A137" s="90" t="s">
        <v>164</v>
      </c>
      <c r="B137" s="90" t="str">
        <f t="shared" si="62"/>
        <v>L21</v>
      </c>
      <c r="C137" s="120" t="s">
        <v>183</v>
      </c>
      <c r="D137" s="86"/>
      <c r="E137" s="86" t="s">
        <v>131</v>
      </c>
      <c r="F137" s="112" t="s">
        <v>132</v>
      </c>
      <c r="G137" s="180"/>
      <c r="H137" s="180"/>
      <c r="I137" s="111"/>
      <c r="J137" s="111"/>
      <c r="K137" s="111">
        <v>-1250</v>
      </c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85"/>
      <c r="Y137" s="185"/>
      <c r="Z137" s="185"/>
      <c r="AA137" s="185"/>
      <c r="AB137" s="185"/>
      <c r="AC137" s="185"/>
      <c r="AD137" s="185"/>
      <c r="AE137" s="185"/>
      <c r="AF137" s="185"/>
      <c r="AG137" s="185"/>
      <c r="AH137" s="185"/>
      <c r="AI137" s="185"/>
      <c r="AJ137" s="185"/>
      <c r="AK137" s="185"/>
      <c r="AL137" s="185"/>
      <c r="AM137" s="185"/>
      <c r="AN137" s="185"/>
      <c r="AO137" s="185"/>
      <c r="AP137" s="185"/>
      <c r="AQ137" s="185"/>
      <c r="AR137" s="185"/>
      <c r="AS137" s="185"/>
      <c r="AT137" s="185"/>
      <c r="AU137" s="169" t="s">
        <v>336</v>
      </c>
      <c r="AV137" s="136">
        <f t="shared" si="72"/>
        <v>21</v>
      </c>
      <c r="AW137" s="192">
        <f t="shared" si="69"/>
        <v>0</v>
      </c>
      <c r="AX137" s="196" t="s">
        <v>322</v>
      </c>
      <c r="AY137" s="193"/>
      <c r="AZ137" s="178">
        <v>4</v>
      </c>
      <c r="BA137" s="169"/>
      <c r="BB137" s="169"/>
      <c r="BC137" s="169"/>
    </row>
    <row r="138" spans="1:55" s="137" customFormat="1" ht="18.75" customHeight="1" x14ac:dyDescent="0.25">
      <c r="A138" s="90" t="s">
        <v>164</v>
      </c>
      <c r="B138" s="90" t="str">
        <f t="shared" si="62"/>
        <v>L22</v>
      </c>
      <c r="C138" s="120" t="s">
        <v>337</v>
      </c>
      <c r="D138" s="86"/>
      <c r="E138" s="86" t="s">
        <v>131</v>
      </c>
      <c r="F138" s="112" t="s">
        <v>132</v>
      </c>
      <c r="G138" s="180"/>
      <c r="H138" s="180"/>
      <c r="I138" s="111"/>
      <c r="J138" s="111"/>
      <c r="K138" s="111">
        <v>410</v>
      </c>
      <c r="L138" s="111">
        <v>860</v>
      </c>
      <c r="M138" s="111">
        <v>1350</v>
      </c>
      <c r="N138" s="111">
        <v>1860</v>
      </c>
      <c r="O138" s="84">
        <f>N138</f>
        <v>1860</v>
      </c>
      <c r="P138" s="84">
        <f t="shared" ref="P138:W140" si="73">O138</f>
        <v>1860</v>
      </c>
      <c r="Q138" s="84">
        <f t="shared" si="73"/>
        <v>1860</v>
      </c>
      <c r="R138" s="84">
        <f t="shared" si="73"/>
        <v>1860</v>
      </c>
      <c r="S138" s="84">
        <f t="shared" si="73"/>
        <v>1860</v>
      </c>
      <c r="T138" s="84">
        <f t="shared" si="73"/>
        <v>1860</v>
      </c>
      <c r="U138" s="84">
        <f t="shared" si="73"/>
        <v>1860</v>
      </c>
      <c r="V138" s="84">
        <f t="shared" si="73"/>
        <v>1860</v>
      </c>
      <c r="W138" s="84">
        <f t="shared" si="73"/>
        <v>1860</v>
      </c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85"/>
      <c r="AH138" s="185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5"/>
      <c r="AS138" s="185"/>
      <c r="AT138" s="185"/>
      <c r="AU138" s="136" t="s">
        <v>336</v>
      </c>
      <c r="AV138" s="136">
        <f t="shared" si="72"/>
        <v>22</v>
      </c>
      <c r="AW138" s="175"/>
      <c r="AX138" s="175"/>
      <c r="AY138" s="182"/>
      <c r="AZ138" s="143"/>
    </row>
    <row r="139" spans="1:55" s="137" customFormat="1" ht="18.75" customHeight="1" x14ac:dyDescent="0.25">
      <c r="A139" s="90" t="s">
        <v>164</v>
      </c>
      <c r="B139" s="90" t="str">
        <f t="shared" si="62"/>
        <v>L23</v>
      </c>
      <c r="C139" s="191" t="s">
        <v>338</v>
      </c>
      <c r="D139" s="86"/>
      <c r="E139" s="86" t="s">
        <v>120</v>
      </c>
      <c r="F139" s="112" t="s">
        <v>121</v>
      </c>
      <c r="G139" s="180"/>
      <c r="H139" s="180"/>
      <c r="I139" s="111"/>
      <c r="J139" s="111"/>
      <c r="K139" s="111">
        <f>[4]Internhusleie!K153</f>
        <v>2434</v>
      </c>
      <c r="L139" s="111">
        <f>[4]Internhusleie!L153</f>
        <v>4093</v>
      </c>
      <c r="M139" s="111">
        <f>[4]Internhusleie!M153</f>
        <v>4467</v>
      </c>
      <c r="N139" s="111">
        <f>[4]Internhusleie!N153</f>
        <v>4467</v>
      </c>
      <c r="O139" s="84">
        <f>N139</f>
        <v>4467</v>
      </c>
      <c r="P139" s="84">
        <f t="shared" si="73"/>
        <v>4467</v>
      </c>
      <c r="Q139" s="84">
        <f t="shared" si="73"/>
        <v>4467</v>
      </c>
      <c r="R139" s="84">
        <f t="shared" si="73"/>
        <v>4467</v>
      </c>
      <c r="S139" s="84">
        <f t="shared" si="73"/>
        <v>4467</v>
      </c>
      <c r="T139" s="84">
        <f t="shared" si="73"/>
        <v>4467</v>
      </c>
      <c r="U139" s="84">
        <f t="shared" si="73"/>
        <v>4467</v>
      </c>
      <c r="V139" s="84">
        <f t="shared" si="73"/>
        <v>4467</v>
      </c>
      <c r="W139" s="84">
        <f t="shared" si="73"/>
        <v>4467</v>
      </c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5"/>
      <c r="AM139" s="185"/>
      <c r="AN139" s="185"/>
      <c r="AO139" s="185"/>
      <c r="AP139" s="185"/>
      <c r="AQ139" s="185"/>
      <c r="AR139" s="185"/>
      <c r="AS139" s="185"/>
      <c r="AT139" s="185"/>
      <c r="AU139" s="136" t="s">
        <v>336</v>
      </c>
      <c r="AV139" s="136">
        <f t="shared" si="72"/>
        <v>23</v>
      </c>
      <c r="AW139" s="175"/>
      <c r="AX139" s="175"/>
      <c r="AY139" s="182"/>
      <c r="AZ139" s="143"/>
    </row>
    <row r="140" spans="1:55" s="137" customFormat="1" ht="18.75" customHeight="1" x14ac:dyDescent="0.25">
      <c r="A140" s="90" t="s">
        <v>164</v>
      </c>
      <c r="B140" s="90" t="str">
        <f t="shared" si="62"/>
        <v>L24</v>
      </c>
      <c r="C140" s="191" t="s">
        <v>338</v>
      </c>
      <c r="D140" s="86"/>
      <c r="E140" s="86" t="s">
        <v>131</v>
      </c>
      <c r="F140" s="86" t="s">
        <v>132</v>
      </c>
      <c r="G140" s="180"/>
      <c r="H140" s="180"/>
      <c r="I140" s="111"/>
      <c r="J140" s="111"/>
      <c r="K140" s="111">
        <f>[4]Internhusleie!K154</f>
        <v>280</v>
      </c>
      <c r="L140" s="111">
        <f>[4]Internhusleie!L154</f>
        <v>280</v>
      </c>
      <c r="M140" s="111">
        <f>[4]Internhusleie!M154</f>
        <v>280</v>
      </c>
      <c r="N140" s="111">
        <f>[4]Internhusleie!N154</f>
        <v>280</v>
      </c>
      <c r="O140" s="84">
        <f>N140</f>
        <v>280</v>
      </c>
      <c r="P140" s="84">
        <f t="shared" si="73"/>
        <v>280</v>
      </c>
      <c r="Q140" s="84">
        <f t="shared" si="73"/>
        <v>280</v>
      </c>
      <c r="R140" s="84">
        <f t="shared" si="73"/>
        <v>280</v>
      </c>
      <c r="S140" s="84">
        <f t="shared" si="73"/>
        <v>280</v>
      </c>
      <c r="T140" s="84">
        <f t="shared" si="73"/>
        <v>280</v>
      </c>
      <c r="U140" s="84">
        <f t="shared" si="73"/>
        <v>280</v>
      </c>
      <c r="V140" s="84">
        <f t="shared" si="73"/>
        <v>280</v>
      </c>
      <c r="W140" s="84">
        <f t="shared" si="73"/>
        <v>280</v>
      </c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5"/>
      <c r="AK140" s="185"/>
      <c r="AL140" s="185"/>
      <c r="AM140" s="185"/>
      <c r="AN140" s="185"/>
      <c r="AO140" s="185"/>
      <c r="AP140" s="185"/>
      <c r="AQ140" s="185"/>
      <c r="AR140" s="185"/>
      <c r="AS140" s="185"/>
      <c r="AT140" s="185"/>
      <c r="AU140" s="136" t="s">
        <v>336</v>
      </c>
      <c r="AV140" s="136">
        <f t="shared" si="72"/>
        <v>24</v>
      </c>
      <c r="AW140" s="175"/>
      <c r="AX140" s="175"/>
      <c r="AY140" s="182"/>
      <c r="AZ140" s="143"/>
    </row>
    <row r="141" spans="1:55" s="137" customFormat="1" ht="18.75" customHeight="1" x14ac:dyDescent="0.25">
      <c r="A141" s="90"/>
      <c r="B141" s="90"/>
      <c r="C141" s="119" t="s">
        <v>185</v>
      </c>
      <c r="D141" s="121"/>
      <c r="E141" s="121"/>
      <c r="F141" s="112"/>
      <c r="G141" s="179"/>
      <c r="H141" s="179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  <c r="AO141" s="169"/>
      <c r="AP141" s="169"/>
      <c r="AQ141" s="169"/>
      <c r="AR141" s="169"/>
      <c r="AS141" s="169"/>
      <c r="AT141" s="169"/>
      <c r="AU141" s="160"/>
      <c r="AV141" s="160"/>
      <c r="AW141" s="175">
        <f>IF(F141="VEDTATT","VEDTATT",0)</f>
        <v>0</v>
      </c>
      <c r="AX141" s="175">
        <f>IF(F141="MÅ","Nye tiltak",0)</f>
        <v>0</v>
      </c>
      <c r="AY141" s="182"/>
      <c r="AZ141" s="143"/>
    </row>
    <row r="142" spans="1:55" s="137" customFormat="1" ht="18.75" customHeight="1" x14ac:dyDescent="0.25">
      <c r="A142" s="90" t="s">
        <v>164</v>
      </c>
      <c r="B142" s="90" t="str">
        <f t="shared" ref="B142:B150" si="74">IF(AV142,AU142&amp;AV142,"")</f>
        <v>L25</v>
      </c>
      <c r="C142" s="116" t="s">
        <v>186</v>
      </c>
      <c r="D142" s="86"/>
      <c r="E142" s="86" t="s">
        <v>120</v>
      </c>
      <c r="F142" s="112" t="s">
        <v>121</v>
      </c>
      <c r="G142" s="180"/>
      <c r="H142" s="180"/>
      <c r="I142" s="111"/>
      <c r="J142" s="111"/>
      <c r="K142" s="111">
        <v>-1400</v>
      </c>
      <c r="L142" s="111">
        <v>-4000</v>
      </c>
      <c r="M142" s="111">
        <v>-6800</v>
      </c>
      <c r="N142" s="111">
        <v>-9600</v>
      </c>
      <c r="O142" s="84">
        <f t="shared" ref="O142:O150" si="75">N142</f>
        <v>-9600</v>
      </c>
      <c r="P142" s="84">
        <f t="shared" ref="P142:W150" si="76">O142</f>
        <v>-9600</v>
      </c>
      <c r="Q142" s="84">
        <f t="shared" si="76"/>
        <v>-9600</v>
      </c>
      <c r="R142" s="84">
        <f t="shared" si="76"/>
        <v>-9600</v>
      </c>
      <c r="S142" s="84">
        <f t="shared" si="76"/>
        <v>-9600</v>
      </c>
      <c r="T142" s="84">
        <f t="shared" si="76"/>
        <v>-9600</v>
      </c>
      <c r="U142" s="84">
        <f t="shared" si="76"/>
        <v>-9600</v>
      </c>
      <c r="V142" s="84">
        <f t="shared" si="76"/>
        <v>-9600</v>
      </c>
      <c r="W142" s="84">
        <f t="shared" si="76"/>
        <v>-9600</v>
      </c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36" t="s">
        <v>336</v>
      </c>
      <c r="AV142" s="136">
        <f>AV140+1</f>
        <v>25</v>
      </c>
      <c r="AW142" s="175" t="str">
        <f>IF(F142="VEDTATT","VEDTATT",0)</f>
        <v>VEDTATT</v>
      </c>
      <c r="AX142" s="175">
        <f>IF(F142="MÅ","Nye tiltak",0)</f>
        <v>0</v>
      </c>
      <c r="AY142" s="182"/>
      <c r="AZ142" s="143"/>
    </row>
    <row r="143" spans="1:55" s="137" customFormat="1" ht="18.75" customHeight="1" x14ac:dyDescent="0.25">
      <c r="A143" s="90" t="s">
        <v>164</v>
      </c>
      <c r="B143" s="90" t="str">
        <f t="shared" si="74"/>
        <v>L26</v>
      </c>
      <c r="C143" s="116" t="s">
        <v>187</v>
      </c>
      <c r="D143" s="86"/>
      <c r="E143" s="86" t="s">
        <v>131</v>
      </c>
      <c r="F143" s="112" t="s">
        <v>132</v>
      </c>
      <c r="G143" s="180"/>
      <c r="H143" s="180"/>
      <c r="I143" s="111"/>
      <c r="J143" s="111"/>
      <c r="K143" s="111">
        <f>17400-5300</f>
        <v>12100</v>
      </c>
      <c r="L143" s="111">
        <f>17400-5300</f>
        <v>12100</v>
      </c>
      <c r="M143" s="111">
        <f>17400-5300</f>
        <v>12100</v>
      </c>
      <c r="N143" s="111">
        <f>17400-5300</f>
        <v>12100</v>
      </c>
      <c r="O143" s="84">
        <f t="shared" si="75"/>
        <v>12100</v>
      </c>
      <c r="P143" s="84">
        <f t="shared" si="76"/>
        <v>12100</v>
      </c>
      <c r="Q143" s="84">
        <f t="shared" si="76"/>
        <v>12100</v>
      </c>
      <c r="R143" s="84">
        <f t="shared" si="76"/>
        <v>12100</v>
      </c>
      <c r="S143" s="84">
        <f t="shared" si="76"/>
        <v>12100</v>
      </c>
      <c r="T143" s="84">
        <f t="shared" si="76"/>
        <v>12100</v>
      </c>
      <c r="U143" s="84">
        <f t="shared" si="76"/>
        <v>12100</v>
      </c>
      <c r="V143" s="84">
        <f t="shared" si="76"/>
        <v>12100</v>
      </c>
      <c r="W143" s="84">
        <f t="shared" si="76"/>
        <v>12100</v>
      </c>
      <c r="X143" s="197"/>
      <c r="Y143" s="197"/>
      <c r="Z143" s="197"/>
      <c r="AA143" s="197"/>
      <c r="AB143" s="197"/>
      <c r="AC143" s="197"/>
      <c r="AD143" s="197"/>
      <c r="AE143" s="197"/>
      <c r="AF143" s="197"/>
      <c r="AG143" s="197"/>
      <c r="AH143" s="197"/>
      <c r="AI143" s="197"/>
      <c r="AJ143" s="197"/>
      <c r="AK143" s="197"/>
      <c r="AL143" s="197"/>
      <c r="AM143" s="197"/>
      <c r="AN143" s="197"/>
      <c r="AO143" s="197"/>
      <c r="AP143" s="197"/>
      <c r="AQ143" s="197"/>
      <c r="AR143" s="197"/>
      <c r="AS143" s="197"/>
      <c r="AT143" s="197"/>
      <c r="AU143" s="136" t="s">
        <v>336</v>
      </c>
      <c r="AV143" s="136">
        <f t="shared" ref="AV143:AV145" si="77">AV142+1</f>
        <v>26</v>
      </c>
      <c r="AW143" s="175">
        <f>IF(F143="VEDTATT","VEDTATT",0)</f>
        <v>0</v>
      </c>
      <c r="AX143" s="175" t="str">
        <f>IF(F143="MÅ","Nye tiltak",0)</f>
        <v>Nye tiltak</v>
      </c>
      <c r="AY143" s="182"/>
      <c r="AZ143" s="143">
        <v>1</v>
      </c>
    </row>
    <row r="144" spans="1:55" s="137" customFormat="1" ht="18.75" customHeight="1" x14ac:dyDescent="0.25">
      <c r="A144" s="90" t="s">
        <v>164</v>
      </c>
      <c r="B144" s="90" t="str">
        <f t="shared" si="74"/>
        <v>L27</v>
      </c>
      <c r="C144" s="116" t="s">
        <v>188</v>
      </c>
      <c r="D144" s="86"/>
      <c r="E144" s="86" t="s">
        <v>131</v>
      </c>
      <c r="F144" s="112" t="s">
        <v>132</v>
      </c>
      <c r="G144" s="180"/>
      <c r="H144" s="180"/>
      <c r="I144" s="111"/>
      <c r="J144" s="111"/>
      <c r="K144" s="111">
        <v>-12100</v>
      </c>
      <c r="L144" s="111">
        <v>-12100</v>
      </c>
      <c r="M144" s="111">
        <v>-12100</v>
      </c>
      <c r="N144" s="111">
        <v>-12100</v>
      </c>
      <c r="O144" s="84">
        <f t="shared" si="75"/>
        <v>-12100</v>
      </c>
      <c r="P144" s="84">
        <f t="shared" si="76"/>
        <v>-12100</v>
      </c>
      <c r="Q144" s="84">
        <f t="shared" si="76"/>
        <v>-12100</v>
      </c>
      <c r="R144" s="84">
        <f t="shared" si="76"/>
        <v>-12100</v>
      </c>
      <c r="S144" s="84">
        <f t="shared" si="76"/>
        <v>-12100</v>
      </c>
      <c r="T144" s="84">
        <f t="shared" si="76"/>
        <v>-12100</v>
      </c>
      <c r="U144" s="84">
        <f t="shared" si="76"/>
        <v>-12100</v>
      </c>
      <c r="V144" s="84">
        <f t="shared" si="76"/>
        <v>-12100</v>
      </c>
      <c r="W144" s="84">
        <f t="shared" si="76"/>
        <v>-12100</v>
      </c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197"/>
      <c r="AJ144" s="197"/>
      <c r="AK144" s="197"/>
      <c r="AL144" s="197"/>
      <c r="AM144" s="197"/>
      <c r="AN144" s="197"/>
      <c r="AO144" s="197"/>
      <c r="AP144" s="197"/>
      <c r="AQ144" s="197"/>
      <c r="AR144" s="197"/>
      <c r="AS144" s="197"/>
      <c r="AT144" s="197"/>
      <c r="AU144" s="136" t="s">
        <v>336</v>
      </c>
      <c r="AV144" s="136">
        <f t="shared" si="77"/>
        <v>27</v>
      </c>
      <c r="AW144" s="175"/>
      <c r="AX144" s="175"/>
      <c r="AY144" s="182"/>
      <c r="AZ144" s="143">
        <v>1</v>
      </c>
    </row>
    <row r="145" spans="1:52" s="137" customFormat="1" ht="18.75" customHeight="1" x14ac:dyDescent="0.25">
      <c r="A145" s="90" t="s">
        <v>164</v>
      </c>
      <c r="B145" s="90" t="str">
        <f t="shared" si="74"/>
        <v>L28</v>
      </c>
      <c r="C145" s="116" t="s">
        <v>189</v>
      </c>
      <c r="D145" s="86"/>
      <c r="E145" s="86" t="s">
        <v>131</v>
      </c>
      <c r="F145" s="112" t="s">
        <v>132</v>
      </c>
      <c r="G145" s="180"/>
      <c r="H145" s="180"/>
      <c r="I145" s="111"/>
      <c r="J145" s="111"/>
      <c r="K145" s="111">
        <v>1150</v>
      </c>
      <c r="L145" s="111">
        <v>1150</v>
      </c>
      <c r="M145" s="111">
        <v>1150</v>
      </c>
      <c r="N145" s="111">
        <v>1150</v>
      </c>
      <c r="O145" s="84">
        <f t="shared" si="75"/>
        <v>1150</v>
      </c>
      <c r="P145" s="84">
        <f t="shared" si="76"/>
        <v>1150</v>
      </c>
      <c r="Q145" s="84">
        <f t="shared" si="76"/>
        <v>1150</v>
      </c>
      <c r="R145" s="84">
        <f t="shared" si="76"/>
        <v>1150</v>
      </c>
      <c r="S145" s="84">
        <f t="shared" si="76"/>
        <v>1150</v>
      </c>
      <c r="T145" s="84">
        <f t="shared" si="76"/>
        <v>1150</v>
      </c>
      <c r="U145" s="84">
        <f t="shared" si="76"/>
        <v>1150</v>
      </c>
      <c r="V145" s="84">
        <f t="shared" si="76"/>
        <v>1150</v>
      </c>
      <c r="W145" s="84">
        <f t="shared" si="76"/>
        <v>1150</v>
      </c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197"/>
      <c r="AJ145" s="197"/>
      <c r="AK145" s="197"/>
      <c r="AL145" s="197"/>
      <c r="AM145" s="197"/>
      <c r="AN145" s="197"/>
      <c r="AO145" s="197"/>
      <c r="AP145" s="197"/>
      <c r="AQ145" s="197"/>
      <c r="AR145" s="197"/>
      <c r="AS145" s="197"/>
      <c r="AT145" s="197"/>
      <c r="AU145" s="136" t="s">
        <v>336</v>
      </c>
      <c r="AV145" s="136">
        <f t="shared" si="77"/>
        <v>28</v>
      </c>
      <c r="AW145" s="175">
        <f>IF(F145="VEDTATT","VEDTATT",0)</f>
        <v>0</v>
      </c>
      <c r="AX145" s="175" t="str">
        <f>IF(F145="MÅ","Nye tiltak",0)</f>
        <v>Nye tiltak</v>
      </c>
      <c r="AY145" s="182"/>
      <c r="AZ145" s="143">
        <v>2</v>
      </c>
    </row>
    <row r="146" spans="1:52" s="137" customFormat="1" ht="18.75" customHeight="1" x14ac:dyDescent="0.25">
      <c r="A146" s="90" t="s">
        <v>164</v>
      </c>
      <c r="B146" s="90" t="str">
        <f t="shared" si="74"/>
        <v>L29</v>
      </c>
      <c r="C146" s="116" t="s">
        <v>190</v>
      </c>
      <c r="D146" s="86"/>
      <c r="E146" s="86" t="s">
        <v>131</v>
      </c>
      <c r="F146" s="112" t="s">
        <v>132</v>
      </c>
      <c r="G146" s="180"/>
      <c r="H146" s="180"/>
      <c r="I146" s="111"/>
      <c r="J146" s="111"/>
      <c r="K146" s="111">
        <v>-18000</v>
      </c>
      <c r="L146" s="111">
        <f>K146</f>
        <v>-18000</v>
      </c>
      <c r="M146" s="111">
        <f t="shared" ref="M146:N146" si="78">L146</f>
        <v>-18000</v>
      </c>
      <c r="N146" s="111">
        <f t="shared" si="78"/>
        <v>-18000</v>
      </c>
      <c r="O146" s="84">
        <f t="shared" si="75"/>
        <v>-18000</v>
      </c>
      <c r="P146" s="84">
        <f t="shared" si="76"/>
        <v>-18000</v>
      </c>
      <c r="Q146" s="84">
        <f t="shared" si="76"/>
        <v>-18000</v>
      </c>
      <c r="R146" s="84">
        <f t="shared" si="76"/>
        <v>-18000</v>
      </c>
      <c r="S146" s="84">
        <f t="shared" si="76"/>
        <v>-18000</v>
      </c>
      <c r="T146" s="84">
        <f t="shared" si="76"/>
        <v>-18000</v>
      </c>
      <c r="U146" s="84">
        <f t="shared" si="76"/>
        <v>-18000</v>
      </c>
      <c r="V146" s="84">
        <f t="shared" si="76"/>
        <v>-18000</v>
      </c>
      <c r="W146" s="84">
        <f t="shared" si="76"/>
        <v>-18000</v>
      </c>
      <c r="X146" s="197"/>
      <c r="Y146" s="197"/>
      <c r="Z146" s="197"/>
      <c r="AA146" s="197"/>
      <c r="AB146" s="197"/>
      <c r="AC146" s="197"/>
      <c r="AD146" s="197"/>
      <c r="AE146" s="197"/>
      <c r="AF146" s="197"/>
      <c r="AG146" s="197"/>
      <c r="AH146" s="197"/>
      <c r="AI146" s="197"/>
      <c r="AJ146" s="197"/>
      <c r="AK146" s="197"/>
      <c r="AL146" s="197"/>
      <c r="AM146" s="197"/>
      <c r="AN146" s="197"/>
      <c r="AO146" s="197"/>
      <c r="AP146" s="197"/>
      <c r="AQ146" s="197"/>
      <c r="AR146" s="197"/>
      <c r="AS146" s="197"/>
      <c r="AT146" s="197"/>
      <c r="AU146" s="136" t="s">
        <v>336</v>
      </c>
      <c r="AV146" s="136">
        <f>AV145+1</f>
        <v>29</v>
      </c>
      <c r="AW146" s="175"/>
      <c r="AX146" s="175"/>
      <c r="AY146" s="182"/>
      <c r="AZ146" s="143"/>
    </row>
    <row r="147" spans="1:52" s="137" customFormat="1" ht="18.75" customHeight="1" x14ac:dyDescent="0.25">
      <c r="A147" s="90" t="s">
        <v>164</v>
      </c>
      <c r="B147" s="90" t="str">
        <f t="shared" si="74"/>
        <v>L30</v>
      </c>
      <c r="C147" s="116" t="s">
        <v>191</v>
      </c>
      <c r="D147" s="86"/>
      <c r="E147" s="86" t="s">
        <v>120</v>
      </c>
      <c r="F147" s="112" t="s">
        <v>121</v>
      </c>
      <c r="G147" s="180"/>
      <c r="H147" s="180"/>
      <c r="I147" s="111"/>
      <c r="J147" s="111"/>
      <c r="K147" s="111">
        <v>-3000</v>
      </c>
      <c r="L147" s="111">
        <v>-3000</v>
      </c>
      <c r="M147" s="111">
        <v>-3000</v>
      </c>
      <c r="N147" s="111">
        <v>-3000</v>
      </c>
      <c r="O147" s="84">
        <f t="shared" si="75"/>
        <v>-3000</v>
      </c>
      <c r="P147" s="84">
        <f t="shared" si="76"/>
        <v>-3000</v>
      </c>
      <c r="Q147" s="84">
        <f t="shared" si="76"/>
        <v>-3000</v>
      </c>
      <c r="R147" s="84">
        <f t="shared" si="76"/>
        <v>-3000</v>
      </c>
      <c r="S147" s="84">
        <f t="shared" si="76"/>
        <v>-3000</v>
      </c>
      <c r="T147" s="84">
        <f t="shared" si="76"/>
        <v>-3000</v>
      </c>
      <c r="U147" s="84">
        <f t="shared" si="76"/>
        <v>-3000</v>
      </c>
      <c r="V147" s="84">
        <f t="shared" si="76"/>
        <v>-3000</v>
      </c>
      <c r="W147" s="84">
        <f t="shared" si="76"/>
        <v>-3000</v>
      </c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  <c r="AS147" s="185"/>
      <c r="AT147" s="185"/>
      <c r="AU147" s="136" t="s">
        <v>336</v>
      </c>
      <c r="AV147" s="136">
        <f>AV146+1</f>
        <v>30</v>
      </c>
      <c r="AW147" s="175" t="str">
        <f>IF(F147="VEDTATT","VEDTATT",0)</f>
        <v>VEDTATT</v>
      </c>
      <c r="AX147" s="175">
        <f>IF(F147="MÅ","Nye tiltak",0)</f>
        <v>0</v>
      </c>
      <c r="AY147" s="182"/>
      <c r="AZ147" s="143"/>
    </row>
    <row r="148" spans="1:52" s="137" customFormat="1" ht="18.75" customHeight="1" x14ac:dyDescent="0.25">
      <c r="A148" s="90" t="s">
        <v>164</v>
      </c>
      <c r="B148" s="90" t="str">
        <f t="shared" si="74"/>
        <v>L31</v>
      </c>
      <c r="C148" s="191" t="s">
        <v>184</v>
      </c>
      <c r="D148" s="86"/>
      <c r="E148" s="86" t="s">
        <v>120</v>
      </c>
      <c r="F148" s="112" t="s">
        <v>121</v>
      </c>
      <c r="G148" s="180"/>
      <c r="H148" s="180"/>
      <c r="I148" s="111"/>
      <c r="J148" s="111"/>
      <c r="K148" s="111">
        <f>[4]Internhusleie!K176</f>
        <v>3654</v>
      </c>
      <c r="L148" s="111">
        <f>[4]Internhusleie!L176</f>
        <v>7466</v>
      </c>
      <c r="M148" s="111">
        <f>[4]Internhusleie!M176</f>
        <v>11523</v>
      </c>
      <c r="N148" s="111">
        <f>[4]Internhusleie!N176</f>
        <v>13806</v>
      </c>
      <c r="O148" s="84">
        <f t="shared" si="75"/>
        <v>13806</v>
      </c>
      <c r="P148" s="84">
        <f t="shared" si="76"/>
        <v>13806</v>
      </c>
      <c r="Q148" s="84">
        <f t="shared" si="76"/>
        <v>13806</v>
      </c>
      <c r="R148" s="84">
        <f t="shared" si="76"/>
        <v>13806</v>
      </c>
      <c r="S148" s="84">
        <f t="shared" si="76"/>
        <v>13806</v>
      </c>
      <c r="T148" s="84">
        <f t="shared" si="76"/>
        <v>13806</v>
      </c>
      <c r="U148" s="84">
        <f t="shared" si="76"/>
        <v>13806</v>
      </c>
      <c r="V148" s="84">
        <f t="shared" si="76"/>
        <v>13806</v>
      </c>
      <c r="W148" s="84">
        <f t="shared" si="76"/>
        <v>13806</v>
      </c>
      <c r="X148" s="185"/>
      <c r="Y148" s="185"/>
      <c r="Z148" s="185"/>
      <c r="AA148" s="185"/>
      <c r="AB148" s="185"/>
      <c r="AC148" s="185"/>
      <c r="AD148" s="185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185"/>
      <c r="AR148" s="185"/>
      <c r="AS148" s="185"/>
      <c r="AT148" s="185"/>
      <c r="AU148" s="136" t="s">
        <v>336</v>
      </c>
      <c r="AV148" s="136">
        <f t="shared" ref="AV148:AV150" si="79">AV147+1</f>
        <v>31</v>
      </c>
      <c r="AW148" s="175"/>
      <c r="AX148" s="175"/>
      <c r="AY148" s="182"/>
      <c r="AZ148" s="143"/>
    </row>
    <row r="149" spans="1:52" s="137" customFormat="1" ht="18.75" customHeight="1" x14ac:dyDescent="0.25">
      <c r="A149" s="90" t="s">
        <v>164</v>
      </c>
      <c r="B149" s="90" t="str">
        <f t="shared" si="74"/>
        <v>L32</v>
      </c>
      <c r="C149" s="191" t="s">
        <v>184</v>
      </c>
      <c r="D149" s="86"/>
      <c r="E149" s="86" t="s">
        <v>131</v>
      </c>
      <c r="F149" s="86" t="s">
        <v>132</v>
      </c>
      <c r="G149" s="180"/>
      <c r="H149" s="180"/>
      <c r="I149" s="111"/>
      <c r="J149" s="111"/>
      <c r="K149" s="111">
        <f>[4]Internhusleie!K177</f>
        <v>0</v>
      </c>
      <c r="L149" s="111">
        <f>[4]Internhusleie!L177</f>
        <v>0</v>
      </c>
      <c r="M149" s="111">
        <f>[4]Internhusleie!M177</f>
        <v>0</v>
      </c>
      <c r="N149" s="111">
        <f>[4]Internhusleie!N177</f>
        <v>1789</v>
      </c>
      <c r="O149" s="84">
        <f t="shared" si="75"/>
        <v>1789</v>
      </c>
      <c r="P149" s="84">
        <f t="shared" si="76"/>
        <v>1789</v>
      </c>
      <c r="Q149" s="84">
        <f t="shared" si="76"/>
        <v>1789</v>
      </c>
      <c r="R149" s="84">
        <f t="shared" si="76"/>
        <v>1789</v>
      </c>
      <c r="S149" s="84">
        <f t="shared" si="76"/>
        <v>1789</v>
      </c>
      <c r="T149" s="84">
        <f t="shared" si="76"/>
        <v>1789</v>
      </c>
      <c r="U149" s="84">
        <f t="shared" si="76"/>
        <v>1789</v>
      </c>
      <c r="V149" s="84">
        <f t="shared" si="76"/>
        <v>1789</v>
      </c>
      <c r="W149" s="84">
        <f t="shared" si="76"/>
        <v>1789</v>
      </c>
      <c r="X149" s="185"/>
      <c r="Y149" s="185"/>
      <c r="Z149" s="185"/>
      <c r="AA149" s="185"/>
      <c r="AB149" s="185"/>
      <c r="AC149" s="185"/>
      <c r="AD149" s="185"/>
      <c r="AE149" s="185"/>
      <c r="AF149" s="185"/>
      <c r="AG149" s="185"/>
      <c r="AH149" s="185"/>
      <c r="AI149" s="185"/>
      <c r="AJ149" s="185"/>
      <c r="AK149" s="185"/>
      <c r="AL149" s="185"/>
      <c r="AM149" s="185"/>
      <c r="AN149" s="185"/>
      <c r="AO149" s="185"/>
      <c r="AP149" s="185"/>
      <c r="AQ149" s="185"/>
      <c r="AR149" s="185"/>
      <c r="AS149" s="185"/>
      <c r="AT149" s="185"/>
      <c r="AU149" s="136" t="s">
        <v>336</v>
      </c>
      <c r="AV149" s="136">
        <f t="shared" si="79"/>
        <v>32</v>
      </c>
      <c r="AW149" s="175"/>
      <c r="AX149" s="175"/>
      <c r="AY149" s="182"/>
      <c r="AZ149" s="143"/>
    </row>
    <row r="150" spans="1:52" s="137" customFormat="1" ht="18.75" customHeight="1" x14ac:dyDescent="0.25">
      <c r="A150" s="90" t="s">
        <v>164</v>
      </c>
      <c r="B150" s="90" t="str">
        <f t="shared" si="74"/>
        <v>L33</v>
      </c>
      <c r="C150" s="279" t="s">
        <v>481</v>
      </c>
      <c r="D150" s="86"/>
      <c r="E150" s="86" t="s">
        <v>131</v>
      </c>
      <c r="F150" s="112" t="s">
        <v>132</v>
      </c>
      <c r="G150" s="180"/>
      <c r="H150" s="180"/>
      <c r="I150" s="111"/>
      <c r="J150" s="111"/>
      <c r="K150" s="130">
        <v>450</v>
      </c>
      <c r="L150" s="130">
        <f>K150</f>
        <v>450</v>
      </c>
      <c r="M150" s="130">
        <f t="shared" ref="M150:N150" si="80">L150</f>
        <v>450</v>
      </c>
      <c r="N150" s="130">
        <f t="shared" si="80"/>
        <v>450</v>
      </c>
      <c r="O150" s="84">
        <f t="shared" si="75"/>
        <v>450</v>
      </c>
      <c r="P150" s="84">
        <f t="shared" si="76"/>
        <v>450</v>
      </c>
      <c r="Q150" s="84">
        <f t="shared" si="76"/>
        <v>450</v>
      </c>
      <c r="R150" s="84">
        <f t="shared" si="76"/>
        <v>450</v>
      </c>
      <c r="S150" s="84">
        <f t="shared" si="76"/>
        <v>450</v>
      </c>
      <c r="T150" s="84">
        <f t="shared" si="76"/>
        <v>450</v>
      </c>
      <c r="U150" s="84">
        <f t="shared" si="76"/>
        <v>450</v>
      </c>
      <c r="V150" s="84">
        <f t="shared" si="76"/>
        <v>450</v>
      </c>
      <c r="W150" s="84">
        <f t="shared" si="76"/>
        <v>450</v>
      </c>
      <c r="X150" s="185"/>
      <c r="Y150" s="185"/>
      <c r="Z150" s="185"/>
      <c r="AA150" s="185"/>
      <c r="AB150" s="185"/>
      <c r="AC150" s="185"/>
      <c r="AD150" s="185"/>
      <c r="AE150" s="185"/>
      <c r="AF150" s="185"/>
      <c r="AG150" s="185"/>
      <c r="AH150" s="185"/>
      <c r="AI150" s="185"/>
      <c r="AJ150" s="185"/>
      <c r="AK150" s="185"/>
      <c r="AL150" s="185"/>
      <c r="AM150" s="185"/>
      <c r="AN150" s="185"/>
      <c r="AO150" s="185"/>
      <c r="AP150" s="185"/>
      <c r="AQ150" s="185"/>
      <c r="AR150" s="185"/>
      <c r="AS150" s="185"/>
      <c r="AT150" s="185"/>
      <c r="AU150" s="136" t="s">
        <v>336</v>
      </c>
      <c r="AV150" s="136">
        <f t="shared" si="79"/>
        <v>33</v>
      </c>
      <c r="AW150" s="175"/>
      <c r="AX150" s="175"/>
      <c r="AY150" s="182"/>
      <c r="AZ150" s="143"/>
    </row>
    <row r="151" spans="1:52" s="137" customFormat="1" ht="18.75" customHeight="1" x14ac:dyDescent="0.25">
      <c r="A151" s="57"/>
      <c r="B151" s="57" t="s">
        <v>141</v>
      </c>
      <c r="C151" s="38" t="s">
        <v>192</v>
      </c>
      <c r="D151" s="96"/>
      <c r="E151" s="96"/>
      <c r="F151" s="96"/>
      <c r="G151" s="59"/>
      <c r="H151" s="59">
        <f t="shared" ref="H151:W151" si="81">SUMIF($A:$A,"LEVEKÅR",H:H)</f>
        <v>0</v>
      </c>
      <c r="I151" s="106">
        <f t="shared" si="81"/>
        <v>37563</v>
      </c>
      <c r="J151" s="106">
        <f t="shared" si="81"/>
        <v>20050</v>
      </c>
      <c r="K151" s="106">
        <f t="shared" si="81"/>
        <v>13425</v>
      </c>
      <c r="L151" s="106">
        <f t="shared" si="81"/>
        <v>38624</v>
      </c>
      <c r="M151" s="106">
        <f t="shared" si="81"/>
        <v>46580</v>
      </c>
      <c r="N151" s="106">
        <f t="shared" si="81"/>
        <v>54662</v>
      </c>
      <c r="O151" s="106">
        <f t="shared" si="81"/>
        <v>47277.121445157703</v>
      </c>
      <c r="P151" s="106">
        <f t="shared" si="81"/>
        <v>54260.502995105446</v>
      </c>
      <c r="Q151" s="106">
        <f t="shared" si="81"/>
        <v>50808.215704171205</v>
      </c>
      <c r="R151" s="106">
        <f t="shared" si="81"/>
        <v>52648.344071025669</v>
      </c>
      <c r="S151" s="106">
        <f t="shared" si="81"/>
        <v>58926.185044423037</v>
      </c>
      <c r="T151" s="106">
        <f t="shared" si="81"/>
        <v>56892.975917770338</v>
      </c>
      <c r="U151" s="106">
        <f t="shared" si="81"/>
        <v>54405.558064547455</v>
      </c>
      <c r="V151" s="106">
        <f t="shared" si="81"/>
        <v>55807.873937035649</v>
      </c>
      <c r="W151" s="106">
        <f t="shared" si="81"/>
        <v>53621.691583420106</v>
      </c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197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197"/>
      <c r="AT151" s="197"/>
      <c r="AU151" s="136"/>
      <c r="AV151" s="136"/>
      <c r="AW151" s="175">
        <f t="shared" ref="AW151:AW156" si="82">IF(F151="VEDTATT","VEDTATT",0)</f>
        <v>0</v>
      </c>
      <c r="AX151" s="175">
        <f t="shared" ref="AX151:AX156" si="83">IF(F151="MÅ","Nye tiltak",0)</f>
        <v>0</v>
      </c>
      <c r="AY151" s="182"/>
      <c r="AZ151" s="178"/>
    </row>
    <row r="152" spans="1:52" s="137" customFormat="1" ht="18.75" customHeight="1" x14ac:dyDescent="0.25">
      <c r="A152" s="198"/>
      <c r="B152" s="97"/>
      <c r="C152" s="144"/>
      <c r="D152" s="98"/>
      <c r="E152" s="98"/>
      <c r="F152" s="98"/>
      <c r="G152" s="44"/>
      <c r="H152" s="44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  <c r="AO152" s="169"/>
      <c r="AP152" s="169"/>
      <c r="AQ152" s="169"/>
      <c r="AR152" s="169"/>
      <c r="AS152" s="169"/>
      <c r="AT152" s="169"/>
      <c r="AU152" s="136"/>
      <c r="AV152" s="136"/>
      <c r="AW152" s="175">
        <f t="shared" si="82"/>
        <v>0</v>
      </c>
      <c r="AX152" s="175">
        <f t="shared" si="83"/>
        <v>0</v>
      </c>
      <c r="AY152" s="182"/>
      <c r="AZ152" s="178"/>
    </row>
    <row r="153" spans="1:52" s="137" customFormat="1" ht="18.75" customHeight="1" x14ac:dyDescent="0.25">
      <c r="A153" s="90"/>
      <c r="B153" s="99"/>
      <c r="C153" s="100" t="s">
        <v>193</v>
      </c>
      <c r="D153" s="101"/>
      <c r="E153" s="101"/>
      <c r="F153" s="115"/>
      <c r="G153" s="102"/>
      <c r="H153" s="102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  <c r="AO153" s="169"/>
      <c r="AP153" s="169"/>
      <c r="AQ153" s="169"/>
      <c r="AR153" s="169"/>
      <c r="AS153" s="169"/>
      <c r="AT153" s="169"/>
      <c r="AU153" s="160"/>
      <c r="AV153" s="160"/>
      <c r="AW153" s="175">
        <f t="shared" si="82"/>
        <v>0</v>
      </c>
      <c r="AX153" s="175">
        <f t="shared" si="83"/>
        <v>0</v>
      </c>
      <c r="AY153" s="182"/>
      <c r="AZ153" s="178"/>
    </row>
    <row r="154" spans="1:52" s="137" customFormat="1" ht="18.75" customHeight="1" x14ac:dyDescent="0.25">
      <c r="A154" s="90"/>
      <c r="B154" s="198"/>
      <c r="C154" s="119" t="s">
        <v>194</v>
      </c>
      <c r="D154" s="121"/>
      <c r="E154" s="121"/>
      <c r="F154" s="112"/>
      <c r="G154" s="159"/>
      <c r="H154" s="159"/>
      <c r="I154" s="109"/>
      <c r="J154" s="109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69"/>
      <c r="AT154" s="169"/>
      <c r="AU154" s="160"/>
      <c r="AV154" s="160"/>
      <c r="AW154" s="175">
        <f t="shared" si="82"/>
        <v>0</v>
      </c>
      <c r="AX154" s="175">
        <f t="shared" si="83"/>
        <v>0</v>
      </c>
      <c r="AY154" s="182"/>
      <c r="AZ154" s="178"/>
    </row>
    <row r="155" spans="1:52" s="137" customFormat="1" ht="18.75" customHeight="1" x14ac:dyDescent="0.25">
      <c r="A155" s="90" t="s">
        <v>195</v>
      </c>
      <c r="B155" s="90" t="str">
        <f t="shared" ref="B155:B196" si="84">IF(AV155,AU155&amp;AV155,"")</f>
        <v>K1</v>
      </c>
      <c r="C155" s="122" t="s">
        <v>196</v>
      </c>
      <c r="D155" s="86"/>
      <c r="E155" s="86" t="s">
        <v>131</v>
      </c>
      <c r="F155" s="112" t="s">
        <v>132</v>
      </c>
      <c r="G155" s="180"/>
      <c r="H155" s="180"/>
      <c r="I155" s="111"/>
      <c r="J155" s="111">
        <v>50</v>
      </c>
      <c r="K155" s="111">
        <v>585</v>
      </c>
      <c r="L155" s="111">
        <v>700</v>
      </c>
      <c r="M155" s="111">
        <v>375</v>
      </c>
      <c r="N155" s="111">
        <v>0</v>
      </c>
      <c r="O155" s="111"/>
      <c r="P155" s="111"/>
      <c r="Q155" s="111"/>
      <c r="R155" s="111"/>
      <c r="S155" s="111"/>
      <c r="T155" s="111"/>
      <c r="U155" s="111"/>
      <c r="V155" s="111"/>
      <c r="W155" s="111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  <c r="AO155" s="169"/>
      <c r="AP155" s="169"/>
      <c r="AQ155" s="169"/>
      <c r="AR155" s="169"/>
      <c r="AS155" s="169"/>
      <c r="AT155" s="169"/>
      <c r="AU155" s="136" t="s">
        <v>339</v>
      </c>
      <c r="AV155" s="136">
        <v>1</v>
      </c>
      <c r="AW155" s="175">
        <f t="shared" si="82"/>
        <v>0</v>
      </c>
      <c r="AX155" s="175" t="str">
        <f t="shared" si="83"/>
        <v>Nye tiltak</v>
      </c>
      <c r="AY155" s="182"/>
      <c r="AZ155" s="178">
        <v>1</v>
      </c>
    </row>
    <row r="156" spans="1:52" s="137" customFormat="1" ht="18.75" customHeight="1" x14ac:dyDescent="0.25">
      <c r="A156" s="90" t="s">
        <v>195</v>
      </c>
      <c r="B156" s="90" t="str">
        <f t="shared" si="84"/>
        <v>K2</v>
      </c>
      <c r="C156" s="122" t="s">
        <v>197</v>
      </c>
      <c r="D156" s="86"/>
      <c r="E156" s="86" t="s">
        <v>131</v>
      </c>
      <c r="F156" s="112" t="s">
        <v>132</v>
      </c>
      <c r="G156" s="180"/>
      <c r="H156" s="180"/>
      <c r="I156" s="111"/>
      <c r="J156" s="111"/>
      <c r="K156" s="111">
        <v>100</v>
      </c>
      <c r="L156" s="111">
        <v>100</v>
      </c>
      <c r="M156" s="111">
        <v>100</v>
      </c>
      <c r="N156" s="111">
        <v>100</v>
      </c>
      <c r="O156" s="84">
        <f>N156</f>
        <v>100</v>
      </c>
      <c r="P156" s="84">
        <f t="shared" ref="P156:W156" si="85">O156</f>
        <v>100</v>
      </c>
      <c r="Q156" s="84">
        <f t="shared" si="85"/>
        <v>100</v>
      </c>
      <c r="R156" s="84">
        <f t="shared" si="85"/>
        <v>100</v>
      </c>
      <c r="S156" s="84">
        <f t="shared" si="85"/>
        <v>100</v>
      </c>
      <c r="T156" s="84">
        <f t="shared" si="85"/>
        <v>100</v>
      </c>
      <c r="U156" s="84">
        <f t="shared" si="85"/>
        <v>100</v>
      </c>
      <c r="V156" s="84">
        <f t="shared" si="85"/>
        <v>100</v>
      </c>
      <c r="W156" s="84">
        <f t="shared" si="85"/>
        <v>100</v>
      </c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  <c r="AH156" s="197"/>
      <c r="AI156" s="197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197"/>
      <c r="AU156" s="136" t="s">
        <v>339</v>
      </c>
      <c r="AV156" s="136">
        <f>AV155+1</f>
        <v>2</v>
      </c>
      <c r="AW156" s="175">
        <f t="shared" si="82"/>
        <v>0</v>
      </c>
      <c r="AX156" s="175" t="str">
        <f t="shared" si="83"/>
        <v>Nye tiltak</v>
      </c>
      <c r="AY156" s="182"/>
      <c r="AZ156" s="178">
        <v>1</v>
      </c>
    </row>
    <row r="157" spans="1:52" s="137" customFormat="1" ht="18.75" customHeight="1" x14ac:dyDescent="0.25">
      <c r="A157" s="90" t="s">
        <v>195</v>
      </c>
      <c r="B157" s="90" t="str">
        <f t="shared" si="84"/>
        <v>K3</v>
      </c>
      <c r="C157" s="122" t="s">
        <v>198</v>
      </c>
      <c r="D157" s="86"/>
      <c r="E157" s="86" t="s">
        <v>120</v>
      </c>
      <c r="F157" s="112" t="s">
        <v>121</v>
      </c>
      <c r="G157" s="180"/>
      <c r="H157" s="180"/>
      <c r="I157" s="111"/>
      <c r="J157" s="111"/>
      <c r="K157" s="111"/>
      <c r="L157" s="111"/>
      <c r="M157" s="111">
        <v>700</v>
      </c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7"/>
      <c r="AH157" s="197"/>
      <c r="AI157" s="197"/>
      <c r="AJ157" s="197"/>
      <c r="AK157" s="197"/>
      <c r="AL157" s="197"/>
      <c r="AM157" s="197"/>
      <c r="AN157" s="197"/>
      <c r="AO157" s="197"/>
      <c r="AP157" s="197"/>
      <c r="AQ157" s="197"/>
      <c r="AR157" s="197"/>
      <c r="AS157" s="197"/>
      <c r="AT157" s="197"/>
      <c r="AU157" s="136" t="s">
        <v>339</v>
      </c>
      <c r="AV157" s="136">
        <f>AV156+1</f>
        <v>3</v>
      </c>
      <c r="AW157" s="175"/>
      <c r="AX157" s="175"/>
      <c r="AY157" s="182"/>
      <c r="AZ157" s="178"/>
    </row>
    <row r="158" spans="1:52" s="137" customFormat="1" ht="18.75" customHeight="1" x14ac:dyDescent="0.25">
      <c r="A158" s="90" t="s">
        <v>195</v>
      </c>
      <c r="B158" s="90" t="str">
        <f t="shared" si="84"/>
        <v>K4</v>
      </c>
      <c r="C158" s="122" t="s">
        <v>199</v>
      </c>
      <c r="D158" s="86"/>
      <c r="E158" s="86" t="s">
        <v>131</v>
      </c>
      <c r="F158" s="112" t="s">
        <v>132</v>
      </c>
      <c r="G158" s="180"/>
      <c r="H158" s="180"/>
      <c r="I158" s="111"/>
      <c r="J158" s="111"/>
      <c r="K158" s="111">
        <v>110</v>
      </c>
      <c r="L158" s="111">
        <v>110</v>
      </c>
      <c r="M158" s="111">
        <v>110</v>
      </c>
      <c r="N158" s="111">
        <v>110</v>
      </c>
      <c r="O158" s="84">
        <f>N158</f>
        <v>110</v>
      </c>
      <c r="P158" s="84">
        <f t="shared" ref="P158:W159" si="86">O158</f>
        <v>110</v>
      </c>
      <c r="Q158" s="84">
        <f t="shared" si="86"/>
        <v>110</v>
      </c>
      <c r="R158" s="84">
        <f t="shared" si="86"/>
        <v>110</v>
      </c>
      <c r="S158" s="84">
        <f t="shared" si="86"/>
        <v>110</v>
      </c>
      <c r="T158" s="84">
        <f t="shared" si="86"/>
        <v>110</v>
      </c>
      <c r="U158" s="84">
        <f t="shared" si="86"/>
        <v>110</v>
      </c>
      <c r="V158" s="84">
        <f t="shared" si="86"/>
        <v>110</v>
      </c>
      <c r="W158" s="84">
        <f t="shared" si="86"/>
        <v>110</v>
      </c>
      <c r="X158" s="197"/>
      <c r="Y158" s="197"/>
      <c r="Z158" s="197"/>
      <c r="AA158" s="197"/>
      <c r="AB158" s="197"/>
      <c r="AC158" s="197"/>
      <c r="AD158" s="197"/>
      <c r="AE158" s="197"/>
      <c r="AF158" s="197"/>
      <c r="AG158" s="197"/>
      <c r="AH158" s="197"/>
      <c r="AI158" s="197"/>
      <c r="AJ158" s="197"/>
      <c r="AK158" s="197"/>
      <c r="AL158" s="197"/>
      <c r="AM158" s="197"/>
      <c r="AN158" s="197"/>
      <c r="AO158" s="197"/>
      <c r="AP158" s="197"/>
      <c r="AQ158" s="197"/>
      <c r="AR158" s="197"/>
      <c r="AS158" s="197"/>
      <c r="AT158" s="197"/>
      <c r="AU158" s="136" t="s">
        <v>339</v>
      </c>
      <c r="AV158" s="136">
        <f t="shared" ref="AV158:AV160" si="87">AV157+1</f>
        <v>4</v>
      </c>
      <c r="AW158" s="175"/>
      <c r="AX158" s="175"/>
      <c r="AY158" s="182"/>
      <c r="AZ158" s="178"/>
    </row>
    <row r="159" spans="1:52" s="137" customFormat="1" ht="18.75" customHeight="1" x14ac:dyDescent="0.25">
      <c r="A159" s="90" t="s">
        <v>195</v>
      </c>
      <c r="B159" s="90" t="str">
        <f t="shared" si="84"/>
        <v>K5</v>
      </c>
      <c r="C159" s="122" t="s">
        <v>129</v>
      </c>
      <c r="D159" s="86"/>
      <c r="E159" s="86" t="s">
        <v>124</v>
      </c>
      <c r="F159" s="112" t="s">
        <v>121</v>
      </c>
      <c r="G159" s="180"/>
      <c r="H159" s="180"/>
      <c r="I159" s="111"/>
      <c r="J159" s="111"/>
      <c r="K159" s="111"/>
      <c r="L159" s="111">
        <f>-810-L160</f>
        <v>-810</v>
      </c>
      <c r="M159" s="111">
        <f>-1610-M160</f>
        <v>-1610</v>
      </c>
      <c r="N159" s="111">
        <f>-1610-N160</f>
        <v>-1610</v>
      </c>
      <c r="O159" s="84">
        <f>N159</f>
        <v>-1610</v>
      </c>
      <c r="P159" s="84">
        <f t="shared" si="86"/>
        <v>-1610</v>
      </c>
      <c r="Q159" s="84">
        <f t="shared" si="86"/>
        <v>-1610</v>
      </c>
      <c r="R159" s="84">
        <f t="shared" si="86"/>
        <v>-1610</v>
      </c>
      <c r="S159" s="84">
        <f t="shared" si="86"/>
        <v>-1610</v>
      </c>
      <c r="T159" s="84">
        <f t="shared" si="86"/>
        <v>-1610</v>
      </c>
      <c r="U159" s="84">
        <f t="shared" si="86"/>
        <v>-1610</v>
      </c>
      <c r="V159" s="84">
        <f t="shared" si="86"/>
        <v>-1610</v>
      </c>
      <c r="W159" s="84">
        <f t="shared" si="86"/>
        <v>-1610</v>
      </c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197"/>
      <c r="AU159" s="136" t="s">
        <v>339</v>
      </c>
      <c r="AV159" s="136">
        <f t="shared" si="87"/>
        <v>5</v>
      </c>
      <c r="AW159" s="175"/>
      <c r="AX159" s="175"/>
      <c r="AY159" s="182"/>
      <c r="AZ159" s="178"/>
    </row>
    <row r="160" spans="1:52" s="137" customFormat="1" ht="18.75" customHeight="1" x14ac:dyDescent="0.25">
      <c r="A160" s="90" t="s">
        <v>195</v>
      </c>
      <c r="B160" s="90" t="str">
        <f t="shared" si="84"/>
        <v>K6</v>
      </c>
      <c r="C160" s="122" t="s">
        <v>130</v>
      </c>
      <c r="D160" s="86"/>
      <c r="E160" s="86" t="s">
        <v>131</v>
      </c>
      <c r="F160" s="112" t="s">
        <v>132</v>
      </c>
      <c r="G160" s="180"/>
      <c r="H160" s="180"/>
      <c r="I160" s="111"/>
      <c r="J160" s="111"/>
      <c r="K160" s="111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197"/>
      <c r="AJ160" s="197"/>
      <c r="AK160" s="197"/>
      <c r="AL160" s="197"/>
      <c r="AM160" s="197"/>
      <c r="AN160" s="197"/>
      <c r="AO160" s="197"/>
      <c r="AP160" s="197"/>
      <c r="AQ160" s="197"/>
      <c r="AR160" s="197"/>
      <c r="AS160" s="197"/>
      <c r="AT160" s="197"/>
      <c r="AU160" s="136" t="s">
        <v>339</v>
      </c>
      <c r="AV160" s="136">
        <f t="shared" si="87"/>
        <v>6</v>
      </c>
      <c r="AW160" s="175"/>
      <c r="AX160" s="175"/>
      <c r="AY160" s="182"/>
      <c r="AZ160" s="178"/>
    </row>
    <row r="161" spans="1:55" s="137" customFormat="1" ht="25.5" customHeight="1" x14ac:dyDescent="0.25">
      <c r="A161" s="90" t="s">
        <v>195</v>
      </c>
      <c r="B161" s="90" t="str">
        <f t="shared" si="84"/>
        <v>K7</v>
      </c>
      <c r="C161" s="122" t="s">
        <v>200</v>
      </c>
      <c r="D161" s="86"/>
      <c r="E161" s="86" t="s">
        <v>131</v>
      </c>
      <c r="F161" s="112" t="s">
        <v>132</v>
      </c>
      <c r="G161" s="180"/>
      <c r="H161" s="180"/>
      <c r="I161" s="111"/>
      <c r="J161" s="111"/>
      <c r="K161" s="111">
        <v>500</v>
      </c>
      <c r="L161" s="111">
        <v>500</v>
      </c>
      <c r="M161" s="111">
        <v>500</v>
      </c>
      <c r="N161" s="111">
        <v>500</v>
      </c>
      <c r="O161" s="84">
        <f>N161</f>
        <v>500</v>
      </c>
      <c r="P161" s="84">
        <f t="shared" ref="P161:W163" si="88">O161</f>
        <v>500</v>
      </c>
      <c r="Q161" s="84">
        <f t="shared" si="88"/>
        <v>500</v>
      </c>
      <c r="R161" s="84">
        <f t="shared" si="88"/>
        <v>500</v>
      </c>
      <c r="S161" s="84">
        <f t="shared" si="88"/>
        <v>500</v>
      </c>
      <c r="T161" s="84">
        <f t="shared" si="88"/>
        <v>500</v>
      </c>
      <c r="U161" s="84">
        <f t="shared" si="88"/>
        <v>500</v>
      </c>
      <c r="V161" s="84">
        <f t="shared" si="88"/>
        <v>500</v>
      </c>
      <c r="W161" s="84">
        <f t="shared" si="88"/>
        <v>500</v>
      </c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197"/>
      <c r="AJ161" s="197"/>
      <c r="AK161" s="197"/>
      <c r="AL161" s="197"/>
      <c r="AM161" s="197"/>
      <c r="AN161" s="197"/>
      <c r="AO161" s="197"/>
      <c r="AP161" s="197"/>
      <c r="AQ161" s="197"/>
      <c r="AR161" s="197"/>
      <c r="AS161" s="197"/>
      <c r="AT161" s="197"/>
      <c r="AU161" s="136" t="s">
        <v>339</v>
      </c>
      <c r="AV161" s="136">
        <f>AV160+1</f>
        <v>7</v>
      </c>
      <c r="AW161" s="175"/>
      <c r="AX161" s="175"/>
      <c r="AY161" s="182"/>
      <c r="AZ161" s="178"/>
    </row>
    <row r="162" spans="1:55" s="137" customFormat="1" x14ac:dyDescent="0.25">
      <c r="A162" s="90" t="s">
        <v>195</v>
      </c>
      <c r="B162" s="90" t="str">
        <f t="shared" si="84"/>
        <v>K8</v>
      </c>
      <c r="C162" s="122" t="s">
        <v>201</v>
      </c>
      <c r="D162" s="86"/>
      <c r="E162" s="86" t="s">
        <v>131</v>
      </c>
      <c r="F162" s="112" t="s">
        <v>132</v>
      </c>
      <c r="G162" s="180"/>
      <c r="H162" s="180"/>
      <c r="I162" s="111"/>
      <c r="J162" s="111"/>
      <c r="K162" s="111">
        <v>120</v>
      </c>
      <c r="L162" s="111">
        <v>120</v>
      </c>
      <c r="M162" s="111">
        <v>120</v>
      </c>
      <c r="N162" s="111">
        <v>120</v>
      </c>
      <c r="O162" s="84">
        <f>N162</f>
        <v>120</v>
      </c>
      <c r="P162" s="84">
        <f t="shared" si="88"/>
        <v>120</v>
      </c>
      <c r="Q162" s="84">
        <f t="shared" si="88"/>
        <v>120</v>
      </c>
      <c r="R162" s="84">
        <f t="shared" si="88"/>
        <v>120</v>
      </c>
      <c r="S162" s="84">
        <f t="shared" si="88"/>
        <v>120</v>
      </c>
      <c r="T162" s="84">
        <f t="shared" si="88"/>
        <v>120</v>
      </c>
      <c r="U162" s="84">
        <f t="shared" si="88"/>
        <v>120</v>
      </c>
      <c r="V162" s="84">
        <f t="shared" si="88"/>
        <v>120</v>
      </c>
      <c r="W162" s="84">
        <f t="shared" si="88"/>
        <v>120</v>
      </c>
      <c r="X162" s="197"/>
      <c r="Y162" s="197"/>
      <c r="Z162" s="197"/>
      <c r="AA162" s="197"/>
      <c r="AB162" s="197"/>
      <c r="AC162" s="197"/>
      <c r="AD162" s="197"/>
      <c r="AE162" s="197"/>
      <c r="AF162" s="197"/>
      <c r="AG162" s="197"/>
      <c r="AH162" s="197"/>
      <c r="AI162" s="197"/>
      <c r="AJ162" s="197"/>
      <c r="AK162" s="197"/>
      <c r="AL162" s="197"/>
      <c r="AM162" s="197"/>
      <c r="AN162" s="197"/>
      <c r="AO162" s="197"/>
      <c r="AP162" s="197"/>
      <c r="AQ162" s="197"/>
      <c r="AR162" s="197"/>
      <c r="AS162" s="197"/>
      <c r="AT162" s="197"/>
      <c r="AU162" s="136" t="s">
        <v>339</v>
      </c>
      <c r="AV162" s="136">
        <f>AV161+1</f>
        <v>8</v>
      </c>
      <c r="AW162" s="175"/>
      <c r="AX162" s="175"/>
      <c r="AY162" s="182"/>
      <c r="AZ162" s="178"/>
    </row>
    <row r="163" spans="1:55" s="137" customFormat="1" ht="18.75" customHeight="1" x14ac:dyDescent="0.25">
      <c r="A163" s="90" t="s">
        <v>195</v>
      </c>
      <c r="B163" s="90" t="str">
        <f t="shared" si="84"/>
        <v>K9</v>
      </c>
      <c r="C163" s="122" t="s">
        <v>202</v>
      </c>
      <c r="D163" s="86"/>
      <c r="E163" s="86" t="s">
        <v>131</v>
      </c>
      <c r="F163" s="112" t="s">
        <v>132</v>
      </c>
      <c r="G163" s="180"/>
      <c r="H163" s="180"/>
      <c r="I163" s="111"/>
      <c r="J163" s="111"/>
      <c r="K163" s="111">
        <v>40</v>
      </c>
      <c r="L163" s="111">
        <v>40</v>
      </c>
      <c r="M163" s="111">
        <v>40</v>
      </c>
      <c r="N163" s="111">
        <v>40</v>
      </c>
      <c r="O163" s="84">
        <f>N163</f>
        <v>40</v>
      </c>
      <c r="P163" s="84">
        <f t="shared" si="88"/>
        <v>40</v>
      </c>
      <c r="Q163" s="84">
        <f t="shared" si="88"/>
        <v>40</v>
      </c>
      <c r="R163" s="84">
        <f t="shared" si="88"/>
        <v>40</v>
      </c>
      <c r="S163" s="84">
        <f t="shared" si="88"/>
        <v>40</v>
      </c>
      <c r="T163" s="84">
        <f t="shared" si="88"/>
        <v>40</v>
      </c>
      <c r="U163" s="84">
        <f t="shared" si="88"/>
        <v>40</v>
      </c>
      <c r="V163" s="84">
        <f t="shared" si="88"/>
        <v>40</v>
      </c>
      <c r="W163" s="84">
        <f t="shared" si="88"/>
        <v>40</v>
      </c>
      <c r="X163" s="197"/>
      <c r="Y163" s="197"/>
      <c r="Z163" s="197"/>
      <c r="AA163" s="197"/>
      <c r="AB163" s="197"/>
      <c r="AC163" s="197"/>
      <c r="AD163" s="197"/>
      <c r="AE163" s="197"/>
      <c r="AF163" s="197"/>
      <c r="AG163" s="197"/>
      <c r="AH163" s="197"/>
      <c r="AI163" s="197"/>
      <c r="AJ163" s="197"/>
      <c r="AK163" s="197"/>
      <c r="AL163" s="197"/>
      <c r="AM163" s="197"/>
      <c r="AN163" s="197"/>
      <c r="AO163" s="197"/>
      <c r="AP163" s="197"/>
      <c r="AQ163" s="197"/>
      <c r="AR163" s="197"/>
      <c r="AS163" s="197"/>
      <c r="AT163" s="197"/>
      <c r="AU163" s="136" t="s">
        <v>339</v>
      </c>
      <c r="AV163" s="136">
        <f t="shared" ref="AV163" si="89">AV162+1</f>
        <v>9</v>
      </c>
      <c r="AW163" s="175"/>
      <c r="AX163" s="175"/>
      <c r="AY163" s="182"/>
      <c r="AZ163" s="178"/>
    </row>
    <row r="164" spans="1:55" s="137" customFormat="1" ht="18.75" customHeight="1" x14ac:dyDescent="0.25">
      <c r="A164" s="90"/>
      <c r="B164" s="90" t="str">
        <f t="shared" si="84"/>
        <v/>
      </c>
      <c r="C164" s="119" t="s">
        <v>203</v>
      </c>
      <c r="D164" s="121"/>
      <c r="E164" s="121"/>
      <c r="F164" s="112"/>
      <c r="G164" s="179"/>
      <c r="H164" s="179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7"/>
      <c r="AK164" s="197"/>
      <c r="AL164" s="197"/>
      <c r="AM164" s="197"/>
      <c r="AN164" s="197"/>
      <c r="AO164" s="197"/>
      <c r="AP164" s="197"/>
      <c r="AQ164" s="197"/>
      <c r="AR164" s="197"/>
      <c r="AS164" s="197"/>
      <c r="AT164" s="197"/>
      <c r="AU164" s="160"/>
      <c r="AV164" s="160"/>
      <c r="AW164" s="175">
        <f>IF(F164="VEDTATT","VEDTATT",0)</f>
        <v>0</v>
      </c>
      <c r="AX164" s="175">
        <f>IF(F164="MÅ","Nye tiltak",0)</f>
        <v>0</v>
      </c>
      <c r="AY164" s="182"/>
      <c r="AZ164" s="178"/>
    </row>
    <row r="165" spans="1:55" s="137" customFormat="1" ht="26.25" customHeight="1" x14ac:dyDescent="0.25">
      <c r="A165" s="90" t="s">
        <v>195</v>
      </c>
      <c r="B165" s="90" t="str">
        <f t="shared" si="84"/>
        <v>K10</v>
      </c>
      <c r="C165" s="122" t="s">
        <v>204</v>
      </c>
      <c r="D165" s="86"/>
      <c r="E165" s="86" t="s">
        <v>124</v>
      </c>
      <c r="F165" s="112" t="s">
        <v>121</v>
      </c>
      <c r="G165" s="180"/>
      <c r="H165" s="180"/>
      <c r="I165" s="111"/>
      <c r="J165" s="111"/>
      <c r="K165" s="111">
        <v>-150</v>
      </c>
      <c r="L165" s="111">
        <v>-510</v>
      </c>
      <c r="M165" s="111">
        <v>-510</v>
      </c>
      <c r="N165" s="111">
        <v>-510</v>
      </c>
      <c r="O165" s="84">
        <f>N165</f>
        <v>-510</v>
      </c>
      <c r="P165" s="84">
        <f t="shared" ref="P165:W168" si="90">O165</f>
        <v>-510</v>
      </c>
      <c r="Q165" s="84">
        <f t="shared" si="90"/>
        <v>-510</v>
      </c>
      <c r="R165" s="84">
        <f t="shared" si="90"/>
        <v>-510</v>
      </c>
      <c r="S165" s="84">
        <f t="shared" si="90"/>
        <v>-510</v>
      </c>
      <c r="T165" s="84">
        <f t="shared" si="90"/>
        <v>-510</v>
      </c>
      <c r="U165" s="84">
        <f t="shared" si="90"/>
        <v>-510</v>
      </c>
      <c r="V165" s="84">
        <f t="shared" si="90"/>
        <v>-510</v>
      </c>
      <c r="W165" s="84">
        <f t="shared" si="90"/>
        <v>-510</v>
      </c>
      <c r="X165" s="197"/>
      <c r="Y165" s="197"/>
      <c r="Z165" s="197"/>
      <c r="AA165" s="197"/>
      <c r="AB165" s="197"/>
      <c r="AC165" s="197"/>
      <c r="AD165" s="197"/>
      <c r="AE165" s="197"/>
      <c r="AF165" s="197"/>
      <c r="AG165" s="197"/>
      <c r="AH165" s="197"/>
      <c r="AI165" s="197"/>
      <c r="AJ165" s="197"/>
      <c r="AK165" s="197"/>
      <c r="AL165" s="197"/>
      <c r="AM165" s="197"/>
      <c r="AN165" s="197"/>
      <c r="AO165" s="197"/>
      <c r="AP165" s="197"/>
      <c r="AQ165" s="197"/>
      <c r="AR165" s="197"/>
      <c r="AS165" s="197"/>
      <c r="AT165" s="197"/>
      <c r="AU165" s="136" t="s">
        <v>339</v>
      </c>
      <c r="AV165" s="136">
        <f>AV163+1</f>
        <v>10</v>
      </c>
      <c r="AW165" s="175"/>
      <c r="AX165" s="175"/>
      <c r="AY165" s="182"/>
      <c r="AZ165" s="178"/>
    </row>
    <row r="166" spans="1:55" s="137" customFormat="1" ht="18" customHeight="1" x14ac:dyDescent="0.25">
      <c r="A166" s="90" t="s">
        <v>195</v>
      </c>
      <c r="B166" s="90" t="str">
        <f t="shared" si="84"/>
        <v>K11</v>
      </c>
      <c r="C166" s="122" t="s">
        <v>205</v>
      </c>
      <c r="D166" s="86"/>
      <c r="E166" s="86" t="s">
        <v>131</v>
      </c>
      <c r="F166" s="112" t="s">
        <v>132</v>
      </c>
      <c r="G166" s="180"/>
      <c r="H166" s="180"/>
      <c r="I166" s="111"/>
      <c r="J166" s="111">
        <v>500</v>
      </c>
      <c r="K166" s="111">
        <v>122</v>
      </c>
      <c r="L166" s="111">
        <f t="shared" ref="L166:N168" si="91">K166</f>
        <v>122</v>
      </c>
      <c r="M166" s="111">
        <f t="shared" si="91"/>
        <v>122</v>
      </c>
      <c r="N166" s="111">
        <f t="shared" si="91"/>
        <v>122</v>
      </c>
      <c r="O166" s="84">
        <f>N166</f>
        <v>122</v>
      </c>
      <c r="P166" s="84">
        <f t="shared" si="90"/>
        <v>122</v>
      </c>
      <c r="Q166" s="84">
        <f t="shared" si="90"/>
        <v>122</v>
      </c>
      <c r="R166" s="84">
        <f t="shared" si="90"/>
        <v>122</v>
      </c>
      <c r="S166" s="84">
        <f t="shared" si="90"/>
        <v>122</v>
      </c>
      <c r="T166" s="84">
        <f t="shared" si="90"/>
        <v>122</v>
      </c>
      <c r="U166" s="84">
        <f t="shared" si="90"/>
        <v>122</v>
      </c>
      <c r="V166" s="84">
        <f t="shared" si="90"/>
        <v>122</v>
      </c>
      <c r="W166" s="84">
        <f t="shared" si="90"/>
        <v>122</v>
      </c>
      <c r="X166" s="197"/>
      <c r="Y166" s="197"/>
      <c r="Z166" s="197"/>
      <c r="AA166" s="197"/>
      <c r="AB166" s="197"/>
      <c r="AC166" s="197"/>
      <c r="AD166" s="197"/>
      <c r="AE166" s="197"/>
      <c r="AF166" s="197"/>
      <c r="AG166" s="197"/>
      <c r="AH166" s="197"/>
      <c r="AI166" s="197"/>
      <c r="AJ166" s="197"/>
      <c r="AK166" s="197"/>
      <c r="AL166" s="197"/>
      <c r="AM166" s="197"/>
      <c r="AN166" s="197"/>
      <c r="AO166" s="197"/>
      <c r="AP166" s="197"/>
      <c r="AQ166" s="197"/>
      <c r="AR166" s="197"/>
      <c r="AS166" s="197"/>
      <c r="AT166" s="197"/>
      <c r="AU166" s="136" t="s">
        <v>339</v>
      </c>
      <c r="AV166" s="136">
        <f>AV165+1</f>
        <v>11</v>
      </c>
      <c r="AW166" s="175">
        <f>IF(F166="VEDTATT","VEDTATT",0)</f>
        <v>0</v>
      </c>
      <c r="AX166" s="175" t="str">
        <f>IF(F166="MÅ","Nye tiltak",0)</f>
        <v>Nye tiltak</v>
      </c>
      <c r="AY166" s="182"/>
      <c r="AZ166" s="178">
        <v>1</v>
      </c>
    </row>
    <row r="167" spans="1:55" s="137" customFormat="1" x14ac:dyDescent="0.25">
      <c r="A167" s="90" t="s">
        <v>195</v>
      </c>
      <c r="B167" s="90" t="str">
        <f t="shared" si="84"/>
        <v>K12</v>
      </c>
      <c r="C167" s="122" t="s">
        <v>206</v>
      </c>
      <c r="D167" s="86"/>
      <c r="E167" s="86" t="s">
        <v>131</v>
      </c>
      <c r="F167" s="112" t="s">
        <v>132</v>
      </c>
      <c r="G167" s="180"/>
      <c r="H167" s="180"/>
      <c r="I167" s="111"/>
      <c r="J167" s="111">
        <v>-500</v>
      </c>
      <c r="K167" s="111">
        <v>240</v>
      </c>
      <c r="L167" s="111">
        <f t="shared" si="91"/>
        <v>240</v>
      </c>
      <c r="M167" s="111">
        <f t="shared" si="91"/>
        <v>240</v>
      </c>
      <c r="N167" s="111">
        <f t="shared" si="91"/>
        <v>240</v>
      </c>
      <c r="O167" s="84">
        <f>N167</f>
        <v>240</v>
      </c>
      <c r="P167" s="84">
        <f t="shared" si="90"/>
        <v>240</v>
      </c>
      <c r="Q167" s="84">
        <f t="shared" si="90"/>
        <v>240</v>
      </c>
      <c r="R167" s="84">
        <f t="shared" si="90"/>
        <v>240</v>
      </c>
      <c r="S167" s="84">
        <f t="shared" si="90"/>
        <v>240</v>
      </c>
      <c r="T167" s="84">
        <f t="shared" si="90"/>
        <v>240</v>
      </c>
      <c r="U167" s="84">
        <f t="shared" si="90"/>
        <v>240</v>
      </c>
      <c r="V167" s="84">
        <f t="shared" si="90"/>
        <v>240</v>
      </c>
      <c r="W167" s="84">
        <f t="shared" si="90"/>
        <v>240</v>
      </c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197"/>
      <c r="AT167" s="197"/>
      <c r="AU167" s="136" t="s">
        <v>339</v>
      </c>
      <c r="AV167" s="136">
        <f>AV166+1</f>
        <v>12</v>
      </c>
      <c r="AW167" s="175">
        <f>IF(F167="VEDTATT","VEDTATT",0)</f>
        <v>0</v>
      </c>
      <c r="AX167" s="175" t="str">
        <f>IF(F167="MÅ","Nye tiltak",0)</f>
        <v>Nye tiltak</v>
      </c>
      <c r="AY167" s="182"/>
      <c r="AZ167" s="178">
        <v>1</v>
      </c>
    </row>
    <row r="168" spans="1:55" s="137" customFormat="1" ht="18.75" customHeight="1" x14ac:dyDescent="0.25">
      <c r="A168" s="90" t="s">
        <v>195</v>
      </c>
      <c r="B168" s="90" t="str">
        <f t="shared" si="84"/>
        <v>K13</v>
      </c>
      <c r="C168" s="122" t="s">
        <v>482</v>
      </c>
      <c r="D168" s="86"/>
      <c r="E168" s="86" t="s">
        <v>131</v>
      </c>
      <c r="F168" s="112" t="s">
        <v>132</v>
      </c>
      <c r="G168" s="180"/>
      <c r="H168" s="180"/>
      <c r="I168" s="111"/>
      <c r="J168" s="111"/>
      <c r="K168" s="130">
        <v>601</v>
      </c>
      <c r="L168" s="130">
        <f>K168</f>
        <v>601</v>
      </c>
      <c r="M168" s="130">
        <f t="shared" si="91"/>
        <v>601</v>
      </c>
      <c r="N168" s="130">
        <f t="shared" si="91"/>
        <v>601</v>
      </c>
      <c r="O168" s="84">
        <f>N168</f>
        <v>601</v>
      </c>
      <c r="P168" s="84">
        <f t="shared" si="90"/>
        <v>601</v>
      </c>
      <c r="Q168" s="84">
        <f t="shared" si="90"/>
        <v>601</v>
      </c>
      <c r="R168" s="84">
        <f t="shared" si="90"/>
        <v>601</v>
      </c>
      <c r="S168" s="84">
        <f t="shared" si="90"/>
        <v>601</v>
      </c>
      <c r="T168" s="84">
        <f t="shared" si="90"/>
        <v>601</v>
      </c>
      <c r="U168" s="84">
        <f t="shared" si="90"/>
        <v>601</v>
      </c>
      <c r="V168" s="84">
        <f t="shared" si="90"/>
        <v>601</v>
      </c>
      <c r="W168" s="84">
        <f t="shared" si="90"/>
        <v>601</v>
      </c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197"/>
      <c r="AT168" s="197"/>
      <c r="AU168" s="136" t="s">
        <v>339</v>
      </c>
      <c r="AV168" s="136">
        <f>AV167+1</f>
        <v>13</v>
      </c>
      <c r="AW168" s="175">
        <f>IF(F168="VEDTATT","VEDTATT",0)</f>
        <v>0</v>
      </c>
      <c r="AX168" s="175" t="str">
        <f>IF(F168="MÅ","Nye tiltak",0)</f>
        <v>Nye tiltak</v>
      </c>
      <c r="AY168" s="182"/>
      <c r="AZ168" s="178">
        <v>2</v>
      </c>
    </row>
    <row r="169" spans="1:55" s="137" customFormat="1" ht="24" customHeight="1" x14ac:dyDescent="0.25">
      <c r="A169" s="90"/>
      <c r="B169" s="90" t="str">
        <f t="shared" si="84"/>
        <v/>
      </c>
      <c r="C169" s="119" t="s">
        <v>207</v>
      </c>
      <c r="D169" s="86"/>
      <c r="E169" s="86"/>
      <c r="F169" s="112" t="s">
        <v>208</v>
      </c>
      <c r="G169" s="179"/>
      <c r="H169" s="179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97"/>
      <c r="Y169" s="197"/>
      <c r="Z169" s="197"/>
      <c r="AA169" s="197"/>
      <c r="AB169" s="197"/>
      <c r="AC169" s="197"/>
      <c r="AD169" s="197"/>
      <c r="AE169" s="197"/>
      <c r="AF169" s="197"/>
      <c r="AG169" s="197"/>
      <c r="AH169" s="197"/>
      <c r="AI169" s="197"/>
      <c r="AJ169" s="197"/>
      <c r="AK169" s="197"/>
      <c r="AL169" s="197"/>
      <c r="AM169" s="197"/>
      <c r="AN169" s="197"/>
      <c r="AO169" s="197"/>
      <c r="AP169" s="197"/>
      <c r="AQ169" s="197"/>
      <c r="AR169" s="197"/>
      <c r="AS169" s="197"/>
      <c r="AT169" s="197"/>
      <c r="AU169" s="160"/>
      <c r="AV169" s="160"/>
      <c r="AW169" s="175">
        <f>IF(F169="VEDTATT","VEDTATT",0)</f>
        <v>0</v>
      </c>
      <c r="AX169" s="175">
        <f>IF(F169="MÅ","Nye tiltak",0)</f>
        <v>0</v>
      </c>
      <c r="AY169" s="182"/>
      <c r="AZ169" s="178"/>
    </row>
    <row r="170" spans="1:55" s="169" customFormat="1" ht="18.75" customHeight="1" x14ac:dyDescent="0.25">
      <c r="A170" s="90" t="s">
        <v>195</v>
      </c>
      <c r="B170" s="90" t="str">
        <f t="shared" si="84"/>
        <v>K14</v>
      </c>
      <c r="C170" s="122" t="s">
        <v>209</v>
      </c>
      <c r="D170" s="86"/>
      <c r="E170" s="86" t="s">
        <v>131</v>
      </c>
      <c r="F170" s="112" t="s">
        <v>132</v>
      </c>
      <c r="G170" s="180"/>
      <c r="H170" s="180"/>
      <c r="I170" s="111">
        <v>2549</v>
      </c>
      <c r="J170" s="111">
        <v>182</v>
      </c>
      <c r="K170" s="111">
        <v>360</v>
      </c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7"/>
      <c r="AO170" s="197"/>
      <c r="AP170" s="197"/>
      <c r="AQ170" s="197"/>
      <c r="AR170" s="197"/>
      <c r="AS170" s="197"/>
      <c r="AT170" s="197"/>
      <c r="AU170" s="136" t="s">
        <v>339</v>
      </c>
      <c r="AV170" s="136">
        <f>AV168+1</f>
        <v>14</v>
      </c>
      <c r="AW170" s="175">
        <f>IF(F170="VEDTATT","VEDTATT",0)</f>
        <v>0</v>
      </c>
      <c r="AX170" s="175" t="str">
        <f>IF(F170="MÅ","Nye tiltak",0)</f>
        <v>Nye tiltak</v>
      </c>
      <c r="AY170" s="200"/>
      <c r="AZ170" s="178">
        <v>1</v>
      </c>
      <c r="BA170" s="137"/>
      <c r="BB170" s="137"/>
      <c r="BC170" s="137"/>
    </row>
    <row r="171" spans="1:55" s="169" customFormat="1" ht="18.75" customHeight="1" x14ac:dyDescent="0.25">
      <c r="A171" s="90" t="s">
        <v>195</v>
      </c>
      <c r="B171" s="90" t="str">
        <f t="shared" si="84"/>
        <v>K15</v>
      </c>
      <c r="C171" s="122" t="s">
        <v>210</v>
      </c>
      <c r="D171" s="86"/>
      <c r="E171" s="86" t="s">
        <v>131</v>
      </c>
      <c r="F171" s="112" t="s">
        <v>132</v>
      </c>
      <c r="G171" s="180"/>
      <c r="H171" s="180"/>
      <c r="I171" s="111"/>
      <c r="J171" s="111"/>
      <c r="K171" s="111">
        <f>-K170</f>
        <v>-360</v>
      </c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7"/>
      <c r="AT171" s="197"/>
      <c r="AU171" s="136" t="s">
        <v>339</v>
      </c>
      <c r="AV171" s="136">
        <f t="shared" ref="AV171:AV175" si="92">AV170+1</f>
        <v>15</v>
      </c>
      <c r="AW171" s="175"/>
      <c r="AX171" s="175" t="s">
        <v>322</v>
      </c>
      <c r="AY171" s="200"/>
      <c r="AZ171" s="178">
        <v>1</v>
      </c>
      <c r="BA171" s="137"/>
      <c r="BB171" s="137"/>
      <c r="BC171" s="137"/>
    </row>
    <row r="172" spans="1:55" s="169" customFormat="1" ht="18.75" customHeight="1" x14ac:dyDescent="0.25">
      <c r="A172" s="90" t="s">
        <v>195</v>
      </c>
      <c r="B172" s="90" t="str">
        <f t="shared" si="84"/>
        <v>K16</v>
      </c>
      <c r="C172" s="122" t="s">
        <v>211</v>
      </c>
      <c r="D172" s="86"/>
      <c r="E172" s="86" t="s">
        <v>131</v>
      </c>
      <c r="F172" s="112" t="s">
        <v>132</v>
      </c>
      <c r="G172" s="180"/>
      <c r="H172" s="180"/>
      <c r="I172" s="111">
        <v>2250</v>
      </c>
      <c r="J172" s="111">
        <v>1822</v>
      </c>
      <c r="K172" s="111">
        <v>500</v>
      </c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197"/>
      <c r="AT172" s="197"/>
      <c r="AU172" s="136" t="s">
        <v>339</v>
      </c>
      <c r="AV172" s="136">
        <f t="shared" si="92"/>
        <v>16</v>
      </c>
      <c r="AW172" s="175"/>
      <c r="AX172" s="175"/>
      <c r="AY172" s="200"/>
      <c r="AZ172" s="178"/>
      <c r="BA172" s="137"/>
      <c r="BB172" s="137"/>
      <c r="BC172" s="137"/>
    </row>
    <row r="173" spans="1:55" s="137" customFormat="1" ht="18.75" customHeight="1" x14ac:dyDescent="0.25">
      <c r="A173" s="90" t="s">
        <v>195</v>
      </c>
      <c r="B173" s="90" t="str">
        <f t="shared" si="84"/>
        <v>K17</v>
      </c>
      <c r="C173" s="122" t="s">
        <v>212</v>
      </c>
      <c r="D173" s="86"/>
      <c r="E173" s="86" t="s">
        <v>131</v>
      </c>
      <c r="F173" s="112" t="s">
        <v>132</v>
      </c>
      <c r="G173" s="180"/>
      <c r="H173" s="180"/>
      <c r="I173" s="111">
        <v>2250</v>
      </c>
      <c r="J173" s="111">
        <v>1822</v>
      </c>
      <c r="K173" s="111">
        <v>-500</v>
      </c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  <c r="AH173" s="197"/>
      <c r="AI173" s="197"/>
      <c r="AJ173" s="197"/>
      <c r="AK173" s="197"/>
      <c r="AL173" s="197"/>
      <c r="AM173" s="197"/>
      <c r="AN173" s="197"/>
      <c r="AO173" s="197"/>
      <c r="AP173" s="197"/>
      <c r="AQ173" s="197"/>
      <c r="AR173" s="197"/>
      <c r="AS173" s="197"/>
      <c r="AT173" s="197"/>
      <c r="AU173" s="136" t="s">
        <v>339</v>
      </c>
      <c r="AV173" s="136">
        <f t="shared" si="92"/>
        <v>17</v>
      </c>
      <c r="AW173" s="175"/>
      <c r="AX173" s="175" t="s">
        <v>322</v>
      </c>
      <c r="AY173" s="200"/>
      <c r="AZ173" s="178"/>
    </row>
    <row r="174" spans="1:55" s="137" customFormat="1" ht="18.75" customHeight="1" x14ac:dyDescent="0.25">
      <c r="A174" s="90" t="s">
        <v>195</v>
      </c>
      <c r="B174" s="90" t="str">
        <f t="shared" si="84"/>
        <v>K18</v>
      </c>
      <c r="C174" s="122" t="s">
        <v>340</v>
      </c>
      <c r="D174" s="86"/>
      <c r="E174" s="86" t="s">
        <v>131</v>
      </c>
      <c r="F174" s="112" t="s">
        <v>132</v>
      </c>
      <c r="G174" s="180"/>
      <c r="H174" s="180"/>
      <c r="I174" s="111">
        <v>2250</v>
      </c>
      <c r="J174" s="111">
        <v>1822</v>
      </c>
      <c r="K174" s="111">
        <v>350</v>
      </c>
      <c r="L174" s="111">
        <v>350</v>
      </c>
      <c r="M174" s="111">
        <v>350</v>
      </c>
      <c r="N174" s="111">
        <v>350</v>
      </c>
      <c r="O174" s="84">
        <f>N174</f>
        <v>350</v>
      </c>
      <c r="P174" s="84">
        <f t="shared" ref="P174:W174" si="93">O174</f>
        <v>350</v>
      </c>
      <c r="Q174" s="84">
        <f t="shared" si="93"/>
        <v>350</v>
      </c>
      <c r="R174" s="84">
        <f t="shared" si="93"/>
        <v>350</v>
      </c>
      <c r="S174" s="84">
        <f t="shared" si="93"/>
        <v>350</v>
      </c>
      <c r="T174" s="84">
        <f t="shared" si="93"/>
        <v>350</v>
      </c>
      <c r="U174" s="84">
        <f t="shared" si="93"/>
        <v>350</v>
      </c>
      <c r="V174" s="84">
        <f t="shared" si="93"/>
        <v>350</v>
      </c>
      <c r="W174" s="84">
        <f t="shared" si="93"/>
        <v>350</v>
      </c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197"/>
      <c r="AT174" s="197"/>
      <c r="AU174" s="136" t="s">
        <v>339</v>
      </c>
      <c r="AV174" s="136">
        <f t="shared" si="92"/>
        <v>18</v>
      </c>
      <c r="AW174" s="175">
        <f>IF(F174="VEDTATT","VEDTATT",0)</f>
        <v>0</v>
      </c>
      <c r="AX174" s="175" t="str">
        <f>IF(F174="MÅ","Nye tiltak",0)</f>
        <v>Nye tiltak</v>
      </c>
      <c r="AY174" s="200"/>
      <c r="AZ174" s="178">
        <v>3</v>
      </c>
    </row>
    <row r="175" spans="1:55" s="137" customFormat="1" ht="18.75" customHeight="1" x14ac:dyDescent="0.25">
      <c r="A175" s="90" t="s">
        <v>195</v>
      </c>
      <c r="B175" s="90" t="str">
        <f t="shared" si="84"/>
        <v>K19</v>
      </c>
      <c r="C175" s="122" t="s">
        <v>341</v>
      </c>
      <c r="D175" s="86"/>
      <c r="E175" s="86" t="s">
        <v>131</v>
      </c>
      <c r="F175" s="112" t="s">
        <v>132</v>
      </c>
      <c r="G175" s="180"/>
      <c r="H175" s="180"/>
      <c r="I175" s="111">
        <v>2250</v>
      </c>
      <c r="J175" s="111">
        <v>1822</v>
      </c>
      <c r="K175" s="111">
        <v>-350</v>
      </c>
      <c r="L175" s="111">
        <v>-350</v>
      </c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197"/>
      <c r="AT175" s="197"/>
      <c r="AU175" s="136" t="s">
        <v>339</v>
      </c>
      <c r="AV175" s="136">
        <f t="shared" si="92"/>
        <v>19</v>
      </c>
      <c r="AW175" s="175"/>
      <c r="AX175" s="175" t="s">
        <v>322</v>
      </c>
      <c r="AY175" s="200"/>
      <c r="AZ175" s="178"/>
    </row>
    <row r="176" spans="1:55" s="137" customFormat="1" ht="18.75" customHeight="1" x14ac:dyDescent="0.25">
      <c r="A176" s="90" t="s">
        <v>195</v>
      </c>
      <c r="B176" s="90" t="str">
        <f t="shared" si="84"/>
        <v>K20</v>
      </c>
      <c r="C176" s="122" t="s">
        <v>213</v>
      </c>
      <c r="D176" s="86"/>
      <c r="E176" s="86" t="s">
        <v>131</v>
      </c>
      <c r="F176" s="112" t="s">
        <v>132</v>
      </c>
      <c r="G176" s="180"/>
      <c r="H176" s="180"/>
      <c r="I176" s="111">
        <v>-1236</v>
      </c>
      <c r="J176" s="111">
        <v>-2004</v>
      </c>
      <c r="K176" s="111">
        <v>500</v>
      </c>
      <c r="L176" s="111">
        <v>500</v>
      </c>
      <c r="M176" s="111">
        <v>500</v>
      </c>
      <c r="N176" s="111">
        <v>500</v>
      </c>
      <c r="O176" s="84">
        <f>N176</f>
        <v>500</v>
      </c>
      <c r="P176" s="84">
        <f t="shared" ref="P176:W177" si="94">O176</f>
        <v>500</v>
      </c>
      <c r="Q176" s="84">
        <f t="shared" si="94"/>
        <v>500</v>
      </c>
      <c r="R176" s="84">
        <f t="shared" si="94"/>
        <v>500</v>
      </c>
      <c r="S176" s="84">
        <f t="shared" si="94"/>
        <v>500</v>
      </c>
      <c r="T176" s="84">
        <f t="shared" si="94"/>
        <v>500</v>
      </c>
      <c r="U176" s="84">
        <f t="shared" si="94"/>
        <v>500</v>
      </c>
      <c r="V176" s="84">
        <f t="shared" si="94"/>
        <v>500</v>
      </c>
      <c r="W176" s="84">
        <f t="shared" si="94"/>
        <v>500</v>
      </c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197"/>
      <c r="AT176" s="197"/>
      <c r="AU176" s="169" t="s">
        <v>339</v>
      </c>
      <c r="AV176" s="169">
        <f>AV175+1</f>
        <v>20</v>
      </c>
      <c r="AW176" s="192">
        <f>IF(F176="VEDTATT","VEDTATT",0)</f>
        <v>0</v>
      </c>
      <c r="AX176" s="192" t="str">
        <f>IF(F176="MÅ","Nye tiltak",0)</f>
        <v>Nye tiltak</v>
      </c>
      <c r="AY176" s="201"/>
      <c r="AZ176" s="178">
        <v>4</v>
      </c>
      <c r="BA176" s="169"/>
      <c r="BB176" s="169"/>
      <c r="BC176" s="169"/>
    </row>
    <row r="177" spans="1:55" s="137" customFormat="1" ht="18.75" customHeight="1" x14ac:dyDescent="0.25">
      <c r="A177" s="90" t="s">
        <v>195</v>
      </c>
      <c r="B177" s="90" t="str">
        <f t="shared" si="84"/>
        <v>K21</v>
      </c>
      <c r="C177" s="122" t="s">
        <v>214</v>
      </c>
      <c r="D177" s="86"/>
      <c r="E177" s="86" t="s">
        <v>131</v>
      </c>
      <c r="F177" s="112" t="s">
        <v>132</v>
      </c>
      <c r="G177" s="180"/>
      <c r="H177" s="180"/>
      <c r="I177" s="111"/>
      <c r="J177" s="111"/>
      <c r="K177" s="111">
        <v>-100</v>
      </c>
      <c r="L177" s="111">
        <f>K177</f>
        <v>-100</v>
      </c>
      <c r="M177" s="111">
        <f t="shared" ref="M177:N177" si="95">L177</f>
        <v>-100</v>
      </c>
      <c r="N177" s="111">
        <f t="shared" si="95"/>
        <v>-100</v>
      </c>
      <c r="O177" s="84">
        <f>N177</f>
        <v>-100</v>
      </c>
      <c r="P177" s="84">
        <f t="shared" si="94"/>
        <v>-100</v>
      </c>
      <c r="Q177" s="84">
        <f t="shared" si="94"/>
        <v>-100</v>
      </c>
      <c r="R177" s="84">
        <f t="shared" si="94"/>
        <v>-100</v>
      </c>
      <c r="S177" s="84">
        <f t="shared" si="94"/>
        <v>-100</v>
      </c>
      <c r="T177" s="84">
        <f t="shared" si="94"/>
        <v>-100</v>
      </c>
      <c r="U177" s="84">
        <f t="shared" si="94"/>
        <v>-100</v>
      </c>
      <c r="V177" s="84">
        <f t="shared" si="94"/>
        <v>-100</v>
      </c>
      <c r="W177" s="84">
        <f t="shared" si="94"/>
        <v>-100</v>
      </c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  <c r="AH177" s="197"/>
      <c r="AI177" s="197"/>
      <c r="AJ177" s="197"/>
      <c r="AK177" s="197"/>
      <c r="AL177" s="197"/>
      <c r="AM177" s="197"/>
      <c r="AN177" s="197"/>
      <c r="AO177" s="197"/>
      <c r="AP177" s="197"/>
      <c r="AQ177" s="197"/>
      <c r="AR177" s="197"/>
      <c r="AS177" s="197"/>
      <c r="AT177" s="197"/>
      <c r="AU177" s="169" t="s">
        <v>339</v>
      </c>
      <c r="AV177" s="169">
        <f>AV176+1</f>
        <v>21</v>
      </c>
      <c r="AW177" s="192"/>
      <c r="AX177" s="192"/>
      <c r="AY177" s="201"/>
      <c r="AZ177" s="178"/>
      <c r="BA177" s="169"/>
      <c r="BB177" s="169"/>
      <c r="BC177" s="169"/>
    </row>
    <row r="178" spans="1:55" s="137" customFormat="1" ht="18.75" customHeight="1" x14ac:dyDescent="0.25">
      <c r="A178" s="90" t="s">
        <v>195</v>
      </c>
      <c r="B178" s="90" t="str">
        <f t="shared" si="84"/>
        <v>K22</v>
      </c>
      <c r="C178" s="122" t="s">
        <v>215</v>
      </c>
      <c r="D178" s="86"/>
      <c r="E178" s="86" t="s">
        <v>131</v>
      </c>
      <c r="F178" s="112" t="s">
        <v>132</v>
      </c>
      <c r="G178" s="180"/>
      <c r="H178" s="180"/>
      <c r="I178" s="111"/>
      <c r="J178" s="111"/>
      <c r="K178" s="111">
        <v>-400</v>
      </c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97"/>
      <c r="Y178" s="197"/>
      <c r="Z178" s="197"/>
      <c r="AA178" s="197"/>
      <c r="AB178" s="197"/>
      <c r="AC178" s="197"/>
      <c r="AD178" s="197"/>
      <c r="AE178" s="197"/>
      <c r="AF178" s="197"/>
      <c r="AG178" s="197"/>
      <c r="AH178" s="197"/>
      <c r="AI178" s="197"/>
      <c r="AJ178" s="197"/>
      <c r="AK178" s="197"/>
      <c r="AL178" s="197"/>
      <c r="AM178" s="197"/>
      <c r="AN178" s="197"/>
      <c r="AO178" s="197"/>
      <c r="AP178" s="197"/>
      <c r="AQ178" s="197"/>
      <c r="AR178" s="197"/>
      <c r="AS178" s="197"/>
      <c r="AT178" s="197"/>
      <c r="AU178" s="169" t="s">
        <v>339</v>
      </c>
      <c r="AV178" s="169">
        <f>AV177+1</f>
        <v>22</v>
      </c>
      <c r="AW178" s="192"/>
      <c r="AX178" s="192" t="s">
        <v>322</v>
      </c>
      <c r="AY178" s="201"/>
      <c r="AZ178" s="178"/>
      <c r="BA178" s="169"/>
      <c r="BB178" s="169"/>
      <c r="BC178" s="169"/>
    </row>
    <row r="179" spans="1:55" s="137" customFormat="1" ht="18.75" customHeight="1" x14ac:dyDescent="0.25">
      <c r="A179" s="90" t="s">
        <v>195</v>
      </c>
      <c r="B179" s="90" t="str">
        <f t="shared" si="84"/>
        <v>K23</v>
      </c>
      <c r="C179" s="122" t="s">
        <v>216</v>
      </c>
      <c r="D179" s="86"/>
      <c r="E179" s="86" t="s">
        <v>131</v>
      </c>
      <c r="F179" s="112" t="s">
        <v>132</v>
      </c>
      <c r="G179" s="180"/>
      <c r="H179" s="180"/>
      <c r="I179" s="111">
        <v>-1236</v>
      </c>
      <c r="J179" s="111">
        <v>-2004</v>
      </c>
      <c r="K179" s="111">
        <v>300</v>
      </c>
      <c r="L179" s="111">
        <v>300</v>
      </c>
      <c r="M179" s="111">
        <v>300</v>
      </c>
      <c r="N179" s="111">
        <v>300</v>
      </c>
      <c r="O179" s="84">
        <f>N179</f>
        <v>300</v>
      </c>
      <c r="P179" s="84">
        <f t="shared" ref="P179:W182" si="96">O179</f>
        <v>300</v>
      </c>
      <c r="Q179" s="84">
        <f t="shared" si="96"/>
        <v>300</v>
      </c>
      <c r="R179" s="84">
        <f t="shared" si="96"/>
        <v>300</v>
      </c>
      <c r="S179" s="84">
        <f t="shared" si="96"/>
        <v>300</v>
      </c>
      <c r="T179" s="84">
        <f t="shared" si="96"/>
        <v>300</v>
      </c>
      <c r="U179" s="84">
        <f t="shared" si="96"/>
        <v>300</v>
      </c>
      <c r="V179" s="84">
        <f t="shared" si="96"/>
        <v>300</v>
      </c>
      <c r="W179" s="84">
        <f t="shared" si="96"/>
        <v>300</v>
      </c>
      <c r="X179" s="197"/>
      <c r="Y179" s="197"/>
      <c r="Z179" s="197"/>
      <c r="AA179" s="197"/>
      <c r="AB179" s="197"/>
      <c r="AC179" s="197"/>
      <c r="AD179" s="197"/>
      <c r="AE179" s="197"/>
      <c r="AF179" s="197"/>
      <c r="AG179" s="197"/>
      <c r="AH179" s="197"/>
      <c r="AI179" s="197"/>
      <c r="AJ179" s="197"/>
      <c r="AK179" s="197"/>
      <c r="AL179" s="197"/>
      <c r="AM179" s="197"/>
      <c r="AN179" s="197"/>
      <c r="AO179" s="197"/>
      <c r="AP179" s="197"/>
      <c r="AQ179" s="197"/>
      <c r="AR179" s="197"/>
      <c r="AS179" s="197"/>
      <c r="AT179" s="197"/>
      <c r="AU179" s="136" t="s">
        <v>339</v>
      </c>
      <c r="AV179" s="136">
        <f>AV178+1</f>
        <v>23</v>
      </c>
      <c r="AW179" s="175"/>
      <c r="AX179" s="175"/>
      <c r="AY179" s="200"/>
      <c r="AZ179" s="178"/>
    </row>
    <row r="180" spans="1:55" s="137" customFormat="1" ht="18.75" customHeight="1" x14ac:dyDescent="0.25">
      <c r="A180" s="90" t="s">
        <v>195</v>
      </c>
      <c r="B180" s="90" t="str">
        <f t="shared" si="84"/>
        <v>K24</v>
      </c>
      <c r="C180" s="122" t="s">
        <v>217</v>
      </c>
      <c r="D180" s="86"/>
      <c r="E180" s="86" t="s">
        <v>131</v>
      </c>
      <c r="F180" s="112" t="s">
        <v>132</v>
      </c>
      <c r="G180" s="180"/>
      <c r="H180" s="180"/>
      <c r="I180" s="111"/>
      <c r="J180" s="111"/>
      <c r="K180" s="111">
        <v>30</v>
      </c>
      <c r="L180" s="111">
        <v>30</v>
      </c>
      <c r="M180" s="111">
        <v>30</v>
      </c>
      <c r="N180" s="111">
        <v>30</v>
      </c>
      <c r="O180" s="84">
        <f>N180</f>
        <v>30</v>
      </c>
      <c r="P180" s="84">
        <f t="shared" si="96"/>
        <v>30</v>
      </c>
      <c r="Q180" s="84">
        <f t="shared" si="96"/>
        <v>30</v>
      </c>
      <c r="R180" s="84">
        <f t="shared" si="96"/>
        <v>30</v>
      </c>
      <c r="S180" s="84">
        <f t="shared" si="96"/>
        <v>30</v>
      </c>
      <c r="T180" s="84">
        <f t="shared" si="96"/>
        <v>30</v>
      </c>
      <c r="U180" s="84">
        <f t="shared" si="96"/>
        <v>30</v>
      </c>
      <c r="V180" s="84">
        <f t="shared" si="96"/>
        <v>30</v>
      </c>
      <c r="W180" s="84">
        <f t="shared" si="96"/>
        <v>30</v>
      </c>
      <c r="X180" s="197"/>
      <c r="Y180" s="197"/>
      <c r="Z180" s="197"/>
      <c r="AA180" s="197"/>
      <c r="AB180" s="197"/>
      <c r="AC180" s="197"/>
      <c r="AD180" s="197"/>
      <c r="AE180" s="197"/>
      <c r="AF180" s="197"/>
      <c r="AG180" s="197"/>
      <c r="AH180" s="197"/>
      <c r="AI180" s="197"/>
      <c r="AJ180" s="197"/>
      <c r="AK180" s="197"/>
      <c r="AL180" s="197"/>
      <c r="AM180" s="197"/>
      <c r="AN180" s="197"/>
      <c r="AO180" s="197"/>
      <c r="AP180" s="197"/>
      <c r="AQ180" s="197"/>
      <c r="AR180" s="197"/>
      <c r="AS180" s="197"/>
      <c r="AT180" s="197"/>
      <c r="AU180" s="136" t="s">
        <v>339</v>
      </c>
      <c r="AV180" s="136">
        <f t="shared" ref="AV180:AV182" si="97">AV179+1</f>
        <v>24</v>
      </c>
      <c r="AW180" s="175"/>
      <c r="AX180" s="175"/>
      <c r="AY180" s="200"/>
      <c r="AZ180" s="178"/>
    </row>
    <row r="181" spans="1:55" s="137" customFormat="1" ht="18.75" customHeight="1" x14ac:dyDescent="0.25">
      <c r="A181" s="90" t="s">
        <v>195</v>
      </c>
      <c r="B181" s="90" t="str">
        <f t="shared" si="84"/>
        <v>K25</v>
      </c>
      <c r="C181" s="191" t="s">
        <v>218</v>
      </c>
      <c r="D181" s="86"/>
      <c r="E181" s="86" t="s">
        <v>120</v>
      </c>
      <c r="F181" s="112" t="s">
        <v>121</v>
      </c>
      <c r="G181" s="180"/>
      <c r="H181" s="180"/>
      <c r="I181" s="111"/>
      <c r="J181" s="111"/>
      <c r="K181" s="111">
        <f>[4]Internhusleie!K193</f>
        <v>0</v>
      </c>
      <c r="L181" s="111">
        <f>[4]Internhusleie!L193</f>
        <v>0</v>
      </c>
      <c r="M181" s="111">
        <f>[4]Internhusleie!M193</f>
        <v>87</v>
      </c>
      <c r="N181" s="111">
        <f>[4]Internhusleie!N193</f>
        <v>87</v>
      </c>
      <c r="O181" s="84">
        <f>N181</f>
        <v>87</v>
      </c>
      <c r="P181" s="84">
        <f t="shared" si="96"/>
        <v>87</v>
      </c>
      <c r="Q181" s="84">
        <f t="shared" si="96"/>
        <v>87</v>
      </c>
      <c r="R181" s="84">
        <f t="shared" si="96"/>
        <v>87</v>
      </c>
      <c r="S181" s="84">
        <f t="shared" si="96"/>
        <v>87</v>
      </c>
      <c r="T181" s="84">
        <f t="shared" si="96"/>
        <v>87</v>
      </c>
      <c r="U181" s="84">
        <f t="shared" si="96"/>
        <v>87</v>
      </c>
      <c r="V181" s="84">
        <f t="shared" si="96"/>
        <v>87</v>
      </c>
      <c r="W181" s="84">
        <f t="shared" si="96"/>
        <v>87</v>
      </c>
      <c r="X181" s="197"/>
      <c r="Y181" s="197"/>
      <c r="Z181" s="197"/>
      <c r="AA181" s="197"/>
      <c r="AB181" s="197"/>
      <c r="AC181" s="197"/>
      <c r="AD181" s="197"/>
      <c r="AE181" s="197"/>
      <c r="AF181" s="197"/>
      <c r="AG181" s="197"/>
      <c r="AH181" s="197"/>
      <c r="AI181" s="197"/>
      <c r="AJ181" s="197"/>
      <c r="AK181" s="197"/>
      <c r="AL181" s="197"/>
      <c r="AM181" s="197"/>
      <c r="AN181" s="197"/>
      <c r="AO181" s="197"/>
      <c r="AP181" s="197"/>
      <c r="AQ181" s="197"/>
      <c r="AR181" s="197"/>
      <c r="AS181" s="197"/>
      <c r="AT181" s="197"/>
      <c r="AU181" s="136" t="s">
        <v>339</v>
      </c>
      <c r="AV181" s="136">
        <f t="shared" si="97"/>
        <v>25</v>
      </c>
      <c r="AW181" s="175"/>
      <c r="AX181" s="175"/>
      <c r="AY181" s="200"/>
      <c r="AZ181" s="178"/>
    </row>
    <row r="182" spans="1:55" s="137" customFormat="1" ht="18.75" customHeight="1" x14ac:dyDescent="0.25">
      <c r="A182" s="90" t="s">
        <v>195</v>
      </c>
      <c r="B182" s="90" t="str">
        <f t="shared" si="84"/>
        <v>K26</v>
      </c>
      <c r="C182" s="191" t="s">
        <v>218</v>
      </c>
      <c r="D182" s="86"/>
      <c r="E182" s="86" t="s">
        <v>131</v>
      </c>
      <c r="F182" s="86" t="s">
        <v>132</v>
      </c>
      <c r="G182" s="180"/>
      <c r="H182" s="180"/>
      <c r="I182" s="111"/>
      <c r="J182" s="111"/>
      <c r="K182" s="111">
        <f>[4]Internhusleie!K194</f>
        <v>396</v>
      </c>
      <c r="L182" s="111">
        <f>[4]Internhusleie!L194</f>
        <v>467</v>
      </c>
      <c r="M182" s="111">
        <f>[4]Internhusleie!M194</f>
        <v>467</v>
      </c>
      <c r="N182" s="111">
        <f>[4]Internhusleie!N194</f>
        <v>467</v>
      </c>
      <c r="O182" s="84">
        <f>N182</f>
        <v>467</v>
      </c>
      <c r="P182" s="84">
        <f t="shared" si="96"/>
        <v>467</v>
      </c>
      <c r="Q182" s="84">
        <f t="shared" si="96"/>
        <v>467</v>
      </c>
      <c r="R182" s="84">
        <f t="shared" si="96"/>
        <v>467</v>
      </c>
      <c r="S182" s="84">
        <f t="shared" si="96"/>
        <v>467</v>
      </c>
      <c r="T182" s="84">
        <f t="shared" si="96"/>
        <v>467</v>
      </c>
      <c r="U182" s="84">
        <f t="shared" si="96"/>
        <v>467</v>
      </c>
      <c r="V182" s="84">
        <f t="shared" si="96"/>
        <v>467</v>
      </c>
      <c r="W182" s="84">
        <f t="shared" si="96"/>
        <v>467</v>
      </c>
      <c r="X182" s="197"/>
      <c r="Y182" s="197"/>
      <c r="Z182" s="197"/>
      <c r="AA182" s="197"/>
      <c r="AB182" s="197"/>
      <c r="AC182" s="197"/>
      <c r="AD182" s="197"/>
      <c r="AE182" s="197"/>
      <c r="AF182" s="197"/>
      <c r="AG182" s="197"/>
      <c r="AH182" s="197"/>
      <c r="AI182" s="197"/>
      <c r="AJ182" s="197"/>
      <c r="AK182" s="197"/>
      <c r="AL182" s="197"/>
      <c r="AM182" s="197"/>
      <c r="AN182" s="197"/>
      <c r="AO182" s="197"/>
      <c r="AP182" s="197"/>
      <c r="AQ182" s="197"/>
      <c r="AR182" s="197"/>
      <c r="AS182" s="197"/>
      <c r="AT182" s="197"/>
      <c r="AU182" s="136" t="s">
        <v>339</v>
      </c>
      <c r="AV182" s="136">
        <f t="shared" si="97"/>
        <v>26</v>
      </c>
      <c r="AW182" s="175"/>
      <c r="AX182" s="175"/>
      <c r="AY182" s="200"/>
      <c r="AZ182" s="178"/>
    </row>
    <row r="183" spans="1:55" s="137" customFormat="1" ht="18.75" customHeight="1" x14ac:dyDescent="0.25">
      <c r="A183" s="90"/>
      <c r="B183" s="90" t="str">
        <f t="shared" si="84"/>
        <v/>
      </c>
      <c r="C183" s="119" t="s">
        <v>219</v>
      </c>
      <c r="D183" s="86"/>
      <c r="E183" s="86"/>
      <c r="F183" s="112" t="s">
        <v>208</v>
      </c>
      <c r="G183" s="179"/>
      <c r="H183" s="179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97"/>
      <c r="Y183" s="197"/>
      <c r="Z183" s="197"/>
      <c r="AA183" s="197"/>
      <c r="AB183" s="197"/>
      <c r="AC183" s="197"/>
      <c r="AD183" s="197"/>
      <c r="AE183" s="197"/>
      <c r="AF183" s="197"/>
      <c r="AG183" s="197"/>
      <c r="AH183" s="197"/>
      <c r="AI183" s="197"/>
      <c r="AJ183" s="197"/>
      <c r="AK183" s="197"/>
      <c r="AL183" s="197"/>
      <c r="AM183" s="197"/>
      <c r="AN183" s="197"/>
      <c r="AO183" s="197"/>
      <c r="AP183" s="197"/>
      <c r="AQ183" s="197"/>
      <c r="AR183" s="197"/>
      <c r="AS183" s="197"/>
      <c r="AT183" s="197"/>
      <c r="AU183" s="160"/>
      <c r="AV183" s="160"/>
      <c r="AW183" s="175">
        <f>IF(F183="VEDTATT","VEDTATT",0)</f>
        <v>0</v>
      </c>
      <c r="AX183" s="175">
        <f>IF(F183="MÅ","Nye tiltak",0)</f>
        <v>0</v>
      </c>
      <c r="AY183" s="182"/>
      <c r="AZ183" s="143"/>
    </row>
    <row r="184" spans="1:55" s="137" customFormat="1" ht="18.75" customHeight="1" x14ac:dyDescent="0.25">
      <c r="A184" s="90" t="s">
        <v>195</v>
      </c>
      <c r="B184" s="90" t="str">
        <f t="shared" si="84"/>
        <v>K27</v>
      </c>
      <c r="C184" s="122" t="s">
        <v>220</v>
      </c>
      <c r="D184" s="86"/>
      <c r="E184" s="86" t="s">
        <v>131</v>
      </c>
      <c r="F184" s="112" t="s">
        <v>132</v>
      </c>
      <c r="G184" s="180"/>
      <c r="H184" s="180"/>
      <c r="I184" s="111">
        <v>2250</v>
      </c>
      <c r="J184" s="111">
        <v>1822</v>
      </c>
      <c r="K184" s="111">
        <v>300</v>
      </c>
      <c r="L184" s="111">
        <v>300</v>
      </c>
      <c r="M184" s="111">
        <v>300</v>
      </c>
      <c r="N184" s="111">
        <v>300</v>
      </c>
      <c r="O184" s="84">
        <f>N184</f>
        <v>300</v>
      </c>
      <c r="P184" s="84">
        <f t="shared" ref="P184:W186" si="98">O184</f>
        <v>300</v>
      </c>
      <c r="Q184" s="84">
        <f t="shared" si="98"/>
        <v>300</v>
      </c>
      <c r="R184" s="84">
        <f t="shared" si="98"/>
        <v>300</v>
      </c>
      <c r="S184" s="84">
        <f t="shared" si="98"/>
        <v>300</v>
      </c>
      <c r="T184" s="84">
        <f t="shared" si="98"/>
        <v>300</v>
      </c>
      <c r="U184" s="84">
        <f t="shared" si="98"/>
        <v>300</v>
      </c>
      <c r="V184" s="84">
        <f t="shared" si="98"/>
        <v>300</v>
      </c>
      <c r="W184" s="84">
        <f t="shared" si="98"/>
        <v>300</v>
      </c>
      <c r="X184" s="197"/>
      <c r="Y184" s="197"/>
      <c r="Z184" s="197"/>
      <c r="AA184" s="197"/>
      <c r="AB184" s="197"/>
      <c r="AC184" s="197"/>
      <c r="AD184" s="197"/>
      <c r="AE184" s="197"/>
      <c r="AF184" s="197"/>
      <c r="AG184" s="197"/>
      <c r="AH184" s="197"/>
      <c r="AI184" s="197"/>
      <c r="AJ184" s="197"/>
      <c r="AK184" s="197"/>
      <c r="AL184" s="197"/>
      <c r="AM184" s="197"/>
      <c r="AN184" s="197"/>
      <c r="AO184" s="197"/>
      <c r="AP184" s="197"/>
      <c r="AQ184" s="197"/>
      <c r="AR184" s="197"/>
      <c r="AS184" s="197"/>
      <c r="AT184" s="197"/>
      <c r="AU184" s="136" t="s">
        <v>339</v>
      </c>
      <c r="AV184" s="136">
        <f>AV182+1</f>
        <v>27</v>
      </c>
      <c r="AW184" s="175"/>
      <c r="AX184" s="175"/>
      <c r="AY184" s="200"/>
      <c r="AZ184" s="143"/>
    </row>
    <row r="185" spans="1:55" s="137" customFormat="1" ht="18.75" customHeight="1" x14ac:dyDescent="0.25">
      <c r="A185" s="90" t="s">
        <v>195</v>
      </c>
      <c r="B185" s="90" t="str">
        <f t="shared" si="84"/>
        <v>K28</v>
      </c>
      <c r="C185" s="122" t="s">
        <v>221</v>
      </c>
      <c r="D185" s="86"/>
      <c r="E185" s="86" t="s">
        <v>131</v>
      </c>
      <c r="F185" s="112" t="s">
        <v>132</v>
      </c>
      <c r="G185" s="180"/>
      <c r="H185" s="180"/>
      <c r="I185" s="111"/>
      <c r="J185" s="111"/>
      <c r="K185" s="111">
        <v>20</v>
      </c>
      <c r="L185" s="111">
        <v>20</v>
      </c>
      <c r="M185" s="111">
        <v>20</v>
      </c>
      <c r="N185" s="111">
        <v>20</v>
      </c>
      <c r="O185" s="84">
        <f>N185</f>
        <v>20</v>
      </c>
      <c r="P185" s="84">
        <f t="shared" si="98"/>
        <v>20</v>
      </c>
      <c r="Q185" s="84">
        <f t="shared" si="98"/>
        <v>20</v>
      </c>
      <c r="R185" s="84">
        <f t="shared" si="98"/>
        <v>20</v>
      </c>
      <c r="S185" s="84">
        <f t="shared" si="98"/>
        <v>20</v>
      </c>
      <c r="T185" s="84">
        <f t="shared" si="98"/>
        <v>20</v>
      </c>
      <c r="U185" s="84">
        <f t="shared" si="98"/>
        <v>20</v>
      </c>
      <c r="V185" s="84">
        <f t="shared" si="98"/>
        <v>20</v>
      </c>
      <c r="W185" s="84">
        <f t="shared" si="98"/>
        <v>20</v>
      </c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  <c r="AH185" s="197"/>
      <c r="AI185" s="197"/>
      <c r="AJ185" s="197"/>
      <c r="AK185" s="197"/>
      <c r="AL185" s="197"/>
      <c r="AM185" s="197"/>
      <c r="AN185" s="197"/>
      <c r="AO185" s="197"/>
      <c r="AP185" s="197"/>
      <c r="AQ185" s="197"/>
      <c r="AR185" s="197"/>
      <c r="AS185" s="197"/>
      <c r="AT185" s="197"/>
      <c r="AU185" s="136" t="s">
        <v>339</v>
      </c>
      <c r="AV185" s="136">
        <f t="shared" ref="AV185:AV186" si="99">AV184+1</f>
        <v>28</v>
      </c>
      <c r="AW185" s="175"/>
      <c r="AX185" s="175"/>
      <c r="AY185" s="200"/>
      <c r="AZ185" s="143"/>
    </row>
    <row r="186" spans="1:55" s="137" customFormat="1" ht="18.75" customHeight="1" x14ac:dyDescent="0.25">
      <c r="A186" s="90" t="s">
        <v>195</v>
      </c>
      <c r="B186" s="90" t="str">
        <f t="shared" si="84"/>
        <v>K29</v>
      </c>
      <c r="C186" s="122" t="s">
        <v>222</v>
      </c>
      <c r="D186" s="86"/>
      <c r="E186" s="86" t="s">
        <v>131</v>
      </c>
      <c r="F186" s="112" t="s">
        <v>132</v>
      </c>
      <c r="G186" s="180"/>
      <c r="H186" s="180"/>
      <c r="I186" s="111"/>
      <c r="J186" s="111"/>
      <c r="K186" s="111">
        <v>20</v>
      </c>
      <c r="L186" s="111">
        <v>20</v>
      </c>
      <c r="M186" s="111">
        <v>20</v>
      </c>
      <c r="N186" s="111">
        <v>20</v>
      </c>
      <c r="O186" s="84">
        <f>N186</f>
        <v>20</v>
      </c>
      <c r="P186" s="84">
        <f t="shared" si="98"/>
        <v>20</v>
      </c>
      <c r="Q186" s="84">
        <f t="shared" si="98"/>
        <v>20</v>
      </c>
      <c r="R186" s="84">
        <f t="shared" si="98"/>
        <v>20</v>
      </c>
      <c r="S186" s="84">
        <f t="shared" si="98"/>
        <v>20</v>
      </c>
      <c r="T186" s="84">
        <f t="shared" si="98"/>
        <v>20</v>
      </c>
      <c r="U186" s="84">
        <f t="shared" si="98"/>
        <v>20</v>
      </c>
      <c r="V186" s="84">
        <f t="shared" si="98"/>
        <v>20</v>
      </c>
      <c r="W186" s="84">
        <f t="shared" si="98"/>
        <v>20</v>
      </c>
      <c r="X186" s="197"/>
      <c r="Y186" s="197"/>
      <c r="Z186" s="197"/>
      <c r="AA186" s="197"/>
      <c r="AB186" s="197"/>
      <c r="AC186" s="197"/>
      <c r="AD186" s="197"/>
      <c r="AE186" s="197"/>
      <c r="AF186" s="197"/>
      <c r="AG186" s="197"/>
      <c r="AH186" s="197"/>
      <c r="AI186" s="197"/>
      <c r="AJ186" s="197"/>
      <c r="AK186" s="197"/>
      <c r="AL186" s="197"/>
      <c r="AM186" s="197"/>
      <c r="AN186" s="197"/>
      <c r="AO186" s="197"/>
      <c r="AP186" s="197"/>
      <c r="AQ186" s="197"/>
      <c r="AR186" s="197"/>
      <c r="AS186" s="197"/>
      <c r="AT186" s="197"/>
      <c r="AU186" s="136" t="s">
        <v>339</v>
      </c>
      <c r="AV186" s="136">
        <f t="shared" si="99"/>
        <v>29</v>
      </c>
      <c r="AW186" s="175"/>
      <c r="AX186" s="175"/>
      <c r="AY186" s="200"/>
      <c r="AZ186" s="143"/>
    </row>
    <row r="187" spans="1:55" s="137" customFormat="1" ht="18.75" customHeight="1" x14ac:dyDescent="0.25">
      <c r="A187" s="90"/>
      <c r="B187" s="90" t="str">
        <f t="shared" si="84"/>
        <v/>
      </c>
      <c r="C187" s="119" t="s">
        <v>223</v>
      </c>
      <c r="D187" s="86"/>
      <c r="E187" s="86"/>
      <c r="F187" s="112" t="s">
        <v>208</v>
      </c>
      <c r="G187" s="179"/>
      <c r="H187" s="179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97"/>
      <c r="Y187" s="197"/>
      <c r="Z187" s="197"/>
      <c r="AA187" s="197"/>
      <c r="AB187" s="197"/>
      <c r="AC187" s="197"/>
      <c r="AD187" s="197"/>
      <c r="AE187" s="197"/>
      <c r="AF187" s="197"/>
      <c r="AG187" s="197"/>
      <c r="AH187" s="197"/>
      <c r="AI187" s="197"/>
      <c r="AJ187" s="197"/>
      <c r="AK187" s="197"/>
      <c r="AL187" s="197"/>
      <c r="AM187" s="197"/>
      <c r="AN187" s="197"/>
      <c r="AO187" s="197"/>
      <c r="AP187" s="197"/>
      <c r="AQ187" s="197"/>
      <c r="AR187" s="197"/>
      <c r="AS187" s="197"/>
      <c r="AT187" s="197"/>
      <c r="AU187" s="160"/>
      <c r="AV187" s="160"/>
      <c r="AW187" s="175">
        <f>IF(F187="VEDTATT","VEDTATT",0)</f>
        <v>0</v>
      </c>
      <c r="AX187" s="175">
        <f>IF(F187="MÅ","Nye tiltak",0)</f>
        <v>0</v>
      </c>
      <c r="AY187" s="182"/>
      <c r="AZ187" s="143"/>
    </row>
    <row r="188" spans="1:55" s="137" customFormat="1" ht="18.75" customHeight="1" x14ac:dyDescent="0.25">
      <c r="A188" s="90" t="s">
        <v>195</v>
      </c>
      <c r="B188" s="90" t="str">
        <f t="shared" si="84"/>
        <v>K30</v>
      </c>
      <c r="C188" s="122" t="s">
        <v>342</v>
      </c>
      <c r="D188" s="86"/>
      <c r="E188" s="86" t="s">
        <v>120</v>
      </c>
      <c r="F188" s="112" t="s">
        <v>121</v>
      </c>
      <c r="G188" s="180"/>
      <c r="H188" s="180"/>
      <c r="I188" s="111"/>
      <c r="J188" s="111"/>
      <c r="K188" s="111">
        <v>156</v>
      </c>
      <c r="L188" s="111">
        <v>339</v>
      </c>
      <c r="M188" s="111">
        <v>526</v>
      </c>
      <c r="N188" s="111">
        <v>719</v>
      </c>
      <c r="O188" s="111"/>
      <c r="P188" s="111"/>
      <c r="Q188" s="111"/>
      <c r="R188" s="111"/>
      <c r="S188" s="111"/>
      <c r="T188" s="111"/>
      <c r="U188" s="111"/>
      <c r="V188" s="111"/>
      <c r="W188" s="111"/>
      <c r="X188" s="197"/>
      <c r="Y188" s="197"/>
      <c r="Z188" s="197"/>
      <c r="AA188" s="197"/>
      <c r="AB188" s="197"/>
      <c r="AC188" s="197"/>
      <c r="AD188" s="197"/>
      <c r="AE188" s="197"/>
      <c r="AF188" s="197"/>
      <c r="AG188" s="197"/>
      <c r="AH188" s="197"/>
      <c r="AI188" s="197"/>
      <c r="AJ188" s="197"/>
      <c r="AK188" s="197"/>
      <c r="AL188" s="197"/>
      <c r="AM188" s="197"/>
      <c r="AN188" s="197"/>
      <c r="AO188" s="197"/>
      <c r="AP188" s="197"/>
      <c r="AQ188" s="197"/>
      <c r="AR188" s="197"/>
      <c r="AS188" s="197"/>
      <c r="AT188" s="197"/>
      <c r="AU188" s="136" t="s">
        <v>339</v>
      </c>
      <c r="AV188" s="136">
        <f>AV186+1</f>
        <v>30</v>
      </c>
      <c r="AW188" s="175"/>
      <c r="AX188" s="175"/>
      <c r="AY188" s="200"/>
      <c r="AZ188" s="143"/>
    </row>
    <row r="189" spans="1:55" s="137" customFormat="1" ht="18.75" customHeight="1" x14ac:dyDescent="0.25">
      <c r="A189" s="80" t="s">
        <v>195</v>
      </c>
      <c r="B189" s="90" t="str">
        <f t="shared" si="84"/>
        <v>K31</v>
      </c>
      <c r="C189" s="122" t="s">
        <v>343</v>
      </c>
      <c r="D189" s="86"/>
      <c r="E189" s="86" t="s">
        <v>120</v>
      </c>
      <c r="F189" s="112" t="s">
        <v>121</v>
      </c>
      <c r="G189" s="180"/>
      <c r="H189" s="180"/>
      <c r="I189" s="111"/>
      <c r="J189" s="111"/>
      <c r="K189" s="111">
        <v>-744</v>
      </c>
      <c r="L189" s="111">
        <v>-852</v>
      </c>
      <c r="M189" s="111">
        <v>-1029</v>
      </c>
      <c r="N189" s="111">
        <v>-2286</v>
      </c>
      <c r="O189" s="111"/>
      <c r="P189" s="111"/>
      <c r="Q189" s="111"/>
      <c r="R189" s="111"/>
      <c r="S189" s="111"/>
      <c r="T189" s="111"/>
      <c r="U189" s="111"/>
      <c r="V189" s="111"/>
      <c r="W189" s="111"/>
      <c r="X189" s="197"/>
      <c r="Y189" s="197"/>
      <c r="Z189" s="197"/>
      <c r="AA189" s="197"/>
      <c r="AB189" s="197"/>
      <c r="AC189" s="197"/>
      <c r="AD189" s="197"/>
      <c r="AE189" s="197"/>
      <c r="AF189" s="197"/>
      <c r="AG189" s="197"/>
      <c r="AH189" s="197"/>
      <c r="AI189" s="197"/>
      <c r="AJ189" s="197"/>
      <c r="AK189" s="197"/>
      <c r="AL189" s="197"/>
      <c r="AM189" s="197"/>
      <c r="AN189" s="197"/>
      <c r="AO189" s="197"/>
      <c r="AP189" s="197"/>
      <c r="AQ189" s="197"/>
      <c r="AR189" s="197"/>
      <c r="AS189" s="197"/>
      <c r="AT189" s="197"/>
      <c r="AU189" s="136" t="s">
        <v>339</v>
      </c>
      <c r="AV189" s="136">
        <f t="shared" ref="AV189:AV196" si="100">AV188+1</f>
        <v>31</v>
      </c>
      <c r="AW189" s="175"/>
      <c r="AX189" s="175"/>
      <c r="AY189" s="200"/>
      <c r="AZ189" s="143"/>
    </row>
    <row r="190" spans="1:55" s="137" customFormat="1" ht="18.75" customHeight="1" x14ac:dyDescent="0.25">
      <c r="A190" s="80" t="s">
        <v>195</v>
      </c>
      <c r="B190" s="90" t="str">
        <f t="shared" si="84"/>
        <v>K32</v>
      </c>
      <c r="C190" s="122" t="s">
        <v>344</v>
      </c>
      <c r="D190" s="86"/>
      <c r="E190" s="86" t="s">
        <v>120</v>
      </c>
      <c r="F190" s="112" t="s">
        <v>121</v>
      </c>
      <c r="G190" s="180"/>
      <c r="H190" s="180"/>
      <c r="I190" s="111"/>
      <c r="J190" s="111"/>
      <c r="K190" s="111">
        <v>588</v>
      </c>
      <c r="L190" s="111">
        <v>513</v>
      </c>
      <c r="M190" s="111">
        <v>503</v>
      </c>
      <c r="N190" s="111">
        <v>1567</v>
      </c>
      <c r="O190" s="111"/>
      <c r="P190" s="111"/>
      <c r="Q190" s="111"/>
      <c r="R190" s="111"/>
      <c r="S190" s="111"/>
      <c r="T190" s="111"/>
      <c r="U190" s="111"/>
      <c r="V190" s="111"/>
      <c r="W190" s="111"/>
      <c r="X190" s="197"/>
      <c r="Y190" s="197"/>
      <c r="Z190" s="197"/>
      <c r="AA190" s="197"/>
      <c r="AB190" s="197"/>
      <c r="AC190" s="197"/>
      <c r="AD190" s="197"/>
      <c r="AE190" s="197"/>
      <c r="AF190" s="197"/>
      <c r="AG190" s="197"/>
      <c r="AH190" s="197"/>
      <c r="AI190" s="197"/>
      <c r="AJ190" s="197"/>
      <c r="AK190" s="197"/>
      <c r="AL190" s="197"/>
      <c r="AM190" s="197"/>
      <c r="AN190" s="197"/>
      <c r="AO190" s="197"/>
      <c r="AP190" s="197"/>
      <c r="AQ190" s="197"/>
      <c r="AR190" s="197"/>
      <c r="AS190" s="197"/>
      <c r="AT190" s="197"/>
      <c r="AU190" s="136" t="s">
        <v>339</v>
      </c>
      <c r="AV190" s="136">
        <f t="shared" si="100"/>
        <v>32</v>
      </c>
      <c r="AW190" s="175"/>
      <c r="AX190" s="175" t="s">
        <v>322</v>
      </c>
      <c r="AY190" s="200"/>
      <c r="AZ190" s="143"/>
    </row>
    <row r="191" spans="1:55" s="137" customFormat="1" ht="18.75" customHeight="1" x14ac:dyDescent="0.25">
      <c r="A191" s="80" t="s">
        <v>195</v>
      </c>
      <c r="B191" s="90" t="str">
        <f t="shared" si="84"/>
        <v>K33</v>
      </c>
      <c r="C191" s="122" t="s">
        <v>345</v>
      </c>
      <c r="D191" s="86"/>
      <c r="E191" s="86" t="s">
        <v>120</v>
      </c>
      <c r="F191" s="112" t="s">
        <v>121</v>
      </c>
      <c r="G191" s="180"/>
      <c r="H191" s="180"/>
      <c r="I191" s="111"/>
      <c r="J191" s="111"/>
      <c r="K191" s="111">
        <v>445</v>
      </c>
      <c r="L191" s="111">
        <v>1061</v>
      </c>
      <c r="M191" s="111">
        <v>1694</v>
      </c>
      <c r="N191" s="111">
        <v>2344</v>
      </c>
      <c r="O191" s="111"/>
      <c r="P191" s="111"/>
      <c r="Q191" s="111"/>
      <c r="R191" s="111"/>
      <c r="S191" s="111"/>
      <c r="T191" s="111"/>
      <c r="U191" s="111"/>
      <c r="V191" s="111"/>
      <c r="W191" s="111"/>
      <c r="X191" s="197"/>
      <c r="Y191" s="197"/>
      <c r="Z191" s="197"/>
      <c r="AA191" s="197"/>
      <c r="AB191" s="197"/>
      <c r="AC191" s="197"/>
      <c r="AD191" s="197"/>
      <c r="AE191" s="197"/>
      <c r="AF191" s="197"/>
      <c r="AG191" s="197"/>
      <c r="AH191" s="197"/>
      <c r="AI191" s="197"/>
      <c r="AJ191" s="197"/>
      <c r="AK191" s="197"/>
      <c r="AL191" s="197"/>
      <c r="AM191" s="197"/>
      <c r="AN191" s="197"/>
      <c r="AO191" s="197"/>
      <c r="AP191" s="197"/>
      <c r="AQ191" s="197"/>
      <c r="AR191" s="197"/>
      <c r="AS191" s="197"/>
      <c r="AT191" s="197"/>
      <c r="AU191" s="136" t="s">
        <v>339</v>
      </c>
      <c r="AV191" s="136">
        <f t="shared" si="100"/>
        <v>33</v>
      </c>
      <c r="AW191" s="175"/>
      <c r="AX191" s="175"/>
      <c r="AY191" s="200"/>
      <c r="AZ191" s="143"/>
    </row>
    <row r="192" spans="1:55" s="137" customFormat="1" ht="18.75" customHeight="1" x14ac:dyDescent="0.25">
      <c r="A192" s="80" t="s">
        <v>195</v>
      </c>
      <c r="B192" s="90" t="str">
        <f t="shared" si="84"/>
        <v>K34</v>
      </c>
      <c r="C192" s="122" t="s">
        <v>346</v>
      </c>
      <c r="D192" s="86"/>
      <c r="E192" s="86" t="s">
        <v>120</v>
      </c>
      <c r="F192" s="112" t="s">
        <v>121</v>
      </c>
      <c r="G192" s="180"/>
      <c r="H192" s="180"/>
      <c r="I192" s="111"/>
      <c r="J192" s="111"/>
      <c r="K192" s="111">
        <v>-2335</v>
      </c>
      <c r="L192" s="111">
        <v>-1401</v>
      </c>
      <c r="M192" s="111">
        <v>-2021</v>
      </c>
      <c r="N192" s="111">
        <v>-2672</v>
      </c>
      <c r="O192" s="111"/>
      <c r="P192" s="111"/>
      <c r="Q192" s="111"/>
      <c r="R192" s="111"/>
      <c r="S192" s="111"/>
      <c r="T192" s="111"/>
      <c r="U192" s="111"/>
      <c r="V192" s="111"/>
      <c r="W192" s="111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  <c r="AH192" s="197"/>
      <c r="AI192" s="197"/>
      <c r="AJ192" s="197"/>
      <c r="AK192" s="197"/>
      <c r="AL192" s="197"/>
      <c r="AM192" s="197"/>
      <c r="AN192" s="197"/>
      <c r="AO192" s="197"/>
      <c r="AP192" s="197"/>
      <c r="AQ192" s="197"/>
      <c r="AR192" s="197"/>
      <c r="AS192" s="197"/>
      <c r="AT192" s="197"/>
      <c r="AU192" s="136" t="s">
        <v>339</v>
      </c>
      <c r="AV192" s="136">
        <f t="shared" si="100"/>
        <v>34</v>
      </c>
      <c r="AW192" s="175"/>
      <c r="AX192" s="175"/>
      <c r="AY192" s="200"/>
      <c r="AZ192" s="143"/>
    </row>
    <row r="193" spans="1:52" s="137" customFormat="1" ht="18.75" customHeight="1" x14ac:dyDescent="0.25">
      <c r="A193" s="80" t="s">
        <v>195</v>
      </c>
      <c r="B193" s="90" t="str">
        <f t="shared" si="84"/>
        <v>K35</v>
      </c>
      <c r="C193" s="122" t="s">
        <v>224</v>
      </c>
      <c r="D193" s="86"/>
      <c r="E193" s="86" t="s">
        <v>120</v>
      </c>
      <c r="F193" s="112" t="s">
        <v>121</v>
      </c>
      <c r="G193" s="180"/>
      <c r="H193" s="180"/>
      <c r="I193" s="111">
        <v>2549</v>
      </c>
      <c r="J193" s="111">
        <v>182</v>
      </c>
      <c r="K193" s="111">
        <v>1890</v>
      </c>
      <c r="L193" s="111">
        <v>340</v>
      </c>
      <c r="M193" s="111">
        <v>327</v>
      </c>
      <c r="N193" s="111">
        <v>328</v>
      </c>
      <c r="O193" s="111"/>
      <c r="P193" s="111"/>
      <c r="Q193" s="111"/>
      <c r="R193" s="111"/>
      <c r="S193" s="111"/>
      <c r="T193" s="111"/>
      <c r="U193" s="111"/>
      <c r="V193" s="111"/>
      <c r="W193" s="111"/>
      <c r="X193" s="197"/>
      <c r="Y193" s="197"/>
      <c r="Z193" s="197"/>
      <c r="AA193" s="197"/>
      <c r="AB193" s="197"/>
      <c r="AC193" s="197"/>
      <c r="AD193" s="197"/>
      <c r="AE193" s="197"/>
      <c r="AF193" s="197"/>
      <c r="AG193" s="197"/>
      <c r="AH193" s="197"/>
      <c r="AI193" s="197"/>
      <c r="AJ193" s="197"/>
      <c r="AK193" s="197"/>
      <c r="AL193" s="197"/>
      <c r="AM193" s="197"/>
      <c r="AN193" s="197"/>
      <c r="AO193" s="197"/>
      <c r="AP193" s="197"/>
      <c r="AQ193" s="197"/>
      <c r="AR193" s="197"/>
      <c r="AS193" s="197"/>
      <c r="AT193" s="197"/>
      <c r="AU193" s="136" t="s">
        <v>339</v>
      </c>
      <c r="AV193" s="136">
        <f t="shared" si="100"/>
        <v>35</v>
      </c>
      <c r="AW193" s="175" t="str">
        <f>IF(F193="VEDTATT","VEDTATT",0)</f>
        <v>VEDTATT</v>
      </c>
      <c r="AX193" s="175" t="s">
        <v>322</v>
      </c>
      <c r="AY193" s="200"/>
      <c r="AZ193" s="143"/>
    </row>
    <row r="194" spans="1:52" s="137" customFormat="1" ht="17.25" customHeight="1" x14ac:dyDescent="0.25">
      <c r="A194" s="80" t="s">
        <v>195</v>
      </c>
      <c r="B194" s="90" t="str">
        <f t="shared" si="84"/>
        <v>K36</v>
      </c>
      <c r="C194" s="122" t="s">
        <v>347</v>
      </c>
      <c r="D194" s="86"/>
      <c r="E194" s="86" t="s">
        <v>120</v>
      </c>
      <c r="F194" s="112" t="s">
        <v>121</v>
      </c>
      <c r="G194" s="180"/>
      <c r="H194" s="180"/>
      <c r="I194" s="111"/>
      <c r="J194" s="111"/>
      <c r="K194" s="111">
        <v>1270</v>
      </c>
      <c r="L194" s="111">
        <v>1524</v>
      </c>
      <c r="M194" s="111">
        <v>1784</v>
      </c>
      <c r="N194" s="111">
        <v>2052</v>
      </c>
      <c r="O194" s="111"/>
      <c r="P194" s="111"/>
      <c r="Q194" s="111"/>
      <c r="R194" s="111"/>
      <c r="S194" s="111"/>
      <c r="T194" s="111"/>
      <c r="U194" s="111"/>
      <c r="V194" s="111"/>
      <c r="W194" s="111"/>
      <c r="X194" s="197"/>
      <c r="Y194" s="197"/>
      <c r="Z194" s="197"/>
      <c r="AA194" s="197"/>
      <c r="AB194" s="197"/>
      <c r="AC194" s="197"/>
      <c r="AD194" s="197"/>
      <c r="AE194" s="197"/>
      <c r="AF194" s="197"/>
      <c r="AG194" s="197"/>
      <c r="AH194" s="197"/>
      <c r="AI194" s="197"/>
      <c r="AJ194" s="197"/>
      <c r="AK194" s="197"/>
      <c r="AL194" s="197"/>
      <c r="AM194" s="197"/>
      <c r="AN194" s="197"/>
      <c r="AO194" s="197"/>
      <c r="AP194" s="197"/>
      <c r="AQ194" s="197"/>
      <c r="AR194" s="197"/>
      <c r="AS194" s="197"/>
      <c r="AT194" s="197"/>
      <c r="AU194" s="136" t="s">
        <v>339</v>
      </c>
      <c r="AV194" s="136">
        <f t="shared" si="100"/>
        <v>36</v>
      </c>
      <c r="AW194" s="175"/>
      <c r="AX194" s="175"/>
      <c r="AY194" s="200"/>
      <c r="AZ194" s="143"/>
    </row>
    <row r="195" spans="1:52" s="137" customFormat="1" ht="32.25" customHeight="1" x14ac:dyDescent="0.25">
      <c r="A195" s="90" t="s">
        <v>195</v>
      </c>
      <c r="B195" s="90" t="str">
        <f t="shared" si="84"/>
        <v>K37</v>
      </c>
      <c r="C195" s="122" t="s">
        <v>348</v>
      </c>
      <c r="D195" s="86"/>
      <c r="E195" s="86" t="s">
        <v>120</v>
      </c>
      <c r="F195" s="112" t="s">
        <v>121</v>
      </c>
      <c r="G195" s="180"/>
      <c r="H195" s="180"/>
      <c r="I195" s="111">
        <v>2250</v>
      </c>
      <c r="J195" s="111">
        <v>1822</v>
      </c>
      <c r="K195" s="111">
        <v>-2045</v>
      </c>
      <c r="L195" s="111">
        <v>-2355</v>
      </c>
      <c r="M195" s="111">
        <v>-2622</v>
      </c>
      <c r="N195" s="111">
        <v>-2893</v>
      </c>
      <c r="O195" s="111"/>
      <c r="P195" s="111"/>
      <c r="Q195" s="111"/>
      <c r="R195" s="111"/>
      <c r="S195" s="111"/>
      <c r="T195" s="111"/>
      <c r="U195" s="111"/>
      <c r="V195" s="111"/>
      <c r="W195" s="111"/>
      <c r="X195" s="197"/>
      <c r="Y195" s="197"/>
      <c r="Z195" s="197"/>
      <c r="AA195" s="197"/>
      <c r="AB195" s="197"/>
      <c r="AC195" s="197"/>
      <c r="AD195" s="197"/>
      <c r="AE195" s="197"/>
      <c r="AF195" s="197"/>
      <c r="AG195" s="197"/>
      <c r="AH195" s="197"/>
      <c r="AI195" s="197"/>
      <c r="AJ195" s="197"/>
      <c r="AK195" s="197"/>
      <c r="AL195" s="197"/>
      <c r="AM195" s="197"/>
      <c r="AN195" s="197"/>
      <c r="AO195" s="197"/>
      <c r="AP195" s="197"/>
      <c r="AQ195" s="197"/>
      <c r="AR195" s="197"/>
      <c r="AS195" s="197"/>
      <c r="AT195" s="197"/>
      <c r="AU195" s="136" t="s">
        <v>339</v>
      </c>
      <c r="AV195" s="136">
        <f t="shared" si="100"/>
        <v>37</v>
      </c>
      <c r="AW195" s="175" t="str">
        <f t="shared" ref="AW195:AW200" si="101">IF(F195="VEDTATT","VEDTATT",0)</f>
        <v>VEDTATT</v>
      </c>
      <c r="AX195" s="175">
        <f>IF(F195="MÅ","Nye tiltak",0)</f>
        <v>0</v>
      </c>
      <c r="AY195" s="200"/>
      <c r="AZ195" s="143"/>
    </row>
    <row r="196" spans="1:52" s="137" customFormat="1" ht="24" customHeight="1" x14ac:dyDescent="0.25">
      <c r="A196" s="90" t="s">
        <v>195</v>
      </c>
      <c r="B196" s="90" t="str">
        <f t="shared" si="84"/>
        <v>K38</v>
      </c>
      <c r="C196" s="122" t="s">
        <v>225</v>
      </c>
      <c r="D196" s="86"/>
      <c r="E196" s="86" t="s">
        <v>120</v>
      </c>
      <c r="F196" s="86" t="s">
        <v>121</v>
      </c>
      <c r="G196" s="86"/>
      <c r="H196" s="86"/>
      <c r="I196" s="86">
        <v>-1236</v>
      </c>
      <c r="J196" s="86">
        <v>-2004</v>
      </c>
      <c r="K196" s="111">
        <v>775</v>
      </c>
      <c r="L196" s="111">
        <v>831</v>
      </c>
      <c r="M196" s="111">
        <v>838</v>
      </c>
      <c r="N196" s="111">
        <v>841</v>
      </c>
      <c r="O196" s="111"/>
      <c r="P196" s="111"/>
      <c r="Q196" s="111"/>
      <c r="R196" s="111"/>
      <c r="S196" s="111"/>
      <c r="T196" s="111"/>
      <c r="U196" s="111"/>
      <c r="V196" s="111"/>
      <c r="W196" s="111"/>
      <c r="X196" s="197"/>
      <c r="Y196" s="197"/>
      <c r="Z196" s="197"/>
      <c r="AA196" s="197"/>
      <c r="AB196" s="197"/>
      <c r="AC196" s="197"/>
      <c r="AD196" s="197"/>
      <c r="AE196" s="197"/>
      <c r="AF196" s="197"/>
      <c r="AG196" s="197"/>
      <c r="AH196" s="197"/>
      <c r="AI196" s="197"/>
      <c r="AJ196" s="197"/>
      <c r="AK196" s="197"/>
      <c r="AL196" s="197"/>
      <c r="AM196" s="197"/>
      <c r="AN196" s="197"/>
      <c r="AO196" s="197"/>
      <c r="AP196" s="197"/>
      <c r="AQ196" s="197"/>
      <c r="AR196" s="197"/>
      <c r="AS196" s="197"/>
      <c r="AT196" s="197"/>
      <c r="AU196" s="136" t="s">
        <v>339</v>
      </c>
      <c r="AV196" s="136">
        <f t="shared" si="100"/>
        <v>38</v>
      </c>
      <c r="AW196" s="175" t="str">
        <f t="shared" si="101"/>
        <v>VEDTATT</v>
      </c>
      <c r="AX196" s="175" t="s">
        <v>322</v>
      </c>
      <c r="AY196" s="200"/>
      <c r="AZ196" s="143"/>
    </row>
    <row r="197" spans="1:52" s="137" customFormat="1" x14ac:dyDescent="0.25">
      <c r="A197" s="96"/>
      <c r="B197" s="57" t="s">
        <v>141</v>
      </c>
      <c r="C197" s="38" t="s">
        <v>226</v>
      </c>
      <c r="D197" s="96"/>
      <c r="E197" s="96"/>
      <c r="F197" s="96"/>
      <c r="G197" s="96"/>
      <c r="H197" s="96"/>
      <c r="I197" s="96"/>
      <c r="J197" s="96"/>
      <c r="K197" s="106">
        <f t="shared" ref="K197:W197" si="102">SUMIF($A:$A,"KUBY",K:K)</f>
        <v>3334</v>
      </c>
      <c r="L197" s="106">
        <f t="shared" si="102"/>
        <v>2750</v>
      </c>
      <c r="M197" s="106">
        <f t="shared" si="102"/>
        <v>2762</v>
      </c>
      <c r="N197" s="106">
        <f t="shared" si="102"/>
        <v>1687</v>
      </c>
      <c r="O197" s="106">
        <f t="shared" si="102"/>
        <v>1687</v>
      </c>
      <c r="P197" s="106">
        <f t="shared" si="102"/>
        <v>1687</v>
      </c>
      <c r="Q197" s="106">
        <f t="shared" si="102"/>
        <v>1687</v>
      </c>
      <c r="R197" s="106">
        <f t="shared" si="102"/>
        <v>1687</v>
      </c>
      <c r="S197" s="106">
        <f t="shared" si="102"/>
        <v>1687</v>
      </c>
      <c r="T197" s="106">
        <f t="shared" si="102"/>
        <v>1687</v>
      </c>
      <c r="U197" s="106">
        <f t="shared" si="102"/>
        <v>1687</v>
      </c>
      <c r="V197" s="106">
        <f t="shared" si="102"/>
        <v>1687</v>
      </c>
      <c r="W197" s="106">
        <f t="shared" si="102"/>
        <v>1687</v>
      </c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36"/>
      <c r="AV197" s="136"/>
      <c r="AW197" s="175">
        <f t="shared" si="101"/>
        <v>0</v>
      </c>
      <c r="AX197" s="175">
        <f>IF(F197="MÅ","Nye tiltak",0)</f>
        <v>0</v>
      </c>
      <c r="AY197" s="182"/>
      <c r="AZ197" s="143"/>
    </row>
    <row r="198" spans="1:52" s="137" customFormat="1" ht="18.75" customHeight="1" x14ac:dyDescent="0.25">
      <c r="A198" s="90"/>
      <c r="B198" s="97"/>
      <c r="C198" s="144"/>
      <c r="D198" s="98"/>
      <c r="E198" s="98"/>
      <c r="F198" s="98"/>
      <c r="G198" s="98"/>
      <c r="H198" s="98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69"/>
      <c r="Y198" s="169"/>
      <c r="Z198" s="169"/>
      <c r="AA198" s="169"/>
      <c r="AB198" s="169"/>
      <c r="AC198" s="169"/>
      <c r="AD198" s="169"/>
      <c r="AE198" s="169"/>
      <c r="AF198" s="169"/>
      <c r="AG198" s="169"/>
      <c r="AH198" s="169"/>
      <c r="AI198" s="169"/>
      <c r="AJ198" s="169"/>
      <c r="AK198" s="169"/>
      <c r="AL198" s="169"/>
      <c r="AM198" s="169"/>
      <c r="AN198" s="169"/>
      <c r="AO198" s="169"/>
      <c r="AP198" s="169"/>
      <c r="AQ198" s="169"/>
      <c r="AR198" s="169"/>
      <c r="AS198" s="169"/>
      <c r="AT198" s="169"/>
      <c r="AU198" s="136"/>
      <c r="AV198" s="136"/>
      <c r="AW198" s="175">
        <f t="shared" si="101"/>
        <v>0</v>
      </c>
      <c r="AX198" s="175">
        <f>IF(F198="MÅ","Nye tiltak",0)</f>
        <v>0</v>
      </c>
      <c r="AY198" s="182"/>
      <c r="AZ198" s="178"/>
    </row>
    <row r="199" spans="1:52" s="137" customFormat="1" ht="18.75" customHeight="1" x14ac:dyDescent="0.25">
      <c r="A199" s="90"/>
      <c r="B199" s="99"/>
      <c r="C199" s="123" t="s">
        <v>227</v>
      </c>
      <c r="D199" s="121"/>
      <c r="E199" s="121"/>
      <c r="F199" s="112"/>
      <c r="G199" s="102"/>
      <c r="H199" s="102"/>
      <c r="I199" s="108"/>
      <c r="J199" s="108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69"/>
      <c r="Y199" s="169"/>
      <c r="Z199" s="169"/>
      <c r="AA199" s="169"/>
      <c r="AB199" s="169"/>
      <c r="AC199" s="169"/>
      <c r="AD199" s="169"/>
      <c r="AE199" s="169"/>
      <c r="AF199" s="169"/>
      <c r="AG199" s="169"/>
      <c r="AH199" s="169"/>
      <c r="AI199" s="169"/>
      <c r="AJ199" s="169"/>
      <c r="AK199" s="169"/>
      <c r="AL199" s="169"/>
      <c r="AM199" s="169"/>
      <c r="AN199" s="169"/>
      <c r="AO199" s="169"/>
      <c r="AP199" s="169"/>
      <c r="AQ199" s="169"/>
      <c r="AR199" s="169"/>
      <c r="AS199" s="169"/>
      <c r="AT199" s="169"/>
      <c r="AU199" s="160"/>
      <c r="AV199" s="160"/>
      <c r="AW199" s="175">
        <f t="shared" si="101"/>
        <v>0</v>
      </c>
      <c r="AX199" s="175">
        <f>IF(F199="MÅ","Nye tiltak",0)</f>
        <v>0</v>
      </c>
      <c r="AY199" s="182"/>
      <c r="AZ199" s="178"/>
    </row>
    <row r="200" spans="1:52" s="137" customFormat="1" ht="18.75" customHeight="1" x14ac:dyDescent="0.25">
      <c r="A200" s="90" t="s">
        <v>228</v>
      </c>
      <c r="B200" s="90" t="str">
        <f t="shared" ref="B200:B213" si="103">IF(AV200,AU200&amp;AV200,"")</f>
        <v>T1</v>
      </c>
      <c r="C200" s="122" t="s">
        <v>229</v>
      </c>
      <c r="D200" s="86"/>
      <c r="E200" s="86" t="s">
        <v>131</v>
      </c>
      <c r="F200" s="112" t="s">
        <v>132</v>
      </c>
      <c r="G200" s="180"/>
      <c r="H200" s="180"/>
      <c r="I200" s="111"/>
      <c r="J200" s="111"/>
      <c r="K200" s="111">
        <v>300</v>
      </c>
      <c r="L200" s="111">
        <f t="shared" ref="L200:N201" si="104">K200</f>
        <v>300</v>
      </c>
      <c r="M200" s="111">
        <f t="shared" si="104"/>
        <v>300</v>
      </c>
      <c r="N200" s="111">
        <f t="shared" si="104"/>
        <v>300</v>
      </c>
      <c r="O200" s="84">
        <f t="shared" ref="O200:O211" si="105">N200</f>
        <v>300</v>
      </c>
      <c r="P200" s="84">
        <f t="shared" ref="P200:W211" si="106">O200</f>
        <v>300</v>
      </c>
      <c r="Q200" s="84">
        <f t="shared" si="106"/>
        <v>300</v>
      </c>
      <c r="R200" s="84">
        <f t="shared" si="106"/>
        <v>300</v>
      </c>
      <c r="S200" s="84">
        <f t="shared" si="106"/>
        <v>300</v>
      </c>
      <c r="T200" s="84">
        <f t="shared" si="106"/>
        <v>300</v>
      </c>
      <c r="U200" s="84">
        <f t="shared" si="106"/>
        <v>300</v>
      </c>
      <c r="V200" s="84">
        <f t="shared" si="106"/>
        <v>300</v>
      </c>
      <c r="W200" s="84">
        <f t="shared" si="106"/>
        <v>300</v>
      </c>
      <c r="X200" s="169"/>
      <c r="Y200" s="169"/>
      <c r="Z200" s="169"/>
      <c r="AA200" s="169"/>
      <c r="AB200" s="169"/>
      <c r="AC200" s="169"/>
      <c r="AD200" s="169"/>
      <c r="AE200" s="169"/>
      <c r="AF200" s="169"/>
      <c r="AG200" s="169"/>
      <c r="AH200" s="169"/>
      <c r="AI200" s="169"/>
      <c r="AJ200" s="169"/>
      <c r="AK200" s="169"/>
      <c r="AL200" s="169"/>
      <c r="AM200" s="169"/>
      <c r="AN200" s="169"/>
      <c r="AO200" s="169"/>
      <c r="AP200" s="169"/>
      <c r="AQ200" s="169"/>
      <c r="AR200" s="169"/>
      <c r="AS200" s="169"/>
      <c r="AT200" s="169"/>
      <c r="AU200" s="136" t="s">
        <v>349</v>
      </c>
      <c r="AV200" s="136">
        <v>1</v>
      </c>
      <c r="AW200" s="175">
        <f t="shared" si="101"/>
        <v>0</v>
      </c>
      <c r="AX200" s="175" t="str">
        <f>IF(F200="MÅ","Nye tiltak",0)</f>
        <v>Nye tiltak</v>
      </c>
      <c r="AY200" s="182"/>
      <c r="AZ200" s="178">
        <v>16</v>
      </c>
    </row>
    <row r="201" spans="1:52" s="137" customFormat="1" ht="18.75" customHeight="1" x14ac:dyDescent="0.25">
      <c r="A201" s="90" t="s">
        <v>228</v>
      </c>
      <c r="B201" s="90" t="str">
        <f t="shared" si="103"/>
        <v>T2</v>
      </c>
      <c r="C201" s="122" t="s">
        <v>230</v>
      </c>
      <c r="D201" s="86"/>
      <c r="E201" s="86" t="s">
        <v>131</v>
      </c>
      <c r="F201" s="112" t="s">
        <v>132</v>
      </c>
      <c r="G201" s="199"/>
      <c r="H201" s="199"/>
      <c r="I201" s="118"/>
      <c r="J201" s="118"/>
      <c r="K201" s="111">
        <v>-300</v>
      </c>
      <c r="L201" s="111">
        <f t="shared" si="104"/>
        <v>-300</v>
      </c>
      <c r="M201" s="111">
        <f t="shared" si="104"/>
        <v>-300</v>
      </c>
      <c r="N201" s="111">
        <f t="shared" si="104"/>
        <v>-300</v>
      </c>
      <c r="O201" s="84">
        <f t="shared" si="105"/>
        <v>-300</v>
      </c>
      <c r="P201" s="84">
        <f t="shared" si="106"/>
        <v>-300</v>
      </c>
      <c r="Q201" s="84">
        <f t="shared" si="106"/>
        <v>-300</v>
      </c>
      <c r="R201" s="84">
        <f t="shared" si="106"/>
        <v>-300</v>
      </c>
      <c r="S201" s="84">
        <f t="shared" si="106"/>
        <v>-300</v>
      </c>
      <c r="T201" s="84">
        <f t="shared" si="106"/>
        <v>-300</v>
      </c>
      <c r="U201" s="84">
        <f t="shared" si="106"/>
        <v>-300</v>
      </c>
      <c r="V201" s="84">
        <f t="shared" si="106"/>
        <v>-300</v>
      </c>
      <c r="W201" s="84">
        <f t="shared" si="106"/>
        <v>-300</v>
      </c>
      <c r="X201" s="169"/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N201" s="169"/>
      <c r="AO201" s="169"/>
      <c r="AP201" s="169"/>
      <c r="AQ201" s="169"/>
      <c r="AR201" s="169"/>
      <c r="AS201" s="169"/>
      <c r="AT201" s="169"/>
      <c r="AU201" s="136" t="s">
        <v>349</v>
      </c>
      <c r="AV201" s="136">
        <f>AV200+1</f>
        <v>2</v>
      </c>
      <c r="AW201" s="175"/>
      <c r="AX201" s="175"/>
      <c r="AY201" s="182"/>
      <c r="AZ201" s="178"/>
    </row>
    <row r="202" spans="1:52" s="137" customFormat="1" ht="26.25" customHeight="1" x14ac:dyDescent="0.25">
      <c r="A202" s="90" t="s">
        <v>228</v>
      </c>
      <c r="B202" s="90" t="str">
        <f t="shared" si="103"/>
        <v>T3</v>
      </c>
      <c r="C202" s="122" t="s">
        <v>231</v>
      </c>
      <c r="D202" s="86"/>
      <c r="E202" s="86" t="s">
        <v>120</v>
      </c>
      <c r="F202" s="112" t="s">
        <v>121</v>
      </c>
      <c r="G202" s="180"/>
      <c r="H202" s="180"/>
      <c r="I202" s="111"/>
      <c r="J202" s="111"/>
      <c r="K202" s="111">
        <v>275</v>
      </c>
      <c r="L202" s="111">
        <v>275</v>
      </c>
      <c r="M202" s="111">
        <v>275</v>
      </c>
      <c r="N202" s="111">
        <v>275</v>
      </c>
      <c r="O202" s="84">
        <f t="shared" si="105"/>
        <v>275</v>
      </c>
      <c r="P202" s="84">
        <f t="shared" si="106"/>
        <v>275</v>
      </c>
      <c r="Q202" s="84">
        <f t="shared" si="106"/>
        <v>275</v>
      </c>
      <c r="R202" s="84">
        <f t="shared" si="106"/>
        <v>275</v>
      </c>
      <c r="S202" s="84">
        <f t="shared" si="106"/>
        <v>275</v>
      </c>
      <c r="T202" s="84">
        <f t="shared" si="106"/>
        <v>275</v>
      </c>
      <c r="U202" s="84">
        <f t="shared" si="106"/>
        <v>275</v>
      </c>
      <c r="V202" s="84">
        <f t="shared" si="106"/>
        <v>275</v>
      </c>
      <c r="W202" s="84">
        <f t="shared" si="106"/>
        <v>275</v>
      </c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  <c r="AQ202" s="169"/>
      <c r="AR202" s="169"/>
      <c r="AS202" s="169"/>
      <c r="AT202" s="169"/>
      <c r="AU202" s="136" t="s">
        <v>349</v>
      </c>
      <c r="AV202" s="136">
        <f>AV201+1</f>
        <v>3</v>
      </c>
      <c r="AW202" s="175"/>
      <c r="AX202" s="175"/>
      <c r="AY202" s="182"/>
      <c r="AZ202" s="178">
        <v>1</v>
      </c>
    </row>
    <row r="203" spans="1:52" s="137" customFormat="1" ht="29.25" customHeight="1" x14ac:dyDescent="0.25">
      <c r="A203" s="90" t="s">
        <v>228</v>
      </c>
      <c r="B203" s="90" t="str">
        <f t="shared" si="103"/>
        <v>T4</v>
      </c>
      <c r="C203" s="122" t="s">
        <v>232</v>
      </c>
      <c r="D203" s="86"/>
      <c r="E203" s="86" t="s">
        <v>124</v>
      </c>
      <c r="F203" s="112" t="s">
        <v>121</v>
      </c>
      <c r="G203" s="180"/>
      <c r="H203" s="180"/>
      <c r="I203" s="111"/>
      <c r="J203" s="111"/>
      <c r="K203" s="111"/>
      <c r="L203" s="111"/>
      <c r="M203" s="111">
        <v>-275</v>
      </c>
      <c r="N203" s="111">
        <v>-275</v>
      </c>
      <c r="O203" s="84">
        <f t="shared" si="105"/>
        <v>-275</v>
      </c>
      <c r="P203" s="84">
        <f t="shared" si="106"/>
        <v>-275</v>
      </c>
      <c r="Q203" s="84">
        <f t="shared" si="106"/>
        <v>-275</v>
      </c>
      <c r="R203" s="84">
        <f t="shared" si="106"/>
        <v>-275</v>
      </c>
      <c r="S203" s="84">
        <f t="shared" si="106"/>
        <v>-275</v>
      </c>
      <c r="T203" s="84">
        <f t="shared" si="106"/>
        <v>-275</v>
      </c>
      <c r="U203" s="84">
        <f t="shared" si="106"/>
        <v>-275</v>
      </c>
      <c r="V203" s="84">
        <f t="shared" si="106"/>
        <v>-275</v>
      </c>
      <c r="W203" s="84">
        <f t="shared" si="106"/>
        <v>-275</v>
      </c>
      <c r="X203" s="197"/>
      <c r="Y203" s="197"/>
      <c r="Z203" s="197"/>
      <c r="AA203" s="197"/>
      <c r="AB203" s="197"/>
      <c r="AC203" s="197"/>
      <c r="AD203" s="197"/>
      <c r="AE203" s="197"/>
      <c r="AF203" s="197"/>
      <c r="AG203" s="197"/>
      <c r="AH203" s="197"/>
      <c r="AI203" s="197"/>
      <c r="AJ203" s="197"/>
      <c r="AK203" s="197"/>
      <c r="AL203" s="197"/>
      <c r="AM203" s="197"/>
      <c r="AN203" s="197"/>
      <c r="AO203" s="197"/>
      <c r="AP203" s="197"/>
      <c r="AQ203" s="197"/>
      <c r="AR203" s="197"/>
      <c r="AS203" s="197"/>
      <c r="AT203" s="197"/>
      <c r="AU203" s="136" t="s">
        <v>349</v>
      </c>
      <c r="AV203" s="136">
        <f t="shared" ref="AV203:AV213" si="107">AV202+1</f>
        <v>4</v>
      </c>
      <c r="AW203" s="175" t="str">
        <f>IF(F203="VEDTATT","VEDTATT",0)</f>
        <v>VEDTATT</v>
      </c>
      <c r="AX203" s="175">
        <f>IF(F203="MÅ","Nye tiltak",0)</f>
        <v>0</v>
      </c>
      <c r="AY203" s="182"/>
      <c r="AZ203" s="178"/>
    </row>
    <row r="204" spans="1:52" s="137" customFormat="1" ht="18.75" customHeight="1" x14ac:dyDescent="0.25">
      <c r="A204" s="90" t="s">
        <v>228</v>
      </c>
      <c r="B204" s="90" t="str">
        <f t="shared" si="103"/>
        <v>T5</v>
      </c>
      <c r="C204" s="122" t="s">
        <v>129</v>
      </c>
      <c r="D204" s="86"/>
      <c r="E204" s="86" t="s">
        <v>124</v>
      </c>
      <c r="F204" s="112" t="s">
        <v>121</v>
      </c>
      <c r="G204" s="180"/>
      <c r="H204" s="180"/>
      <c r="I204" s="111"/>
      <c r="J204" s="111"/>
      <c r="K204" s="111"/>
      <c r="L204" s="111">
        <f>-490-L205</f>
        <v>-440</v>
      </c>
      <c r="M204" s="111">
        <f>-990-M205</f>
        <v>-910</v>
      </c>
      <c r="N204" s="111">
        <f>-990-N205</f>
        <v>-910</v>
      </c>
      <c r="O204" s="84">
        <f t="shared" si="105"/>
        <v>-910</v>
      </c>
      <c r="P204" s="84">
        <f t="shared" si="106"/>
        <v>-910</v>
      </c>
      <c r="Q204" s="84">
        <f t="shared" si="106"/>
        <v>-910</v>
      </c>
      <c r="R204" s="84">
        <f t="shared" si="106"/>
        <v>-910</v>
      </c>
      <c r="S204" s="84">
        <f t="shared" si="106"/>
        <v>-910</v>
      </c>
      <c r="T204" s="84">
        <f t="shared" si="106"/>
        <v>-910</v>
      </c>
      <c r="U204" s="84">
        <f t="shared" si="106"/>
        <v>-910</v>
      </c>
      <c r="V204" s="84">
        <f t="shared" si="106"/>
        <v>-910</v>
      </c>
      <c r="W204" s="84">
        <f t="shared" si="106"/>
        <v>-910</v>
      </c>
      <c r="X204" s="197"/>
      <c r="Y204" s="197"/>
      <c r="Z204" s="197"/>
      <c r="AA204" s="197"/>
      <c r="AB204" s="197"/>
      <c r="AC204" s="197"/>
      <c r="AD204" s="197"/>
      <c r="AE204" s="197"/>
      <c r="AF204" s="197"/>
      <c r="AG204" s="197"/>
      <c r="AH204" s="197"/>
      <c r="AI204" s="197"/>
      <c r="AJ204" s="197"/>
      <c r="AK204" s="197"/>
      <c r="AL204" s="197"/>
      <c r="AM204" s="197"/>
      <c r="AN204" s="197"/>
      <c r="AO204" s="197"/>
      <c r="AP204" s="197"/>
      <c r="AQ204" s="197"/>
      <c r="AR204" s="197"/>
      <c r="AS204" s="197"/>
      <c r="AT204" s="197"/>
      <c r="AU204" s="136" t="s">
        <v>349</v>
      </c>
      <c r="AV204" s="136">
        <f t="shared" si="107"/>
        <v>5</v>
      </c>
      <c r="AW204" s="175" t="str">
        <f>IF(F204="VEDTATT","VEDTATT",0)</f>
        <v>VEDTATT</v>
      </c>
      <c r="AX204" s="175">
        <f>IF(F204="MÅ","Nye tiltak",0)</f>
        <v>0</v>
      </c>
      <c r="AY204" s="182"/>
      <c r="AZ204" s="178"/>
    </row>
    <row r="205" spans="1:52" s="137" customFormat="1" ht="18.75" customHeight="1" x14ac:dyDescent="0.25">
      <c r="A205" s="90" t="s">
        <v>228</v>
      </c>
      <c r="B205" s="90" t="str">
        <f t="shared" si="103"/>
        <v>T6</v>
      </c>
      <c r="C205" s="122" t="s">
        <v>130</v>
      </c>
      <c r="D205" s="86"/>
      <c r="E205" s="86" t="s">
        <v>131</v>
      </c>
      <c r="F205" s="112" t="s">
        <v>132</v>
      </c>
      <c r="G205" s="180"/>
      <c r="H205" s="180"/>
      <c r="I205" s="111"/>
      <c r="J205" s="111"/>
      <c r="K205" s="111"/>
      <c r="L205" s="111">
        <v>-50</v>
      </c>
      <c r="M205" s="111">
        <v>-80</v>
      </c>
      <c r="N205" s="111">
        <v>-80</v>
      </c>
      <c r="O205" s="84">
        <f t="shared" si="105"/>
        <v>-80</v>
      </c>
      <c r="P205" s="84">
        <f t="shared" si="106"/>
        <v>-80</v>
      </c>
      <c r="Q205" s="84">
        <f t="shared" si="106"/>
        <v>-80</v>
      </c>
      <c r="R205" s="84">
        <f t="shared" si="106"/>
        <v>-80</v>
      </c>
      <c r="S205" s="84">
        <f t="shared" si="106"/>
        <v>-80</v>
      </c>
      <c r="T205" s="84">
        <f t="shared" si="106"/>
        <v>-80</v>
      </c>
      <c r="U205" s="84">
        <f t="shared" si="106"/>
        <v>-80</v>
      </c>
      <c r="V205" s="84">
        <f t="shared" si="106"/>
        <v>-80</v>
      </c>
      <c r="W205" s="84">
        <f t="shared" si="106"/>
        <v>-80</v>
      </c>
      <c r="X205" s="197"/>
      <c r="Y205" s="197"/>
      <c r="Z205" s="197"/>
      <c r="AA205" s="197"/>
      <c r="AB205" s="197"/>
      <c r="AC205" s="197"/>
      <c r="AD205" s="197"/>
      <c r="AE205" s="197"/>
      <c r="AF205" s="197"/>
      <c r="AG205" s="197"/>
      <c r="AH205" s="197"/>
      <c r="AI205" s="197"/>
      <c r="AJ205" s="197"/>
      <c r="AK205" s="197"/>
      <c r="AL205" s="197"/>
      <c r="AM205" s="197"/>
      <c r="AN205" s="197"/>
      <c r="AO205" s="197"/>
      <c r="AP205" s="197"/>
      <c r="AQ205" s="197"/>
      <c r="AR205" s="197"/>
      <c r="AS205" s="197"/>
      <c r="AT205" s="197"/>
      <c r="AU205" s="136" t="s">
        <v>349</v>
      </c>
      <c r="AV205" s="136">
        <f t="shared" si="107"/>
        <v>6</v>
      </c>
      <c r="AW205" s="175"/>
      <c r="AX205" s="175"/>
      <c r="AY205" s="182"/>
      <c r="AZ205" s="178"/>
    </row>
    <row r="206" spans="1:52" s="137" customFormat="1" ht="18.75" customHeight="1" x14ac:dyDescent="0.25">
      <c r="A206" s="90" t="s">
        <v>228</v>
      </c>
      <c r="B206" s="90" t="str">
        <f t="shared" si="103"/>
        <v>T7</v>
      </c>
      <c r="C206" s="125" t="s">
        <v>233</v>
      </c>
      <c r="D206" s="86"/>
      <c r="E206" s="86" t="s">
        <v>124</v>
      </c>
      <c r="F206" s="112" t="s">
        <v>121</v>
      </c>
      <c r="G206" s="180"/>
      <c r="H206" s="180"/>
      <c r="I206" s="111"/>
      <c r="J206" s="111"/>
      <c r="K206" s="111">
        <v>-250</v>
      </c>
      <c r="L206" s="111">
        <v>-500</v>
      </c>
      <c r="M206" s="111">
        <v>-750</v>
      </c>
      <c r="N206" s="111">
        <v>-750</v>
      </c>
      <c r="O206" s="84">
        <f t="shared" si="105"/>
        <v>-750</v>
      </c>
      <c r="P206" s="84">
        <f t="shared" si="106"/>
        <v>-750</v>
      </c>
      <c r="Q206" s="84">
        <f t="shared" si="106"/>
        <v>-750</v>
      </c>
      <c r="R206" s="84">
        <f t="shared" si="106"/>
        <v>-750</v>
      </c>
      <c r="S206" s="84">
        <f t="shared" si="106"/>
        <v>-750</v>
      </c>
      <c r="T206" s="84">
        <f t="shared" si="106"/>
        <v>-750</v>
      </c>
      <c r="U206" s="84">
        <f t="shared" si="106"/>
        <v>-750</v>
      </c>
      <c r="V206" s="84">
        <f t="shared" si="106"/>
        <v>-750</v>
      </c>
      <c r="W206" s="84">
        <f t="shared" si="106"/>
        <v>-750</v>
      </c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169"/>
      <c r="AT206" s="169"/>
      <c r="AU206" s="136" t="s">
        <v>349</v>
      </c>
      <c r="AV206" s="136">
        <f>AV205+1</f>
        <v>7</v>
      </c>
      <c r="AW206" s="175" t="str">
        <f>IF(F206="VEDTATT","VEDTATT",0)</f>
        <v>VEDTATT</v>
      </c>
      <c r="AX206" s="175">
        <f>IF(F206="MÅ","Nye tiltak",0)</f>
        <v>0</v>
      </c>
      <c r="AY206" s="182"/>
      <c r="AZ206" s="178"/>
    </row>
    <row r="207" spans="1:52" s="137" customFormat="1" ht="18.75" customHeight="1" x14ac:dyDescent="0.25">
      <c r="A207" s="90" t="s">
        <v>228</v>
      </c>
      <c r="B207" s="90" t="str">
        <f t="shared" si="103"/>
        <v>T8</v>
      </c>
      <c r="C207" s="125" t="s">
        <v>350</v>
      </c>
      <c r="D207" s="86"/>
      <c r="E207" s="86" t="s">
        <v>131</v>
      </c>
      <c r="F207" s="112" t="s">
        <v>132</v>
      </c>
      <c r="G207" s="180"/>
      <c r="H207" s="180"/>
      <c r="I207" s="111"/>
      <c r="J207" s="111"/>
      <c r="K207" s="111">
        <v>200</v>
      </c>
      <c r="L207" s="111">
        <v>200</v>
      </c>
      <c r="M207" s="111">
        <v>200</v>
      </c>
      <c r="N207" s="111">
        <v>200</v>
      </c>
      <c r="O207" s="84">
        <f t="shared" si="105"/>
        <v>200</v>
      </c>
      <c r="P207" s="84">
        <f t="shared" si="106"/>
        <v>200</v>
      </c>
      <c r="Q207" s="84">
        <f t="shared" si="106"/>
        <v>200</v>
      </c>
      <c r="R207" s="84">
        <f t="shared" si="106"/>
        <v>200</v>
      </c>
      <c r="S207" s="84">
        <f t="shared" si="106"/>
        <v>200</v>
      </c>
      <c r="T207" s="84">
        <f t="shared" si="106"/>
        <v>200</v>
      </c>
      <c r="U207" s="84">
        <f t="shared" si="106"/>
        <v>200</v>
      </c>
      <c r="V207" s="84">
        <f t="shared" si="106"/>
        <v>200</v>
      </c>
      <c r="W207" s="84">
        <f t="shared" si="106"/>
        <v>200</v>
      </c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N207" s="169"/>
      <c r="AO207" s="169"/>
      <c r="AP207" s="169"/>
      <c r="AQ207" s="169"/>
      <c r="AR207" s="169"/>
      <c r="AS207" s="169"/>
      <c r="AT207" s="169"/>
      <c r="AU207" s="136" t="s">
        <v>349</v>
      </c>
      <c r="AV207" s="136">
        <f>AV206+1</f>
        <v>8</v>
      </c>
      <c r="AW207" s="175"/>
      <c r="AX207" s="175"/>
      <c r="AY207" s="182"/>
      <c r="AZ207" s="178">
        <v>2</v>
      </c>
    </row>
    <row r="208" spans="1:52" s="137" customFormat="1" ht="35.25" customHeight="1" x14ac:dyDescent="0.25">
      <c r="A208" s="90" t="s">
        <v>228</v>
      </c>
      <c r="B208" s="90" t="str">
        <f t="shared" si="103"/>
        <v>T9</v>
      </c>
      <c r="C208" s="125" t="s">
        <v>234</v>
      </c>
      <c r="D208" s="86"/>
      <c r="E208" s="86" t="s">
        <v>131</v>
      </c>
      <c r="F208" s="112" t="s">
        <v>132</v>
      </c>
      <c r="G208" s="180"/>
      <c r="H208" s="180"/>
      <c r="I208" s="111"/>
      <c r="J208" s="111"/>
      <c r="K208" s="111">
        <v>0</v>
      </c>
      <c r="L208" s="111">
        <v>600</v>
      </c>
      <c r="M208" s="111">
        <v>800</v>
      </c>
      <c r="N208" s="111">
        <v>1300</v>
      </c>
      <c r="O208" s="84">
        <f t="shared" si="105"/>
        <v>1300</v>
      </c>
      <c r="P208" s="84">
        <f t="shared" si="106"/>
        <v>1300</v>
      </c>
      <c r="Q208" s="84">
        <f t="shared" si="106"/>
        <v>1300</v>
      </c>
      <c r="R208" s="84">
        <f t="shared" si="106"/>
        <v>1300</v>
      </c>
      <c r="S208" s="84">
        <f t="shared" si="106"/>
        <v>1300</v>
      </c>
      <c r="T208" s="84">
        <f t="shared" si="106"/>
        <v>1300</v>
      </c>
      <c r="U208" s="84">
        <f t="shared" si="106"/>
        <v>1300</v>
      </c>
      <c r="V208" s="84">
        <f t="shared" si="106"/>
        <v>1300</v>
      </c>
      <c r="W208" s="84">
        <f t="shared" si="106"/>
        <v>1300</v>
      </c>
      <c r="X208" s="169"/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N208" s="169"/>
      <c r="AO208" s="169"/>
      <c r="AP208" s="169"/>
      <c r="AQ208" s="169"/>
      <c r="AR208" s="169"/>
      <c r="AS208" s="169"/>
      <c r="AT208" s="169"/>
      <c r="AU208" s="136" t="s">
        <v>349</v>
      </c>
      <c r="AV208" s="136">
        <f t="shared" si="107"/>
        <v>9</v>
      </c>
      <c r="AW208" s="175"/>
      <c r="AX208" s="175"/>
      <c r="AY208" s="182"/>
      <c r="AZ208" s="178">
        <v>7</v>
      </c>
    </row>
    <row r="209" spans="1:52" s="137" customFormat="1" ht="35.25" customHeight="1" x14ac:dyDescent="0.25">
      <c r="A209" s="90" t="s">
        <v>228</v>
      </c>
      <c r="B209" s="90" t="str">
        <f t="shared" si="103"/>
        <v>T10</v>
      </c>
      <c r="C209" s="125" t="s">
        <v>235</v>
      </c>
      <c r="D209" s="86"/>
      <c r="E209" s="86" t="s">
        <v>131</v>
      </c>
      <c r="F209" s="112" t="s">
        <v>132</v>
      </c>
      <c r="G209" s="180"/>
      <c r="H209" s="180"/>
      <c r="I209" s="111"/>
      <c r="J209" s="111"/>
      <c r="K209" s="111">
        <v>1000</v>
      </c>
      <c r="L209" s="111">
        <v>1000</v>
      </c>
      <c r="M209" s="111">
        <v>1000</v>
      </c>
      <c r="N209" s="111">
        <v>1000</v>
      </c>
      <c r="O209" s="84">
        <f t="shared" si="105"/>
        <v>1000</v>
      </c>
      <c r="P209" s="84">
        <f t="shared" si="106"/>
        <v>1000</v>
      </c>
      <c r="Q209" s="84">
        <f t="shared" si="106"/>
        <v>1000</v>
      </c>
      <c r="R209" s="84">
        <f t="shared" si="106"/>
        <v>1000</v>
      </c>
      <c r="S209" s="84">
        <f t="shared" si="106"/>
        <v>1000</v>
      </c>
      <c r="T209" s="84">
        <f t="shared" si="106"/>
        <v>1000</v>
      </c>
      <c r="U209" s="84">
        <f t="shared" si="106"/>
        <v>1000</v>
      </c>
      <c r="V209" s="84">
        <f t="shared" si="106"/>
        <v>1000</v>
      </c>
      <c r="W209" s="84">
        <f t="shared" si="106"/>
        <v>1000</v>
      </c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N209" s="169"/>
      <c r="AO209" s="169"/>
      <c r="AP209" s="169"/>
      <c r="AQ209" s="169"/>
      <c r="AR209" s="169"/>
      <c r="AS209" s="169"/>
      <c r="AT209" s="169"/>
      <c r="AU209" s="136" t="s">
        <v>349</v>
      </c>
      <c r="AV209" s="136">
        <f>AV208+1</f>
        <v>10</v>
      </c>
      <c r="AW209" s="175"/>
      <c r="AX209" s="175"/>
      <c r="AY209" s="182"/>
      <c r="AZ209" s="178">
        <v>9</v>
      </c>
    </row>
    <row r="210" spans="1:52" s="137" customFormat="1" ht="18.75" customHeight="1" x14ac:dyDescent="0.25">
      <c r="A210" s="90" t="s">
        <v>228</v>
      </c>
      <c r="B210" s="90" t="str">
        <f t="shared" si="103"/>
        <v>T11</v>
      </c>
      <c r="C210" s="125" t="s">
        <v>236</v>
      </c>
      <c r="D210" s="86"/>
      <c r="E210" s="86" t="s">
        <v>131</v>
      </c>
      <c r="F210" s="112" t="s">
        <v>132</v>
      </c>
      <c r="G210" s="180"/>
      <c r="H210" s="180"/>
      <c r="I210" s="111"/>
      <c r="J210" s="111"/>
      <c r="K210" s="111"/>
      <c r="L210" s="111">
        <v>720</v>
      </c>
      <c r="M210" s="111">
        <v>8400</v>
      </c>
      <c r="N210" s="111">
        <v>8400</v>
      </c>
      <c r="O210" s="84">
        <f t="shared" si="105"/>
        <v>8400</v>
      </c>
      <c r="P210" s="84">
        <f t="shared" si="106"/>
        <v>8400</v>
      </c>
      <c r="Q210" s="84">
        <f t="shared" si="106"/>
        <v>8400</v>
      </c>
      <c r="R210" s="84">
        <f t="shared" si="106"/>
        <v>8400</v>
      </c>
      <c r="S210" s="84">
        <f t="shared" si="106"/>
        <v>8400</v>
      </c>
      <c r="T210" s="84">
        <f t="shared" si="106"/>
        <v>8400</v>
      </c>
      <c r="U210" s="84">
        <f t="shared" si="106"/>
        <v>8400</v>
      </c>
      <c r="V210" s="84">
        <f t="shared" si="106"/>
        <v>8400</v>
      </c>
      <c r="W210" s="84">
        <f t="shared" si="106"/>
        <v>8400</v>
      </c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169"/>
      <c r="AP210" s="169"/>
      <c r="AQ210" s="169"/>
      <c r="AR210" s="169"/>
      <c r="AS210" s="169"/>
      <c r="AT210" s="169"/>
      <c r="AU210" s="136" t="s">
        <v>349</v>
      </c>
      <c r="AV210" s="136">
        <f>AV209+1</f>
        <v>11</v>
      </c>
      <c r="AW210" s="175"/>
      <c r="AX210" s="175"/>
      <c r="AY210" s="182"/>
      <c r="AZ210" s="178" t="s">
        <v>132</v>
      </c>
    </row>
    <row r="211" spans="1:52" s="137" customFormat="1" ht="18.75" customHeight="1" x14ac:dyDescent="0.25">
      <c r="A211" s="90" t="s">
        <v>228</v>
      </c>
      <c r="B211" s="90" t="str">
        <f t="shared" si="103"/>
        <v>T12</v>
      </c>
      <c r="C211" s="125" t="s">
        <v>237</v>
      </c>
      <c r="D211" s="86"/>
      <c r="E211" s="86" t="s">
        <v>131</v>
      </c>
      <c r="F211" s="112" t="s">
        <v>132</v>
      </c>
      <c r="G211" s="180"/>
      <c r="H211" s="180"/>
      <c r="I211" s="111"/>
      <c r="J211" s="111"/>
      <c r="K211" s="111"/>
      <c r="L211" s="111"/>
      <c r="M211" s="111">
        <v>-1600</v>
      </c>
      <c r="N211" s="111">
        <v>-1600</v>
      </c>
      <c r="O211" s="84">
        <f t="shared" si="105"/>
        <v>-1600</v>
      </c>
      <c r="P211" s="84">
        <f t="shared" si="106"/>
        <v>-1600</v>
      </c>
      <c r="Q211" s="84">
        <f t="shared" si="106"/>
        <v>-1600</v>
      </c>
      <c r="R211" s="84">
        <f t="shared" si="106"/>
        <v>-1600</v>
      </c>
      <c r="S211" s="84">
        <f t="shared" si="106"/>
        <v>-1600</v>
      </c>
      <c r="T211" s="84">
        <f t="shared" si="106"/>
        <v>-1600</v>
      </c>
      <c r="U211" s="84">
        <f t="shared" si="106"/>
        <v>-1600</v>
      </c>
      <c r="V211" s="84">
        <f t="shared" si="106"/>
        <v>-1600</v>
      </c>
      <c r="W211" s="84">
        <f t="shared" si="106"/>
        <v>-1600</v>
      </c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N211" s="169"/>
      <c r="AO211" s="169"/>
      <c r="AP211" s="169"/>
      <c r="AQ211" s="169"/>
      <c r="AR211" s="169"/>
      <c r="AS211" s="169"/>
      <c r="AT211" s="169"/>
      <c r="AU211" s="136" t="s">
        <v>349</v>
      </c>
      <c r="AV211" s="136">
        <f t="shared" si="107"/>
        <v>12</v>
      </c>
      <c r="AW211" s="175"/>
      <c r="AX211" s="175"/>
      <c r="AY211" s="182"/>
      <c r="AZ211" s="178" t="s">
        <v>132</v>
      </c>
    </row>
    <row r="212" spans="1:52" s="137" customFormat="1" ht="18.75" customHeight="1" x14ac:dyDescent="0.25">
      <c r="A212" s="90" t="s">
        <v>228</v>
      </c>
      <c r="B212" s="90" t="str">
        <f t="shared" si="103"/>
        <v>T13</v>
      </c>
      <c r="C212" s="125" t="s">
        <v>238</v>
      </c>
      <c r="D212" s="86"/>
      <c r="E212" s="86" t="s">
        <v>131</v>
      </c>
      <c r="F212" s="112" t="s">
        <v>132</v>
      </c>
      <c r="G212" s="180"/>
      <c r="H212" s="180"/>
      <c r="I212" s="111"/>
      <c r="J212" s="111"/>
      <c r="K212" s="111">
        <v>280</v>
      </c>
      <c r="L212" s="111">
        <v>280</v>
      </c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169"/>
      <c r="AT212" s="169"/>
      <c r="AU212" s="136" t="s">
        <v>349</v>
      </c>
      <c r="AV212" s="136">
        <f t="shared" si="107"/>
        <v>13</v>
      </c>
      <c r="AW212" s="175"/>
      <c r="AX212" s="175"/>
      <c r="AY212" s="182"/>
      <c r="AZ212" s="178">
        <v>15</v>
      </c>
    </row>
    <row r="213" spans="1:52" s="137" customFormat="1" ht="18.75" customHeight="1" x14ac:dyDescent="0.25">
      <c r="A213" s="90" t="s">
        <v>228</v>
      </c>
      <c r="B213" s="90" t="str">
        <f t="shared" si="103"/>
        <v>T14</v>
      </c>
      <c r="C213" s="191" t="s">
        <v>239</v>
      </c>
      <c r="D213" s="86"/>
      <c r="E213" s="86" t="s">
        <v>120</v>
      </c>
      <c r="F213" s="112" t="s">
        <v>121</v>
      </c>
      <c r="G213" s="180"/>
      <c r="H213" s="180"/>
      <c r="I213" s="111"/>
      <c r="J213" s="111"/>
      <c r="K213" s="111">
        <f>[4]Internhusleie!K206</f>
        <v>636</v>
      </c>
      <c r="L213" s="111">
        <f>[4]Internhusleie!L206</f>
        <v>8438</v>
      </c>
      <c r="M213" s="111">
        <f>[4]Internhusleie!M206</f>
        <v>15084</v>
      </c>
      <c r="N213" s="111">
        <f>[4]Internhusleie!N206</f>
        <v>17828</v>
      </c>
      <c r="O213" s="84">
        <f>N213</f>
        <v>17828</v>
      </c>
      <c r="P213" s="84">
        <f t="shared" ref="P213:W213" si="108">O213</f>
        <v>17828</v>
      </c>
      <c r="Q213" s="84">
        <f t="shared" si="108"/>
        <v>17828</v>
      </c>
      <c r="R213" s="84">
        <f t="shared" si="108"/>
        <v>17828</v>
      </c>
      <c r="S213" s="84">
        <f t="shared" si="108"/>
        <v>17828</v>
      </c>
      <c r="T213" s="84">
        <f t="shared" si="108"/>
        <v>17828</v>
      </c>
      <c r="U213" s="84">
        <f t="shared" si="108"/>
        <v>17828</v>
      </c>
      <c r="V213" s="84">
        <f t="shared" si="108"/>
        <v>17828</v>
      </c>
      <c r="W213" s="84">
        <f t="shared" si="108"/>
        <v>17828</v>
      </c>
      <c r="X213" s="169"/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N213" s="169"/>
      <c r="AO213" s="169"/>
      <c r="AP213" s="169"/>
      <c r="AQ213" s="169"/>
      <c r="AR213" s="169"/>
      <c r="AS213" s="169"/>
      <c r="AT213" s="169"/>
      <c r="AU213" s="136" t="s">
        <v>349</v>
      </c>
      <c r="AV213" s="136">
        <f t="shared" si="107"/>
        <v>14</v>
      </c>
      <c r="AW213" s="175"/>
      <c r="AX213" s="175"/>
      <c r="AY213" s="182"/>
      <c r="AZ213" s="178"/>
    </row>
    <row r="214" spans="1:52" s="137" customFormat="1" ht="18.75" customHeight="1" x14ac:dyDescent="0.25">
      <c r="A214" s="90"/>
      <c r="B214" s="90"/>
      <c r="C214" s="119" t="s">
        <v>240</v>
      </c>
      <c r="D214" s="121"/>
      <c r="E214" s="121"/>
      <c r="F214" s="112"/>
      <c r="G214" s="180"/>
      <c r="H214" s="179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97"/>
      <c r="Y214" s="197"/>
      <c r="Z214" s="197"/>
      <c r="AA214" s="197"/>
      <c r="AB214" s="197"/>
      <c r="AC214" s="197"/>
      <c r="AD214" s="197"/>
      <c r="AE214" s="197"/>
      <c r="AF214" s="197"/>
      <c r="AG214" s="197"/>
      <c r="AH214" s="197"/>
      <c r="AI214" s="197"/>
      <c r="AJ214" s="197"/>
      <c r="AK214" s="197"/>
      <c r="AL214" s="197"/>
      <c r="AM214" s="197"/>
      <c r="AN214" s="197"/>
      <c r="AO214" s="197"/>
      <c r="AP214" s="197"/>
      <c r="AQ214" s="197"/>
      <c r="AR214" s="197"/>
      <c r="AS214" s="197"/>
      <c r="AT214" s="197"/>
      <c r="AU214" s="160"/>
      <c r="AV214" s="160"/>
      <c r="AW214" s="175">
        <f t="shared" ref="AW214:AW245" si="109">IF(F214="VEDTATT","VEDTATT",0)</f>
        <v>0</v>
      </c>
      <c r="AX214" s="175">
        <f t="shared" ref="AX214:AX220" si="110">IF(F214="MÅ","Nye tiltak",0)</f>
        <v>0</v>
      </c>
      <c r="AY214" s="182"/>
      <c r="AZ214" s="143"/>
    </row>
    <row r="215" spans="1:52" s="137" customFormat="1" ht="18.75" customHeight="1" x14ac:dyDescent="0.25">
      <c r="A215" s="90" t="s">
        <v>228</v>
      </c>
      <c r="B215" s="90" t="str">
        <f t="shared" ref="B215:B242" si="111">IF(AV215,AU215&amp;AV215,"")</f>
        <v>T15</v>
      </c>
      <c r="C215" s="127" t="s">
        <v>351</v>
      </c>
      <c r="D215" s="86"/>
      <c r="E215" s="86" t="s">
        <v>120</v>
      </c>
      <c r="F215" s="112" t="s">
        <v>121</v>
      </c>
      <c r="G215" s="180"/>
      <c r="H215" s="179"/>
      <c r="I215" s="111"/>
      <c r="J215" s="111"/>
      <c r="K215" s="111">
        <v>-6465</v>
      </c>
      <c r="L215" s="111">
        <v>-10723</v>
      </c>
      <c r="M215" s="111">
        <v>-14048</v>
      </c>
      <c r="N215" s="111">
        <v>-17278</v>
      </c>
      <c r="O215" s="111"/>
      <c r="P215" s="111"/>
      <c r="Q215" s="111"/>
      <c r="R215" s="111"/>
      <c r="S215" s="111"/>
      <c r="T215" s="111"/>
      <c r="U215" s="111"/>
      <c r="V215" s="111"/>
      <c r="W215" s="111"/>
      <c r="X215" s="169"/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N215" s="169"/>
      <c r="AO215" s="169"/>
      <c r="AP215" s="169"/>
      <c r="AQ215" s="169"/>
      <c r="AR215" s="169"/>
      <c r="AS215" s="169"/>
      <c r="AT215" s="169"/>
      <c r="AU215" s="136" t="s">
        <v>349</v>
      </c>
      <c r="AV215" s="136">
        <f>AV213+1</f>
        <v>15</v>
      </c>
      <c r="AW215" s="175" t="str">
        <f t="shared" si="109"/>
        <v>VEDTATT</v>
      </c>
      <c r="AX215" s="175">
        <f t="shared" si="110"/>
        <v>0</v>
      </c>
      <c r="AY215" s="182"/>
      <c r="AZ215" s="143"/>
    </row>
    <row r="216" spans="1:52" s="137" customFormat="1" ht="18.75" customHeight="1" x14ac:dyDescent="0.25">
      <c r="A216" s="90" t="s">
        <v>228</v>
      </c>
      <c r="B216" s="90" t="str">
        <f t="shared" si="111"/>
        <v>T16</v>
      </c>
      <c r="C216" s="127" t="s">
        <v>241</v>
      </c>
      <c r="D216" s="86"/>
      <c r="E216" s="86" t="s">
        <v>120</v>
      </c>
      <c r="F216" s="112" t="s">
        <v>121</v>
      </c>
      <c r="G216" s="180"/>
      <c r="H216" s="179"/>
      <c r="I216" s="111"/>
      <c r="J216" s="111"/>
      <c r="K216" s="111">
        <v>-80</v>
      </c>
      <c r="L216" s="111">
        <v>-155</v>
      </c>
      <c r="M216" s="111">
        <v>-195</v>
      </c>
      <c r="N216" s="111">
        <v>-195</v>
      </c>
      <c r="O216" s="111"/>
      <c r="P216" s="111"/>
      <c r="Q216" s="111"/>
      <c r="R216" s="111"/>
      <c r="S216" s="111"/>
      <c r="T216" s="111"/>
      <c r="U216" s="111"/>
      <c r="V216" s="111"/>
      <c r="W216" s="111"/>
      <c r="X216" s="169"/>
      <c r="Y216" s="169"/>
      <c r="Z216" s="169"/>
      <c r="AA216" s="169"/>
      <c r="AB216" s="169"/>
      <c r="AC216" s="169"/>
      <c r="AD216" s="169"/>
      <c r="AE216" s="169"/>
      <c r="AF216" s="169"/>
      <c r="AG216" s="169"/>
      <c r="AH216" s="169"/>
      <c r="AI216" s="169"/>
      <c r="AJ216" s="169"/>
      <c r="AK216" s="169"/>
      <c r="AL216" s="169"/>
      <c r="AM216" s="169"/>
      <c r="AN216" s="169"/>
      <c r="AO216" s="169"/>
      <c r="AP216" s="169"/>
      <c r="AQ216" s="169"/>
      <c r="AR216" s="169"/>
      <c r="AS216" s="169"/>
      <c r="AT216" s="169"/>
      <c r="AU216" s="136" t="s">
        <v>349</v>
      </c>
      <c r="AV216" s="136">
        <f t="shared" ref="AV216:AV242" si="112">AV215+1</f>
        <v>16</v>
      </c>
      <c r="AW216" s="175" t="str">
        <f t="shared" si="109"/>
        <v>VEDTATT</v>
      </c>
      <c r="AX216" s="175">
        <f t="shared" si="110"/>
        <v>0</v>
      </c>
      <c r="AY216" s="182"/>
      <c r="AZ216" s="143"/>
    </row>
    <row r="217" spans="1:52" s="137" customFormat="1" ht="18.75" customHeight="1" x14ac:dyDescent="0.25">
      <c r="A217" s="90" t="s">
        <v>228</v>
      </c>
      <c r="B217" s="90" t="str">
        <f t="shared" si="111"/>
        <v>T17</v>
      </c>
      <c r="C217" s="127" t="s">
        <v>352</v>
      </c>
      <c r="D217" s="86"/>
      <c r="E217" s="86" t="s">
        <v>120</v>
      </c>
      <c r="F217" s="112" t="s">
        <v>121</v>
      </c>
      <c r="G217" s="180"/>
      <c r="H217" s="179"/>
      <c r="I217" s="111"/>
      <c r="J217" s="111"/>
      <c r="K217" s="111">
        <v>1044</v>
      </c>
      <c r="L217" s="111">
        <v>1613</v>
      </c>
      <c r="M217" s="111">
        <v>2197</v>
      </c>
      <c r="N217" s="111">
        <v>2795</v>
      </c>
      <c r="O217" s="111"/>
      <c r="P217" s="111"/>
      <c r="Q217" s="111"/>
      <c r="R217" s="111"/>
      <c r="S217" s="111"/>
      <c r="T217" s="111"/>
      <c r="U217" s="111"/>
      <c r="V217" s="111"/>
      <c r="W217" s="111"/>
      <c r="X217" s="169"/>
      <c r="Y217" s="169"/>
      <c r="Z217" s="169"/>
      <c r="AA217" s="169"/>
      <c r="AB217" s="169"/>
      <c r="AC217" s="169"/>
      <c r="AD217" s="169"/>
      <c r="AE217" s="169"/>
      <c r="AF217" s="169"/>
      <c r="AG217" s="169"/>
      <c r="AH217" s="169"/>
      <c r="AI217" s="169"/>
      <c r="AJ217" s="169"/>
      <c r="AK217" s="169"/>
      <c r="AL217" s="169"/>
      <c r="AM217" s="169"/>
      <c r="AN217" s="169"/>
      <c r="AO217" s="169"/>
      <c r="AP217" s="169"/>
      <c r="AQ217" s="169"/>
      <c r="AR217" s="169"/>
      <c r="AS217" s="169"/>
      <c r="AT217" s="169"/>
      <c r="AU217" s="136" t="s">
        <v>349</v>
      </c>
      <c r="AV217" s="136">
        <f t="shared" si="112"/>
        <v>17</v>
      </c>
      <c r="AW217" s="175" t="str">
        <f t="shared" si="109"/>
        <v>VEDTATT</v>
      </c>
      <c r="AX217" s="175">
        <f t="shared" si="110"/>
        <v>0</v>
      </c>
      <c r="AY217" s="182"/>
      <c r="AZ217" s="143"/>
    </row>
    <row r="218" spans="1:52" s="137" customFormat="1" ht="18.75" customHeight="1" x14ac:dyDescent="0.25">
      <c r="A218" s="90" t="s">
        <v>228</v>
      </c>
      <c r="B218" s="90" t="str">
        <f t="shared" si="111"/>
        <v>T18</v>
      </c>
      <c r="C218" s="127" t="s">
        <v>353</v>
      </c>
      <c r="D218" s="86"/>
      <c r="E218" s="86" t="s">
        <v>120</v>
      </c>
      <c r="F218" s="112" t="s">
        <v>121</v>
      </c>
      <c r="G218" s="180"/>
      <c r="H218" s="179"/>
      <c r="I218" s="111"/>
      <c r="J218" s="111"/>
      <c r="K218" s="111">
        <v>-235</v>
      </c>
      <c r="L218" s="111">
        <v>1139</v>
      </c>
      <c r="M218" s="111">
        <v>2550</v>
      </c>
      <c r="N218" s="111">
        <v>3999</v>
      </c>
      <c r="O218" s="111"/>
      <c r="P218" s="111"/>
      <c r="Q218" s="111"/>
      <c r="R218" s="111"/>
      <c r="S218" s="111"/>
      <c r="T218" s="111"/>
      <c r="U218" s="111"/>
      <c r="V218" s="111"/>
      <c r="W218" s="111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9"/>
      <c r="AK218" s="169"/>
      <c r="AL218" s="169"/>
      <c r="AM218" s="169"/>
      <c r="AN218" s="169"/>
      <c r="AO218" s="169"/>
      <c r="AP218" s="169"/>
      <c r="AQ218" s="169"/>
      <c r="AR218" s="169"/>
      <c r="AS218" s="169"/>
      <c r="AT218" s="169"/>
      <c r="AU218" s="136" t="s">
        <v>349</v>
      </c>
      <c r="AV218" s="136">
        <f t="shared" si="112"/>
        <v>18</v>
      </c>
      <c r="AW218" s="175" t="str">
        <f t="shared" si="109"/>
        <v>VEDTATT</v>
      </c>
      <c r="AX218" s="175">
        <f t="shared" si="110"/>
        <v>0</v>
      </c>
      <c r="AY218" s="182"/>
      <c r="AZ218" s="143"/>
    </row>
    <row r="219" spans="1:52" s="137" customFormat="1" ht="18.75" customHeight="1" x14ac:dyDescent="0.25">
      <c r="A219" s="90" t="s">
        <v>228</v>
      </c>
      <c r="B219" s="90" t="str">
        <f t="shared" si="111"/>
        <v>T19</v>
      </c>
      <c r="C219" s="127" t="s">
        <v>354</v>
      </c>
      <c r="D219" s="86"/>
      <c r="E219" s="86" t="s">
        <v>120</v>
      </c>
      <c r="F219" s="112" t="s">
        <v>121</v>
      </c>
      <c r="G219" s="180"/>
      <c r="H219" s="179"/>
      <c r="I219" s="111"/>
      <c r="J219" s="111"/>
      <c r="K219" s="111">
        <v>65</v>
      </c>
      <c r="L219" s="111">
        <v>131</v>
      </c>
      <c r="M219" s="111">
        <v>199</v>
      </c>
      <c r="N219" s="111">
        <v>268</v>
      </c>
      <c r="O219" s="111"/>
      <c r="P219" s="111"/>
      <c r="Q219" s="111"/>
      <c r="R219" s="111"/>
      <c r="S219" s="111"/>
      <c r="T219" s="111"/>
      <c r="U219" s="111"/>
      <c r="V219" s="111"/>
      <c r="W219" s="111"/>
      <c r="X219" s="169"/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N219" s="169"/>
      <c r="AO219" s="169"/>
      <c r="AP219" s="169"/>
      <c r="AQ219" s="169"/>
      <c r="AR219" s="169"/>
      <c r="AS219" s="169"/>
      <c r="AT219" s="169"/>
      <c r="AU219" s="136" t="s">
        <v>349</v>
      </c>
      <c r="AV219" s="136">
        <f t="shared" si="112"/>
        <v>19</v>
      </c>
      <c r="AW219" s="175" t="str">
        <f t="shared" si="109"/>
        <v>VEDTATT</v>
      </c>
      <c r="AX219" s="175">
        <f t="shared" si="110"/>
        <v>0</v>
      </c>
      <c r="AY219" s="182"/>
      <c r="AZ219" s="143"/>
    </row>
    <row r="220" spans="1:52" s="137" customFormat="1" ht="18.75" customHeight="1" x14ac:dyDescent="0.25">
      <c r="A220" s="90" t="s">
        <v>228</v>
      </c>
      <c r="B220" s="90" t="str">
        <f t="shared" si="111"/>
        <v>T20</v>
      </c>
      <c r="C220" s="127" t="s">
        <v>242</v>
      </c>
      <c r="D220" s="86"/>
      <c r="E220" s="86" t="s">
        <v>120</v>
      </c>
      <c r="F220" s="112" t="s">
        <v>121</v>
      </c>
      <c r="G220" s="180"/>
      <c r="H220" s="179"/>
      <c r="I220" s="111"/>
      <c r="J220" s="111"/>
      <c r="K220" s="111">
        <v>1101</v>
      </c>
      <c r="L220" s="111">
        <v>3302</v>
      </c>
      <c r="M220" s="111">
        <v>4556</v>
      </c>
      <c r="N220" s="111">
        <v>5664</v>
      </c>
      <c r="O220" s="111"/>
      <c r="P220" s="111"/>
      <c r="Q220" s="111"/>
      <c r="R220" s="111"/>
      <c r="S220" s="111"/>
      <c r="T220" s="111"/>
      <c r="U220" s="111"/>
      <c r="V220" s="111"/>
      <c r="W220" s="111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  <c r="AN220" s="217"/>
      <c r="AO220" s="217"/>
      <c r="AP220" s="217"/>
      <c r="AQ220" s="217"/>
      <c r="AR220" s="217"/>
      <c r="AS220" s="217"/>
      <c r="AT220" s="217"/>
      <c r="AU220" s="136" t="s">
        <v>349</v>
      </c>
      <c r="AV220" s="136">
        <f t="shared" si="112"/>
        <v>20</v>
      </c>
      <c r="AW220" s="175" t="str">
        <f t="shared" si="109"/>
        <v>VEDTATT</v>
      </c>
      <c r="AX220" s="175">
        <f t="shared" si="110"/>
        <v>0</v>
      </c>
      <c r="AY220" s="182"/>
      <c r="AZ220" s="143"/>
    </row>
    <row r="221" spans="1:52" s="137" customFormat="1" ht="18.75" customHeight="1" x14ac:dyDescent="0.25">
      <c r="A221" s="90" t="s">
        <v>228</v>
      </c>
      <c r="B221" s="90" t="str">
        <f t="shared" si="111"/>
        <v>T21</v>
      </c>
      <c r="C221" s="127" t="s">
        <v>243</v>
      </c>
      <c r="D221" s="86"/>
      <c r="E221" s="86" t="s">
        <v>120</v>
      </c>
      <c r="F221" s="112" t="s">
        <v>121</v>
      </c>
      <c r="G221" s="180"/>
      <c r="H221" s="179"/>
      <c r="I221" s="111"/>
      <c r="J221" s="111"/>
      <c r="K221" s="111">
        <v>4570</v>
      </c>
      <c r="L221" s="111">
        <v>4693</v>
      </c>
      <c r="M221" s="111">
        <v>4741</v>
      </c>
      <c r="N221" s="111">
        <v>4747</v>
      </c>
      <c r="O221" s="111"/>
      <c r="P221" s="111"/>
      <c r="Q221" s="111"/>
      <c r="R221" s="111"/>
      <c r="S221" s="111"/>
      <c r="T221" s="111"/>
      <c r="U221" s="111"/>
      <c r="V221" s="111"/>
      <c r="W221" s="111"/>
      <c r="X221" s="169"/>
      <c r="Y221" s="169"/>
      <c r="Z221" s="169"/>
      <c r="AA221" s="169"/>
      <c r="AB221" s="169"/>
      <c r="AC221" s="169"/>
      <c r="AD221" s="169"/>
      <c r="AE221" s="169"/>
      <c r="AF221" s="169"/>
      <c r="AG221" s="169"/>
      <c r="AH221" s="169"/>
      <c r="AI221" s="169"/>
      <c r="AJ221" s="169"/>
      <c r="AK221" s="169"/>
      <c r="AL221" s="169"/>
      <c r="AM221" s="169"/>
      <c r="AN221" s="169"/>
      <c r="AO221" s="169"/>
      <c r="AP221" s="169"/>
      <c r="AQ221" s="169"/>
      <c r="AR221" s="169"/>
      <c r="AS221" s="169"/>
      <c r="AT221" s="169"/>
      <c r="AU221" s="136" t="s">
        <v>349</v>
      </c>
      <c r="AV221" s="136">
        <f t="shared" si="112"/>
        <v>21</v>
      </c>
      <c r="AW221" s="175" t="str">
        <f t="shared" si="109"/>
        <v>VEDTATT</v>
      </c>
      <c r="AX221" s="175" t="s">
        <v>322</v>
      </c>
      <c r="AY221" s="182"/>
      <c r="AZ221" s="143"/>
    </row>
    <row r="222" spans="1:52" s="137" customFormat="1" ht="18.75" customHeight="1" x14ac:dyDescent="0.25">
      <c r="A222" s="90" t="s">
        <v>228</v>
      </c>
      <c r="B222" s="90" t="str">
        <f t="shared" si="111"/>
        <v>T22</v>
      </c>
      <c r="C222" s="127" t="s">
        <v>355</v>
      </c>
      <c r="D222" s="86"/>
      <c r="E222" s="86" t="s">
        <v>120</v>
      </c>
      <c r="F222" s="112" t="s">
        <v>121</v>
      </c>
      <c r="G222" s="180"/>
      <c r="H222" s="179"/>
      <c r="I222" s="111"/>
      <c r="J222" s="111"/>
      <c r="K222" s="111">
        <v>-19524</v>
      </c>
      <c r="L222" s="111">
        <v>-25891</v>
      </c>
      <c r="M222" s="111">
        <v>-30425</v>
      </c>
      <c r="N222" s="111">
        <v>-35192</v>
      </c>
      <c r="O222" s="111"/>
      <c r="P222" s="111"/>
      <c r="Q222" s="111"/>
      <c r="R222" s="111"/>
      <c r="S222" s="111"/>
      <c r="T222" s="111"/>
      <c r="U222" s="111"/>
      <c r="V222" s="111"/>
      <c r="W222" s="111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  <c r="AQ222" s="169"/>
      <c r="AR222" s="169"/>
      <c r="AS222" s="169"/>
      <c r="AT222" s="169"/>
      <c r="AU222" s="136" t="s">
        <v>349</v>
      </c>
      <c r="AV222" s="136">
        <f t="shared" si="112"/>
        <v>22</v>
      </c>
      <c r="AW222" s="175" t="str">
        <f t="shared" si="109"/>
        <v>VEDTATT</v>
      </c>
      <c r="AX222" s="175">
        <f t="shared" ref="AX222:AX228" si="113">IF(F222="MÅ","Nye tiltak",0)</f>
        <v>0</v>
      </c>
      <c r="AY222" s="182"/>
      <c r="AZ222" s="143"/>
    </row>
    <row r="223" spans="1:52" s="137" customFormat="1" ht="18.75" customHeight="1" x14ac:dyDescent="0.25">
      <c r="A223" s="90" t="s">
        <v>228</v>
      </c>
      <c r="B223" s="80" t="str">
        <f t="shared" si="111"/>
        <v>T23</v>
      </c>
      <c r="C223" s="126" t="s">
        <v>244</v>
      </c>
      <c r="D223" s="76"/>
      <c r="E223" s="76" t="s">
        <v>120</v>
      </c>
      <c r="F223" s="115" t="s">
        <v>121</v>
      </c>
      <c r="G223" s="148"/>
      <c r="H223" s="180"/>
      <c r="I223" s="109"/>
      <c r="J223" s="109"/>
      <c r="K223" s="111">
        <v>-120</v>
      </c>
      <c r="L223" s="111">
        <v>-195</v>
      </c>
      <c r="M223" s="111">
        <v>-230</v>
      </c>
      <c r="N223" s="111">
        <v>-230</v>
      </c>
      <c r="O223" s="111"/>
      <c r="P223" s="111"/>
      <c r="Q223" s="111"/>
      <c r="R223" s="111"/>
      <c r="S223" s="111"/>
      <c r="T223" s="111"/>
      <c r="U223" s="111"/>
      <c r="V223" s="111"/>
      <c r="W223" s="111"/>
      <c r="X223" s="169"/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N223" s="169"/>
      <c r="AO223" s="169"/>
      <c r="AP223" s="169"/>
      <c r="AQ223" s="169"/>
      <c r="AR223" s="169"/>
      <c r="AS223" s="169"/>
      <c r="AT223" s="169"/>
      <c r="AU223" s="136" t="s">
        <v>349</v>
      </c>
      <c r="AV223" s="136">
        <f t="shared" si="112"/>
        <v>23</v>
      </c>
      <c r="AW223" s="175" t="str">
        <f t="shared" si="109"/>
        <v>VEDTATT</v>
      </c>
      <c r="AX223" s="175">
        <f t="shared" si="113"/>
        <v>0</v>
      </c>
      <c r="AY223" s="200"/>
      <c r="AZ223" s="143"/>
    </row>
    <row r="224" spans="1:52" s="137" customFormat="1" ht="18.75" customHeight="1" x14ac:dyDescent="0.25">
      <c r="A224" s="90" t="s">
        <v>228</v>
      </c>
      <c r="B224" s="80" t="str">
        <f t="shared" si="111"/>
        <v>T24</v>
      </c>
      <c r="C224" s="126" t="s">
        <v>356</v>
      </c>
      <c r="D224" s="76"/>
      <c r="E224" s="76" t="s">
        <v>120</v>
      </c>
      <c r="F224" s="115" t="s">
        <v>121</v>
      </c>
      <c r="G224" s="148"/>
      <c r="H224" s="180"/>
      <c r="I224" s="109"/>
      <c r="J224" s="109"/>
      <c r="K224" s="111">
        <v>-119</v>
      </c>
      <c r="L224" s="111">
        <v>43</v>
      </c>
      <c r="M224" s="111">
        <v>211</v>
      </c>
      <c r="N224" s="111">
        <v>382</v>
      </c>
      <c r="O224" s="111"/>
      <c r="P224" s="111"/>
      <c r="Q224" s="111"/>
      <c r="R224" s="111"/>
      <c r="S224" s="111"/>
      <c r="T224" s="111"/>
      <c r="U224" s="111"/>
      <c r="V224" s="111"/>
      <c r="W224" s="111"/>
      <c r="X224" s="169"/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N224" s="169"/>
      <c r="AO224" s="169"/>
      <c r="AP224" s="169"/>
      <c r="AQ224" s="169"/>
      <c r="AR224" s="169"/>
      <c r="AS224" s="169"/>
      <c r="AT224" s="169"/>
      <c r="AU224" s="136" t="s">
        <v>349</v>
      </c>
      <c r="AV224" s="136">
        <f t="shared" si="112"/>
        <v>24</v>
      </c>
      <c r="AW224" s="175" t="str">
        <f t="shared" si="109"/>
        <v>VEDTATT</v>
      </c>
      <c r="AX224" s="175">
        <f t="shared" si="113"/>
        <v>0</v>
      </c>
      <c r="AY224" s="182"/>
      <c r="AZ224" s="143"/>
    </row>
    <row r="225" spans="1:52" s="137" customFormat="1" ht="18.75" customHeight="1" x14ac:dyDescent="0.25">
      <c r="A225" s="90" t="s">
        <v>228</v>
      </c>
      <c r="B225" s="80" t="str">
        <f t="shared" si="111"/>
        <v>T25</v>
      </c>
      <c r="C225" s="126" t="s">
        <v>357</v>
      </c>
      <c r="D225" s="76"/>
      <c r="E225" s="76" t="s">
        <v>120</v>
      </c>
      <c r="F225" s="115" t="s">
        <v>121</v>
      </c>
      <c r="G225" s="148"/>
      <c r="H225" s="180"/>
      <c r="I225" s="109"/>
      <c r="J225" s="109"/>
      <c r="K225" s="111">
        <v>1310</v>
      </c>
      <c r="L225" s="111">
        <v>2287</v>
      </c>
      <c r="M225" s="111">
        <v>3289</v>
      </c>
      <c r="N225" s="111">
        <v>4315</v>
      </c>
      <c r="O225" s="111"/>
      <c r="P225" s="111"/>
      <c r="Q225" s="111"/>
      <c r="R225" s="111"/>
      <c r="S225" s="111"/>
      <c r="T225" s="111"/>
      <c r="U225" s="111"/>
      <c r="V225" s="111"/>
      <c r="W225" s="111"/>
      <c r="X225" s="169"/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N225" s="169"/>
      <c r="AO225" s="169"/>
      <c r="AP225" s="169"/>
      <c r="AQ225" s="169"/>
      <c r="AR225" s="169"/>
      <c r="AS225" s="169"/>
      <c r="AT225" s="169"/>
      <c r="AU225" s="136" t="s">
        <v>349</v>
      </c>
      <c r="AV225" s="136">
        <f t="shared" si="112"/>
        <v>25</v>
      </c>
      <c r="AW225" s="175" t="str">
        <f t="shared" si="109"/>
        <v>VEDTATT</v>
      </c>
      <c r="AX225" s="175">
        <f t="shared" si="113"/>
        <v>0</v>
      </c>
      <c r="AY225" s="182"/>
      <c r="AZ225" s="143"/>
    </row>
    <row r="226" spans="1:52" s="137" customFormat="1" ht="18.75" customHeight="1" x14ac:dyDescent="0.25">
      <c r="A226" s="90" t="s">
        <v>228</v>
      </c>
      <c r="B226" s="80" t="str">
        <f t="shared" si="111"/>
        <v>T26</v>
      </c>
      <c r="C226" s="126" t="s">
        <v>358</v>
      </c>
      <c r="D226" s="76"/>
      <c r="E226" s="76" t="s">
        <v>120</v>
      </c>
      <c r="F226" s="115" t="s">
        <v>121</v>
      </c>
      <c r="G226" s="148"/>
      <c r="H226" s="180"/>
      <c r="I226" s="109"/>
      <c r="J226" s="109"/>
      <c r="K226" s="111">
        <v>2299</v>
      </c>
      <c r="L226" s="111">
        <v>3900</v>
      </c>
      <c r="M226" s="111">
        <v>5546</v>
      </c>
      <c r="N226" s="111">
        <v>7238</v>
      </c>
      <c r="O226" s="111"/>
      <c r="P226" s="111"/>
      <c r="Q226" s="111"/>
      <c r="R226" s="111"/>
      <c r="S226" s="111"/>
      <c r="T226" s="111"/>
      <c r="U226" s="111"/>
      <c r="V226" s="111"/>
      <c r="W226" s="111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  <c r="AQ226" s="169"/>
      <c r="AR226" s="169"/>
      <c r="AS226" s="169"/>
      <c r="AT226" s="169"/>
      <c r="AU226" s="136" t="s">
        <v>349</v>
      </c>
      <c r="AV226" s="136">
        <f t="shared" si="112"/>
        <v>26</v>
      </c>
      <c r="AW226" s="175" t="str">
        <f t="shared" si="109"/>
        <v>VEDTATT</v>
      </c>
      <c r="AX226" s="175">
        <f t="shared" si="113"/>
        <v>0</v>
      </c>
      <c r="AY226" s="182"/>
      <c r="AZ226" s="143"/>
    </row>
    <row r="227" spans="1:52" s="137" customFormat="1" ht="18.75" customHeight="1" x14ac:dyDescent="0.25">
      <c r="A227" s="90" t="s">
        <v>228</v>
      </c>
      <c r="B227" s="80" t="str">
        <f t="shared" si="111"/>
        <v>T27</v>
      </c>
      <c r="C227" s="126" t="s">
        <v>359</v>
      </c>
      <c r="D227" s="76"/>
      <c r="E227" s="76" t="s">
        <v>120</v>
      </c>
      <c r="F227" s="115" t="s">
        <v>121</v>
      </c>
      <c r="G227" s="148"/>
      <c r="H227" s="180"/>
      <c r="I227" s="109"/>
      <c r="J227" s="109"/>
      <c r="K227" s="111">
        <v>74</v>
      </c>
      <c r="L227" s="111">
        <v>149</v>
      </c>
      <c r="M227" s="111">
        <v>226</v>
      </c>
      <c r="N227" s="111">
        <v>305</v>
      </c>
      <c r="O227" s="111"/>
      <c r="P227" s="111"/>
      <c r="Q227" s="111"/>
      <c r="R227" s="111"/>
      <c r="S227" s="111"/>
      <c r="T227" s="111"/>
      <c r="U227" s="111"/>
      <c r="V227" s="111"/>
      <c r="W227" s="111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  <c r="AQ227" s="169"/>
      <c r="AR227" s="169"/>
      <c r="AS227" s="169"/>
      <c r="AT227" s="169"/>
      <c r="AU227" s="136" t="s">
        <v>349</v>
      </c>
      <c r="AV227" s="136">
        <f t="shared" si="112"/>
        <v>27</v>
      </c>
      <c r="AW227" s="175" t="str">
        <f t="shared" si="109"/>
        <v>VEDTATT</v>
      </c>
      <c r="AX227" s="175">
        <f t="shared" si="113"/>
        <v>0</v>
      </c>
      <c r="AY227" s="182"/>
      <c r="AZ227" s="143"/>
    </row>
    <row r="228" spans="1:52" s="137" customFormat="1" ht="18.75" customHeight="1" x14ac:dyDescent="0.25">
      <c r="A228" s="90" t="s">
        <v>228</v>
      </c>
      <c r="B228" s="80" t="str">
        <f t="shared" si="111"/>
        <v>T28</v>
      </c>
      <c r="C228" s="126" t="s">
        <v>360</v>
      </c>
      <c r="D228" s="76"/>
      <c r="E228" s="76" t="s">
        <v>120</v>
      </c>
      <c r="F228" s="115" t="s">
        <v>121</v>
      </c>
      <c r="G228" s="148"/>
      <c r="H228" s="180"/>
      <c r="I228" s="109"/>
      <c r="J228" s="109"/>
      <c r="K228" s="111">
        <v>1371</v>
      </c>
      <c r="L228" s="111">
        <v>3741</v>
      </c>
      <c r="M228" s="111">
        <v>5372</v>
      </c>
      <c r="N228" s="111">
        <v>7169</v>
      </c>
      <c r="O228" s="111"/>
      <c r="P228" s="111"/>
      <c r="Q228" s="111"/>
      <c r="R228" s="111"/>
      <c r="S228" s="111"/>
      <c r="T228" s="111"/>
      <c r="U228" s="111"/>
      <c r="V228" s="111"/>
      <c r="W228" s="111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  <c r="AN228" s="217"/>
      <c r="AO228" s="217"/>
      <c r="AP228" s="217"/>
      <c r="AQ228" s="217"/>
      <c r="AR228" s="217"/>
      <c r="AS228" s="217"/>
      <c r="AT228" s="217"/>
      <c r="AU228" s="136" t="s">
        <v>349</v>
      </c>
      <c r="AV228" s="136">
        <f t="shared" si="112"/>
        <v>28</v>
      </c>
      <c r="AW228" s="175" t="str">
        <f t="shared" si="109"/>
        <v>VEDTATT</v>
      </c>
      <c r="AX228" s="175">
        <f t="shared" si="113"/>
        <v>0</v>
      </c>
      <c r="AY228" s="182"/>
      <c r="AZ228" s="143"/>
    </row>
    <row r="229" spans="1:52" s="137" customFormat="1" ht="18.75" customHeight="1" x14ac:dyDescent="0.25">
      <c r="A229" s="90" t="s">
        <v>228</v>
      </c>
      <c r="B229" s="80" t="str">
        <f t="shared" si="111"/>
        <v>T29</v>
      </c>
      <c r="C229" s="126" t="s">
        <v>361</v>
      </c>
      <c r="D229" s="76"/>
      <c r="E229" s="76" t="s">
        <v>120</v>
      </c>
      <c r="F229" s="115" t="s">
        <v>121</v>
      </c>
      <c r="G229" s="148"/>
      <c r="H229" s="180"/>
      <c r="I229" s="109"/>
      <c r="J229" s="109"/>
      <c r="K229" s="111">
        <v>14709</v>
      </c>
      <c r="L229" s="111">
        <v>15966</v>
      </c>
      <c r="M229" s="111">
        <v>16011</v>
      </c>
      <c r="N229" s="111">
        <v>16013</v>
      </c>
      <c r="O229" s="111"/>
      <c r="P229" s="111"/>
      <c r="Q229" s="111"/>
      <c r="R229" s="111"/>
      <c r="S229" s="111"/>
      <c r="T229" s="111"/>
      <c r="U229" s="111"/>
      <c r="V229" s="111"/>
      <c r="W229" s="111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  <c r="AQ229" s="169"/>
      <c r="AR229" s="169"/>
      <c r="AS229" s="169"/>
      <c r="AT229" s="169"/>
      <c r="AU229" s="136" t="s">
        <v>349</v>
      </c>
      <c r="AV229" s="136">
        <f t="shared" si="112"/>
        <v>29</v>
      </c>
      <c r="AW229" s="175" t="str">
        <f t="shared" si="109"/>
        <v>VEDTATT</v>
      </c>
      <c r="AX229" s="175" t="s">
        <v>322</v>
      </c>
      <c r="AY229" s="182"/>
      <c r="AZ229" s="143"/>
    </row>
    <row r="230" spans="1:52" s="137" customFormat="1" ht="18.75" customHeight="1" x14ac:dyDescent="0.25">
      <c r="A230" s="90" t="s">
        <v>228</v>
      </c>
      <c r="B230" s="80" t="str">
        <f t="shared" si="111"/>
        <v>T30</v>
      </c>
      <c r="C230" s="126" t="s">
        <v>362</v>
      </c>
      <c r="D230" s="76"/>
      <c r="E230" s="76" t="s">
        <v>120</v>
      </c>
      <c r="F230" s="115" t="s">
        <v>121</v>
      </c>
      <c r="G230" s="148"/>
      <c r="H230" s="180"/>
      <c r="I230" s="109"/>
      <c r="J230" s="109"/>
      <c r="K230" s="109">
        <v>988</v>
      </c>
      <c r="L230" s="109">
        <v>-764</v>
      </c>
      <c r="M230" s="109">
        <v>-6756</v>
      </c>
      <c r="N230" s="109">
        <v>-9394</v>
      </c>
      <c r="O230" s="109"/>
      <c r="P230" s="109"/>
      <c r="Q230" s="109"/>
      <c r="R230" s="109"/>
      <c r="S230" s="109"/>
      <c r="T230" s="109"/>
      <c r="U230" s="109"/>
      <c r="V230" s="109"/>
      <c r="W230" s="10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69"/>
      <c r="AT230" s="169"/>
      <c r="AU230" s="136" t="s">
        <v>349</v>
      </c>
      <c r="AV230" s="136">
        <f t="shared" si="112"/>
        <v>30</v>
      </c>
      <c r="AW230" s="175" t="str">
        <f t="shared" si="109"/>
        <v>VEDTATT</v>
      </c>
      <c r="AX230" s="175">
        <f t="shared" ref="AX230:AX235" si="114">IF(F230="MÅ","Nye tiltak",0)</f>
        <v>0</v>
      </c>
      <c r="AY230" s="182"/>
      <c r="AZ230" s="143"/>
    </row>
    <row r="231" spans="1:52" s="137" customFormat="1" ht="18.75" customHeight="1" x14ac:dyDescent="0.25">
      <c r="A231" s="90" t="s">
        <v>228</v>
      </c>
      <c r="B231" s="80" t="str">
        <f t="shared" si="111"/>
        <v>T31</v>
      </c>
      <c r="C231" s="126" t="s">
        <v>363</v>
      </c>
      <c r="D231" s="76"/>
      <c r="E231" s="76" t="s">
        <v>120</v>
      </c>
      <c r="F231" s="115" t="s">
        <v>121</v>
      </c>
      <c r="G231" s="148"/>
      <c r="H231" s="180"/>
      <c r="I231" s="109"/>
      <c r="J231" s="109"/>
      <c r="K231" s="109">
        <v>-43</v>
      </c>
      <c r="L231" s="109">
        <v>-60</v>
      </c>
      <c r="M231" s="109">
        <v>-78</v>
      </c>
      <c r="N231" s="109">
        <v>-97</v>
      </c>
      <c r="O231" s="109"/>
      <c r="P231" s="109"/>
      <c r="Q231" s="109"/>
      <c r="R231" s="109"/>
      <c r="S231" s="109"/>
      <c r="T231" s="109"/>
      <c r="U231" s="109"/>
      <c r="V231" s="109"/>
      <c r="W231" s="10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  <c r="AQ231" s="169"/>
      <c r="AR231" s="169"/>
      <c r="AS231" s="169"/>
      <c r="AT231" s="169"/>
      <c r="AU231" s="136" t="s">
        <v>349</v>
      </c>
      <c r="AV231" s="136">
        <f t="shared" si="112"/>
        <v>31</v>
      </c>
      <c r="AW231" s="175" t="str">
        <f t="shared" si="109"/>
        <v>VEDTATT</v>
      </c>
      <c r="AX231" s="175">
        <f t="shared" si="114"/>
        <v>0</v>
      </c>
      <c r="AY231" s="182"/>
      <c r="AZ231" s="143"/>
    </row>
    <row r="232" spans="1:52" s="137" customFormat="1" ht="18.75" customHeight="1" x14ac:dyDescent="0.25">
      <c r="A232" s="90" t="s">
        <v>228</v>
      </c>
      <c r="B232" s="80" t="str">
        <f t="shared" si="111"/>
        <v>T32</v>
      </c>
      <c r="C232" s="126" t="s">
        <v>364</v>
      </c>
      <c r="D232" s="76"/>
      <c r="E232" s="76" t="s">
        <v>120</v>
      </c>
      <c r="F232" s="115" t="s">
        <v>121</v>
      </c>
      <c r="G232" s="148"/>
      <c r="H232" s="180"/>
      <c r="I232" s="109"/>
      <c r="J232" s="109"/>
      <c r="K232" s="109">
        <v>-1695</v>
      </c>
      <c r="L232" s="109">
        <v>-1372</v>
      </c>
      <c r="M232" s="109">
        <v>-1040</v>
      </c>
      <c r="N232" s="109">
        <v>-699</v>
      </c>
      <c r="O232" s="109"/>
      <c r="P232" s="109"/>
      <c r="Q232" s="109"/>
      <c r="R232" s="109"/>
      <c r="S232" s="109"/>
      <c r="T232" s="109"/>
      <c r="U232" s="109"/>
      <c r="V232" s="109"/>
      <c r="W232" s="109"/>
      <c r="X232" s="169"/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N232" s="169"/>
      <c r="AO232" s="169"/>
      <c r="AP232" s="169"/>
      <c r="AQ232" s="169"/>
      <c r="AR232" s="169"/>
      <c r="AS232" s="169"/>
      <c r="AT232" s="169"/>
      <c r="AU232" s="136" t="s">
        <v>349</v>
      </c>
      <c r="AV232" s="136">
        <f t="shared" si="112"/>
        <v>32</v>
      </c>
      <c r="AW232" s="175" t="str">
        <f t="shared" si="109"/>
        <v>VEDTATT</v>
      </c>
      <c r="AX232" s="175">
        <f t="shared" si="114"/>
        <v>0</v>
      </c>
      <c r="AY232" s="182"/>
      <c r="AZ232" s="143"/>
    </row>
    <row r="233" spans="1:52" s="137" customFormat="1" ht="28.5" customHeight="1" x14ac:dyDescent="0.25">
      <c r="A233" s="90" t="s">
        <v>228</v>
      </c>
      <c r="B233" s="80" t="str">
        <f t="shared" si="111"/>
        <v>T33</v>
      </c>
      <c r="C233" s="126" t="s">
        <v>365</v>
      </c>
      <c r="D233" s="76"/>
      <c r="E233" s="76" t="s">
        <v>120</v>
      </c>
      <c r="F233" s="115" t="s">
        <v>121</v>
      </c>
      <c r="G233" s="148"/>
      <c r="H233" s="180"/>
      <c r="I233" s="109"/>
      <c r="J233" s="109"/>
      <c r="K233" s="109">
        <v>1194</v>
      </c>
      <c r="L233" s="109">
        <v>2941</v>
      </c>
      <c r="M233" s="109">
        <v>4735</v>
      </c>
      <c r="N233" s="109">
        <v>6578</v>
      </c>
      <c r="O233" s="109"/>
      <c r="P233" s="109"/>
      <c r="Q233" s="109"/>
      <c r="R233" s="109"/>
      <c r="S233" s="109"/>
      <c r="T233" s="109"/>
      <c r="U233" s="109"/>
      <c r="V233" s="109"/>
      <c r="W233" s="10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169"/>
      <c r="AT233" s="169"/>
      <c r="AU233" s="136" t="s">
        <v>349</v>
      </c>
      <c r="AV233" s="136">
        <f t="shared" si="112"/>
        <v>33</v>
      </c>
      <c r="AW233" s="175" t="str">
        <f t="shared" si="109"/>
        <v>VEDTATT</v>
      </c>
      <c r="AX233" s="175">
        <f t="shared" si="114"/>
        <v>0</v>
      </c>
      <c r="AY233" s="182"/>
      <c r="AZ233" s="143"/>
    </row>
    <row r="234" spans="1:52" s="137" customFormat="1" ht="18.75" customHeight="1" x14ac:dyDescent="0.25">
      <c r="A234" s="90" t="s">
        <v>228</v>
      </c>
      <c r="B234" s="80" t="str">
        <f t="shared" si="111"/>
        <v>T34</v>
      </c>
      <c r="C234" s="126" t="s">
        <v>366</v>
      </c>
      <c r="D234" s="76"/>
      <c r="E234" s="76" t="s">
        <v>120</v>
      </c>
      <c r="F234" s="115" t="s">
        <v>121</v>
      </c>
      <c r="G234" s="148"/>
      <c r="H234" s="180"/>
      <c r="I234" s="109"/>
      <c r="J234" s="109"/>
      <c r="K234" s="109">
        <v>75</v>
      </c>
      <c r="L234" s="109">
        <v>152</v>
      </c>
      <c r="M234" s="109">
        <v>231</v>
      </c>
      <c r="N234" s="109">
        <v>313</v>
      </c>
      <c r="O234" s="109"/>
      <c r="P234" s="109"/>
      <c r="Q234" s="109"/>
      <c r="R234" s="109"/>
      <c r="S234" s="109"/>
      <c r="T234" s="109"/>
      <c r="U234" s="109"/>
      <c r="V234" s="109"/>
      <c r="W234" s="10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69"/>
      <c r="AT234" s="169"/>
      <c r="AU234" s="136" t="s">
        <v>349</v>
      </c>
      <c r="AV234" s="136">
        <f t="shared" si="112"/>
        <v>34</v>
      </c>
      <c r="AW234" s="175" t="str">
        <f t="shared" si="109"/>
        <v>VEDTATT</v>
      </c>
      <c r="AX234" s="175">
        <f t="shared" si="114"/>
        <v>0</v>
      </c>
      <c r="AY234" s="182"/>
      <c r="AZ234" s="143"/>
    </row>
    <row r="235" spans="1:52" s="137" customFormat="1" ht="18.75" customHeight="1" x14ac:dyDescent="0.25">
      <c r="A235" s="90" t="s">
        <v>228</v>
      </c>
      <c r="B235" s="80" t="str">
        <f t="shared" si="111"/>
        <v>T35</v>
      </c>
      <c r="C235" s="126" t="s">
        <v>367</v>
      </c>
      <c r="D235" s="76"/>
      <c r="E235" s="76" t="s">
        <v>120</v>
      </c>
      <c r="F235" s="115" t="s">
        <v>121</v>
      </c>
      <c r="G235" s="148"/>
      <c r="H235" s="180"/>
      <c r="I235" s="109"/>
      <c r="J235" s="109"/>
      <c r="K235" s="109">
        <v>-380</v>
      </c>
      <c r="L235" s="109">
        <v>-548</v>
      </c>
      <c r="M235" s="109">
        <v>-870</v>
      </c>
      <c r="N235" s="109">
        <v>-520</v>
      </c>
      <c r="O235" s="109"/>
      <c r="P235" s="109"/>
      <c r="Q235" s="109"/>
      <c r="R235" s="109"/>
      <c r="S235" s="109"/>
      <c r="T235" s="109"/>
      <c r="U235" s="109"/>
      <c r="V235" s="109"/>
      <c r="W235" s="109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  <c r="AN235" s="217"/>
      <c r="AO235" s="217"/>
      <c r="AP235" s="217"/>
      <c r="AQ235" s="217"/>
      <c r="AR235" s="217"/>
      <c r="AS235" s="217"/>
      <c r="AT235" s="217"/>
      <c r="AU235" s="136" t="s">
        <v>349</v>
      </c>
      <c r="AV235" s="136">
        <f t="shared" si="112"/>
        <v>35</v>
      </c>
      <c r="AW235" s="175" t="str">
        <f t="shared" si="109"/>
        <v>VEDTATT</v>
      </c>
      <c r="AX235" s="175">
        <f t="shared" si="114"/>
        <v>0</v>
      </c>
      <c r="AY235" s="182"/>
      <c r="AZ235" s="143"/>
    </row>
    <row r="236" spans="1:52" s="137" customFormat="1" ht="18.75" customHeight="1" x14ac:dyDescent="0.25">
      <c r="A236" s="90" t="s">
        <v>228</v>
      </c>
      <c r="B236" s="80" t="str">
        <f t="shared" si="111"/>
        <v>T36</v>
      </c>
      <c r="C236" s="126" t="s">
        <v>368</v>
      </c>
      <c r="D236" s="76"/>
      <c r="E236" s="76" t="s">
        <v>120</v>
      </c>
      <c r="F236" s="115" t="s">
        <v>121</v>
      </c>
      <c r="G236" s="148"/>
      <c r="H236" s="180"/>
      <c r="I236" s="109"/>
      <c r="J236" s="109"/>
      <c r="K236" s="109">
        <v>-139</v>
      </c>
      <c r="L236" s="109">
        <v>-349</v>
      </c>
      <c r="M236" s="109">
        <v>3778</v>
      </c>
      <c r="N236" s="109">
        <v>3819</v>
      </c>
      <c r="O236" s="109"/>
      <c r="P236" s="109"/>
      <c r="Q236" s="109"/>
      <c r="R236" s="109"/>
      <c r="S236" s="109"/>
      <c r="T236" s="109"/>
      <c r="U236" s="109"/>
      <c r="V236" s="109"/>
      <c r="W236" s="109"/>
      <c r="X236" s="169"/>
      <c r="Y236" s="169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N236" s="169"/>
      <c r="AO236" s="169"/>
      <c r="AP236" s="169"/>
      <c r="AQ236" s="169"/>
      <c r="AR236" s="169"/>
      <c r="AS236" s="169"/>
      <c r="AT236" s="169"/>
      <c r="AU236" s="136" t="s">
        <v>349</v>
      </c>
      <c r="AV236" s="136">
        <f t="shared" si="112"/>
        <v>36</v>
      </c>
      <c r="AW236" s="175" t="str">
        <f t="shared" si="109"/>
        <v>VEDTATT</v>
      </c>
      <c r="AX236" s="175" t="s">
        <v>322</v>
      </c>
      <c r="AY236" s="182"/>
      <c r="AZ236" s="143"/>
    </row>
    <row r="237" spans="1:52" s="137" customFormat="1" ht="18.75" customHeight="1" x14ac:dyDescent="0.25">
      <c r="A237" s="90" t="s">
        <v>228</v>
      </c>
      <c r="B237" s="80" t="str">
        <f t="shared" si="111"/>
        <v>T37</v>
      </c>
      <c r="C237" s="126" t="s">
        <v>369</v>
      </c>
      <c r="D237" s="76"/>
      <c r="E237" s="76" t="s">
        <v>120</v>
      </c>
      <c r="F237" s="115" t="s">
        <v>121</v>
      </c>
      <c r="G237" s="148"/>
      <c r="H237" s="180"/>
      <c r="I237" s="109"/>
      <c r="J237" s="109"/>
      <c r="K237" s="109">
        <v>887</v>
      </c>
      <c r="L237" s="109">
        <v>1233</v>
      </c>
      <c r="M237" s="109">
        <v>802</v>
      </c>
      <c r="N237" s="109">
        <v>1142</v>
      </c>
      <c r="O237" s="109"/>
      <c r="P237" s="109"/>
      <c r="Q237" s="109"/>
      <c r="R237" s="109"/>
      <c r="S237" s="109"/>
      <c r="T237" s="109"/>
      <c r="U237" s="109"/>
      <c r="V237" s="109"/>
      <c r="W237" s="10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  <c r="AQ237" s="169"/>
      <c r="AR237" s="169"/>
      <c r="AS237" s="169"/>
      <c r="AT237" s="169"/>
      <c r="AU237" s="136" t="s">
        <v>349</v>
      </c>
      <c r="AV237" s="136">
        <f t="shared" si="112"/>
        <v>37</v>
      </c>
      <c r="AW237" s="175" t="str">
        <f t="shared" si="109"/>
        <v>VEDTATT</v>
      </c>
      <c r="AX237" s="175">
        <f>IF(F237="MÅ","Nye tiltak",0)</f>
        <v>0</v>
      </c>
      <c r="AY237" s="182"/>
      <c r="AZ237" s="143"/>
    </row>
    <row r="238" spans="1:52" s="137" customFormat="1" ht="18.75" customHeight="1" x14ac:dyDescent="0.25">
      <c r="A238" s="90" t="s">
        <v>228</v>
      </c>
      <c r="B238" s="80" t="str">
        <f t="shared" si="111"/>
        <v>T38</v>
      </c>
      <c r="C238" s="126" t="s">
        <v>370</v>
      </c>
      <c r="D238" s="76"/>
      <c r="E238" s="76" t="s">
        <v>120</v>
      </c>
      <c r="F238" s="115" t="s">
        <v>121</v>
      </c>
      <c r="G238" s="148"/>
      <c r="H238" s="180"/>
      <c r="I238" s="109"/>
      <c r="J238" s="109"/>
      <c r="K238" s="109">
        <v>-352</v>
      </c>
      <c r="L238" s="109">
        <v>-702</v>
      </c>
      <c r="M238" s="109">
        <v>-262</v>
      </c>
      <c r="N238" s="109">
        <v>-610</v>
      </c>
      <c r="O238" s="109"/>
      <c r="P238" s="109"/>
      <c r="Q238" s="109"/>
      <c r="R238" s="109"/>
      <c r="S238" s="109"/>
      <c r="T238" s="109"/>
      <c r="U238" s="109"/>
      <c r="V238" s="109"/>
      <c r="W238" s="109"/>
      <c r="X238" s="169"/>
      <c r="Y238" s="169"/>
      <c r="Z238" s="169"/>
      <c r="AA238" s="169"/>
      <c r="AB238" s="169"/>
      <c r="AC238" s="169"/>
      <c r="AD238" s="169"/>
      <c r="AE238" s="169"/>
      <c r="AF238" s="169"/>
      <c r="AG238" s="169"/>
      <c r="AH238" s="169"/>
      <c r="AI238" s="169"/>
      <c r="AJ238" s="169"/>
      <c r="AK238" s="169"/>
      <c r="AL238" s="169"/>
      <c r="AM238" s="169"/>
      <c r="AN238" s="169"/>
      <c r="AO238" s="169"/>
      <c r="AP238" s="169"/>
      <c r="AQ238" s="169"/>
      <c r="AR238" s="169"/>
      <c r="AS238" s="169"/>
      <c r="AT238" s="169"/>
      <c r="AU238" s="136" t="s">
        <v>349</v>
      </c>
      <c r="AV238" s="136">
        <f t="shared" si="112"/>
        <v>38</v>
      </c>
      <c r="AW238" s="175" t="str">
        <f t="shared" si="109"/>
        <v>VEDTATT</v>
      </c>
      <c r="AX238" s="175">
        <f>IF(F238="MÅ","Nye tiltak",0)</f>
        <v>0</v>
      </c>
      <c r="AY238" s="182"/>
      <c r="AZ238" s="143"/>
    </row>
    <row r="239" spans="1:52" s="137" customFormat="1" ht="18.75" customHeight="1" x14ac:dyDescent="0.25">
      <c r="A239" s="90" t="s">
        <v>228</v>
      </c>
      <c r="B239" s="80" t="str">
        <f t="shared" si="111"/>
        <v>T39</v>
      </c>
      <c r="C239" s="126" t="s">
        <v>371</v>
      </c>
      <c r="D239" s="76"/>
      <c r="E239" s="76" t="s">
        <v>120</v>
      </c>
      <c r="F239" s="115" t="s">
        <v>121</v>
      </c>
      <c r="G239" s="148"/>
      <c r="H239" s="180"/>
      <c r="I239" s="109"/>
      <c r="J239" s="109"/>
      <c r="K239" s="109">
        <v>-535</v>
      </c>
      <c r="L239" s="109">
        <v>-531</v>
      </c>
      <c r="M239" s="109">
        <v>-540</v>
      </c>
      <c r="N239" s="109">
        <v>-532</v>
      </c>
      <c r="O239" s="109"/>
      <c r="P239" s="109"/>
      <c r="Q239" s="109"/>
      <c r="R239" s="109"/>
      <c r="S239" s="109"/>
      <c r="T239" s="109"/>
      <c r="U239" s="109"/>
      <c r="V239" s="109"/>
      <c r="W239" s="109"/>
      <c r="X239" s="169"/>
      <c r="Y239" s="169"/>
      <c r="Z239" s="169"/>
      <c r="AA239" s="169"/>
      <c r="AB239" s="169"/>
      <c r="AC239" s="169"/>
      <c r="AD239" s="169"/>
      <c r="AE239" s="169"/>
      <c r="AF239" s="169"/>
      <c r="AG239" s="169"/>
      <c r="AH239" s="169"/>
      <c r="AI239" s="169"/>
      <c r="AJ239" s="169"/>
      <c r="AK239" s="169"/>
      <c r="AL239" s="169"/>
      <c r="AM239" s="169"/>
      <c r="AN239" s="169"/>
      <c r="AO239" s="169"/>
      <c r="AP239" s="169"/>
      <c r="AQ239" s="169"/>
      <c r="AR239" s="169"/>
      <c r="AS239" s="169"/>
      <c r="AT239" s="169"/>
      <c r="AU239" s="136" t="s">
        <v>349</v>
      </c>
      <c r="AV239" s="136">
        <f t="shared" si="112"/>
        <v>39</v>
      </c>
      <c r="AW239" s="175" t="str">
        <f t="shared" si="109"/>
        <v>VEDTATT</v>
      </c>
      <c r="AX239" s="175">
        <f>IF(F239="MÅ","Nye tiltak",0)</f>
        <v>0</v>
      </c>
      <c r="AY239" s="182"/>
      <c r="AZ239" s="143"/>
    </row>
    <row r="240" spans="1:52" s="137" customFormat="1" ht="18.75" customHeight="1" x14ac:dyDescent="0.25">
      <c r="A240" s="90" t="s">
        <v>228</v>
      </c>
      <c r="B240" s="80" t="str">
        <f t="shared" si="111"/>
        <v>T40</v>
      </c>
      <c r="C240" s="126" t="s">
        <v>372</v>
      </c>
      <c r="D240" s="76"/>
      <c r="E240" s="76" t="s">
        <v>120</v>
      </c>
      <c r="F240" s="115" t="s">
        <v>121</v>
      </c>
      <c r="G240" s="148"/>
      <c r="H240" s="180"/>
      <c r="I240" s="109"/>
      <c r="J240" s="109"/>
      <c r="K240" s="109">
        <v>1901</v>
      </c>
      <c r="L240" s="109">
        <v>1769</v>
      </c>
      <c r="M240" s="109">
        <v>1631</v>
      </c>
      <c r="N240" s="109">
        <v>1490</v>
      </c>
      <c r="O240" s="109"/>
      <c r="P240" s="109"/>
      <c r="Q240" s="109"/>
      <c r="R240" s="109"/>
      <c r="S240" s="109"/>
      <c r="T240" s="109"/>
      <c r="U240" s="109"/>
      <c r="V240" s="109"/>
      <c r="W240" s="109"/>
      <c r="X240" s="169"/>
      <c r="Y240" s="169"/>
      <c r="Z240" s="169"/>
      <c r="AA240" s="169"/>
      <c r="AB240" s="169"/>
      <c r="AC240" s="169"/>
      <c r="AD240" s="169"/>
      <c r="AE240" s="169"/>
      <c r="AF240" s="169"/>
      <c r="AG240" s="169"/>
      <c r="AH240" s="169"/>
      <c r="AI240" s="169"/>
      <c r="AJ240" s="169"/>
      <c r="AK240" s="169"/>
      <c r="AL240" s="169"/>
      <c r="AM240" s="169"/>
      <c r="AN240" s="169"/>
      <c r="AO240" s="169"/>
      <c r="AP240" s="169"/>
      <c r="AQ240" s="169"/>
      <c r="AR240" s="169"/>
      <c r="AS240" s="169"/>
      <c r="AT240" s="169"/>
      <c r="AU240" s="136" t="s">
        <v>349</v>
      </c>
      <c r="AV240" s="136">
        <f t="shared" si="112"/>
        <v>40</v>
      </c>
      <c r="AW240" s="175" t="str">
        <f t="shared" si="109"/>
        <v>VEDTATT</v>
      </c>
      <c r="AX240" s="175">
        <f>IF(F240="MÅ","Nye tiltak",0)</f>
        <v>0</v>
      </c>
      <c r="AY240" s="182"/>
      <c r="AZ240" s="143"/>
    </row>
    <row r="241" spans="1:52" s="137" customFormat="1" ht="18.75" customHeight="1" x14ac:dyDescent="0.25">
      <c r="A241" s="90" t="s">
        <v>228</v>
      </c>
      <c r="B241" s="80" t="str">
        <f t="shared" si="111"/>
        <v>T41</v>
      </c>
      <c r="C241" s="126" t="s">
        <v>373</v>
      </c>
      <c r="D241" s="76"/>
      <c r="E241" s="76" t="s">
        <v>120</v>
      </c>
      <c r="F241" s="115" t="s">
        <v>121</v>
      </c>
      <c r="G241" s="148"/>
      <c r="H241" s="180"/>
      <c r="I241" s="109"/>
      <c r="J241" s="109"/>
      <c r="K241" s="109">
        <v>-89</v>
      </c>
      <c r="L241" s="109">
        <v>45</v>
      </c>
      <c r="M241" s="109">
        <v>182</v>
      </c>
      <c r="N241" s="109">
        <v>324</v>
      </c>
      <c r="O241" s="109"/>
      <c r="P241" s="109"/>
      <c r="Q241" s="109"/>
      <c r="R241" s="109"/>
      <c r="S241" s="109"/>
      <c r="T241" s="109"/>
      <c r="U241" s="109"/>
      <c r="V241" s="109"/>
      <c r="W241" s="109"/>
      <c r="X241" s="169"/>
      <c r="Y241" s="169"/>
      <c r="Z241" s="169"/>
      <c r="AA241" s="169"/>
      <c r="AB241" s="169"/>
      <c r="AC241" s="169"/>
      <c r="AD241" s="169"/>
      <c r="AE241" s="169"/>
      <c r="AF241" s="169"/>
      <c r="AG241" s="169"/>
      <c r="AH241" s="169"/>
      <c r="AI241" s="169"/>
      <c r="AJ241" s="169"/>
      <c r="AK241" s="169"/>
      <c r="AL241" s="169"/>
      <c r="AM241" s="169"/>
      <c r="AN241" s="169"/>
      <c r="AO241" s="169"/>
      <c r="AP241" s="169"/>
      <c r="AQ241" s="169"/>
      <c r="AR241" s="169"/>
      <c r="AS241" s="169"/>
      <c r="AT241" s="169"/>
      <c r="AU241" s="136" t="s">
        <v>349</v>
      </c>
      <c r="AV241" s="136">
        <f t="shared" si="112"/>
        <v>41</v>
      </c>
      <c r="AW241" s="175" t="str">
        <f t="shared" si="109"/>
        <v>VEDTATT</v>
      </c>
      <c r="AX241" s="175">
        <f>IF(F241="MÅ","Nye tiltak",0)</f>
        <v>0</v>
      </c>
      <c r="AY241" s="182"/>
      <c r="AZ241" s="143"/>
    </row>
    <row r="242" spans="1:52" s="137" customFormat="1" ht="18.75" customHeight="1" x14ac:dyDescent="0.25">
      <c r="A242" s="90" t="s">
        <v>228</v>
      </c>
      <c r="B242" s="80" t="str">
        <f t="shared" si="111"/>
        <v>T42</v>
      </c>
      <c r="C242" s="126" t="s">
        <v>374</v>
      </c>
      <c r="D242" s="76"/>
      <c r="E242" s="76" t="s">
        <v>120</v>
      </c>
      <c r="F242" s="76" t="s">
        <v>121</v>
      </c>
      <c r="G242" s="76"/>
      <c r="H242" s="76"/>
      <c r="I242" s="76"/>
      <c r="J242" s="76"/>
      <c r="K242" s="109">
        <v>-1812</v>
      </c>
      <c r="L242" s="109">
        <v>-1814</v>
      </c>
      <c r="M242" s="109">
        <v>-1813</v>
      </c>
      <c r="N242" s="109">
        <v>-1814</v>
      </c>
      <c r="O242" s="109"/>
      <c r="P242" s="109"/>
      <c r="Q242" s="109"/>
      <c r="R242" s="109"/>
      <c r="S242" s="109"/>
      <c r="T242" s="109"/>
      <c r="U242" s="109"/>
      <c r="V242" s="109"/>
      <c r="W242" s="109"/>
      <c r="X242" s="169"/>
      <c r="Y242" s="169"/>
      <c r="Z242" s="169"/>
      <c r="AA242" s="169"/>
      <c r="AB242" s="169"/>
      <c r="AC242" s="169"/>
      <c r="AD242" s="169"/>
      <c r="AE242" s="169"/>
      <c r="AF242" s="169"/>
      <c r="AG242" s="169"/>
      <c r="AH242" s="169"/>
      <c r="AI242" s="169"/>
      <c r="AJ242" s="169"/>
      <c r="AK242" s="169"/>
      <c r="AL242" s="169"/>
      <c r="AM242" s="169"/>
      <c r="AN242" s="169"/>
      <c r="AO242" s="169"/>
      <c r="AP242" s="169"/>
      <c r="AQ242" s="169"/>
      <c r="AR242" s="169"/>
      <c r="AS242" s="169"/>
      <c r="AT242" s="169"/>
      <c r="AU242" s="136" t="s">
        <v>349</v>
      </c>
      <c r="AV242" s="136">
        <f t="shared" si="112"/>
        <v>42</v>
      </c>
      <c r="AW242" s="175" t="str">
        <f t="shared" si="109"/>
        <v>VEDTATT</v>
      </c>
      <c r="AX242" s="175" t="s">
        <v>322</v>
      </c>
      <c r="AY242" s="182"/>
      <c r="AZ242" s="143"/>
    </row>
    <row r="243" spans="1:52" s="137" customFormat="1" ht="18.75" customHeight="1" x14ac:dyDescent="0.25">
      <c r="A243" s="96"/>
      <c r="B243" s="57" t="s">
        <v>141</v>
      </c>
      <c r="C243" s="38" t="s">
        <v>245</v>
      </c>
      <c r="D243" s="96"/>
      <c r="E243" s="96"/>
      <c r="F243" s="96"/>
      <c r="G243" s="96"/>
      <c r="H243" s="96"/>
      <c r="I243" s="96"/>
      <c r="J243" s="96"/>
      <c r="K243" s="106">
        <f t="shared" ref="K243:W243" si="115">SUMIF($A:$A,"TEKNISK",K:K)</f>
        <v>2141</v>
      </c>
      <c r="L243" s="106">
        <f t="shared" si="115"/>
        <v>10523</v>
      </c>
      <c r="M243" s="106">
        <f t="shared" si="115"/>
        <v>22144</v>
      </c>
      <c r="N243" s="106">
        <f t="shared" si="115"/>
        <v>25388</v>
      </c>
      <c r="O243" s="106">
        <f t="shared" si="115"/>
        <v>25388</v>
      </c>
      <c r="P243" s="106">
        <f t="shared" si="115"/>
        <v>25388</v>
      </c>
      <c r="Q243" s="106">
        <f t="shared" si="115"/>
        <v>25388</v>
      </c>
      <c r="R243" s="106">
        <f t="shared" si="115"/>
        <v>25388</v>
      </c>
      <c r="S243" s="106">
        <f t="shared" si="115"/>
        <v>25388</v>
      </c>
      <c r="T243" s="106">
        <f t="shared" si="115"/>
        <v>25388</v>
      </c>
      <c r="U243" s="106">
        <f t="shared" si="115"/>
        <v>25388</v>
      </c>
      <c r="V243" s="106">
        <f t="shared" si="115"/>
        <v>25388</v>
      </c>
      <c r="W243" s="106">
        <f t="shared" si="115"/>
        <v>25388</v>
      </c>
      <c r="X243" s="169"/>
      <c r="Y243" s="169"/>
      <c r="Z243" s="169"/>
      <c r="AA243" s="169"/>
      <c r="AB243" s="169"/>
      <c r="AC243" s="169"/>
      <c r="AD243" s="169"/>
      <c r="AE243" s="169"/>
      <c r="AF243" s="169"/>
      <c r="AG243" s="169"/>
      <c r="AH243" s="169"/>
      <c r="AI243" s="169"/>
      <c r="AJ243" s="169"/>
      <c r="AK243" s="169"/>
      <c r="AL243" s="169"/>
      <c r="AM243" s="169"/>
      <c r="AN243" s="169"/>
      <c r="AO243" s="169"/>
      <c r="AP243" s="169"/>
      <c r="AQ243" s="169"/>
      <c r="AR243" s="169"/>
      <c r="AS243" s="169"/>
      <c r="AT243" s="169"/>
      <c r="AU243" s="136"/>
      <c r="AV243" s="136"/>
      <c r="AW243" s="175">
        <f t="shared" si="109"/>
        <v>0</v>
      </c>
      <c r="AX243" s="175">
        <f>IF(F243="MÅ","Nye tiltak",0)</f>
        <v>0</v>
      </c>
      <c r="AY243" s="182"/>
      <c r="AZ243" s="143"/>
    </row>
    <row r="244" spans="1:52" s="137" customFormat="1" ht="23.25" customHeight="1" x14ac:dyDescent="0.25">
      <c r="A244" s="80"/>
      <c r="B244" s="97"/>
      <c r="C244" s="144"/>
      <c r="D244" s="98"/>
      <c r="E244" s="98"/>
      <c r="F244" s="98"/>
      <c r="G244" s="44"/>
      <c r="H244" s="44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69"/>
      <c r="Y244" s="169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9"/>
      <c r="AK244" s="169"/>
      <c r="AL244" s="169"/>
      <c r="AM244" s="169"/>
      <c r="AN244" s="169"/>
      <c r="AO244" s="169"/>
      <c r="AP244" s="169"/>
      <c r="AQ244" s="169"/>
      <c r="AR244" s="169"/>
      <c r="AS244" s="169"/>
      <c r="AT244" s="169"/>
      <c r="AU244" s="136"/>
      <c r="AV244" s="136"/>
      <c r="AW244" s="175">
        <f t="shared" si="109"/>
        <v>0</v>
      </c>
      <c r="AX244" s="175">
        <f>IF(F244="MÅ","Nye tiltak",0)</f>
        <v>0</v>
      </c>
      <c r="AY244" s="182"/>
      <c r="AZ244" s="143"/>
    </row>
    <row r="245" spans="1:52" s="137" customFormat="1" ht="18.75" customHeight="1" x14ac:dyDescent="0.25">
      <c r="A245" s="80"/>
      <c r="B245" s="99"/>
      <c r="C245" s="100" t="s">
        <v>246</v>
      </c>
      <c r="D245" s="101"/>
      <c r="E245" s="101"/>
      <c r="F245" s="115"/>
      <c r="G245" s="102"/>
      <c r="H245" s="102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69"/>
      <c r="Y245" s="169"/>
      <c r="Z245" s="169"/>
      <c r="AA245" s="169"/>
      <c r="AB245" s="169"/>
      <c r="AC245" s="169"/>
      <c r="AD245" s="169"/>
      <c r="AE245" s="169"/>
      <c r="AF245" s="169"/>
      <c r="AG245" s="169"/>
      <c r="AH245" s="169"/>
      <c r="AI245" s="169"/>
      <c r="AJ245" s="169"/>
      <c r="AK245" s="169"/>
      <c r="AL245" s="169"/>
      <c r="AM245" s="169"/>
      <c r="AN245" s="169"/>
      <c r="AO245" s="169"/>
      <c r="AP245" s="169"/>
      <c r="AQ245" s="169"/>
      <c r="AR245" s="169"/>
      <c r="AS245" s="169"/>
      <c r="AT245" s="169"/>
      <c r="AU245" s="160"/>
      <c r="AV245" s="160"/>
      <c r="AW245" s="175">
        <f t="shared" si="109"/>
        <v>0</v>
      </c>
      <c r="AX245" s="175">
        <f>IF(F245="MÅ","Nye tiltak",0)</f>
        <v>0</v>
      </c>
      <c r="AY245" s="182"/>
      <c r="AZ245" s="143"/>
    </row>
    <row r="246" spans="1:52" s="137" customFormat="1" ht="24" customHeight="1" x14ac:dyDescent="0.25">
      <c r="A246" s="80" t="s">
        <v>247</v>
      </c>
      <c r="B246" s="90" t="str">
        <f t="shared" ref="B246:B261" si="116">IF(AV246,AU246&amp;AV246,"")</f>
        <v>O1</v>
      </c>
      <c r="C246" s="127" t="s">
        <v>248</v>
      </c>
      <c r="D246" s="86"/>
      <c r="E246" s="86" t="s">
        <v>120</v>
      </c>
      <c r="F246" s="112" t="s">
        <v>121</v>
      </c>
      <c r="G246" s="128"/>
      <c r="H246" s="128"/>
      <c r="I246" s="124"/>
      <c r="J246" s="124"/>
      <c r="K246" s="111">
        <v>168</v>
      </c>
      <c r="L246" s="111">
        <v>168</v>
      </c>
      <c r="M246" s="111">
        <v>168</v>
      </c>
      <c r="N246" s="111">
        <v>168</v>
      </c>
      <c r="O246" s="84">
        <f>N246</f>
        <v>168</v>
      </c>
      <c r="P246" s="84">
        <f t="shared" ref="P246:W247" si="117">O246</f>
        <v>168</v>
      </c>
      <c r="Q246" s="84">
        <f t="shared" si="117"/>
        <v>168</v>
      </c>
      <c r="R246" s="84">
        <f t="shared" si="117"/>
        <v>168</v>
      </c>
      <c r="S246" s="84">
        <f t="shared" si="117"/>
        <v>168</v>
      </c>
      <c r="T246" s="84">
        <f t="shared" si="117"/>
        <v>168</v>
      </c>
      <c r="U246" s="84">
        <f t="shared" si="117"/>
        <v>168</v>
      </c>
      <c r="V246" s="84">
        <f t="shared" si="117"/>
        <v>168</v>
      </c>
      <c r="W246" s="84">
        <f t="shared" si="117"/>
        <v>168</v>
      </c>
      <c r="X246" s="169"/>
      <c r="Y246" s="169"/>
      <c r="Z246" s="169"/>
      <c r="AA246" s="169"/>
      <c r="AB246" s="169"/>
      <c r="AC246" s="169"/>
      <c r="AD246" s="169"/>
      <c r="AE246" s="169"/>
      <c r="AF246" s="169"/>
      <c r="AG246" s="169"/>
      <c r="AH246" s="169"/>
      <c r="AI246" s="169"/>
      <c r="AJ246" s="169"/>
      <c r="AK246" s="169"/>
      <c r="AL246" s="169"/>
      <c r="AM246" s="169"/>
      <c r="AN246" s="169"/>
      <c r="AO246" s="169"/>
      <c r="AP246" s="169"/>
      <c r="AQ246" s="169"/>
      <c r="AR246" s="169"/>
      <c r="AS246" s="169"/>
      <c r="AT246" s="169"/>
      <c r="AU246" s="136" t="s">
        <v>375</v>
      </c>
      <c r="AV246" s="136">
        <v>1</v>
      </c>
      <c r="AW246" s="175"/>
      <c r="AX246" s="175"/>
      <c r="AY246" s="182"/>
      <c r="AZ246" s="143"/>
    </row>
    <row r="247" spans="1:52" s="137" customFormat="1" x14ac:dyDescent="0.25">
      <c r="A247" s="80" t="s">
        <v>247</v>
      </c>
      <c r="B247" s="90" t="str">
        <f t="shared" si="116"/>
        <v>O2</v>
      </c>
      <c r="C247" s="127" t="s">
        <v>130</v>
      </c>
      <c r="D247" s="86"/>
      <c r="E247" s="86" t="s">
        <v>131</v>
      </c>
      <c r="F247" s="112" t="s">
        <v>132</v>
      </c>
      <c r="G247" s="128"/>
      <c r="H247" s="128"/>
      <c r="I247" s="124"/>
      <c r="J247" s="124"/>
      <c r="K247" s="111"/>
      <c r="L247" s="111">
        <v>-490</v>
      </c>
      <c r="M247" s="111">
        <v>-980</v>
      </c>
      <c r="N247" s="111">
        <v>-980</v>
      </c>
      <c r="O247" s="84">
        <f>N247</f>
        <v>-980</v>
      </c>
      <c r="P247" s="84">
        <f t="shared" si="117"/>
        <v>-980</v>
      </c>
      <c r="Q247" s="84">
        <f t="shared" si="117"/>
        <v>-980</v>
      </c>
      <c r="R247" s="84">
        <f t="shared" si="117"/>
        <v>-980</v>
      </c>
      <c r="S247" s="84">
        <f t="shared" si="117"/>
        <v>-980</v>
      </c>
      <c r="T247" s="84">
        <f t="shared" si="117"/>
        <v>-980</v>
      </c>
      <c r="U247" s="84">
        <f t="shared" si="117"/>
        <v>-980</v>
      </c>
      <c r="V247" s="84">
        <f t="shared" si="117"/>
        <v>-980</v>
      </c>
      <c r="W247" s="84">
        <f t="shared" si="117"/>
        <v>-980</v>
      </c>
      <c r="X247" s="169"/>
      <c r="Y247" s="169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9"/>
      <c r="AK247" s="169"/>
      <c r="AL247" s="169"/>
      <c r="AM247" s="169"/>
      <c r="AN247" s="169"/>
      <c r="AO247" s="169"/>
      <c r="AP247" s="169"/>
      <c r="AQ247" s="169"/>
      <c r="AR247" s="169"/>
      <c r="AS247" s="169"/>
      <c r="AT247" s="169"/>
      <c r="AU247" s="136" t="s">
        <v>375</v>
      </c>
      <c r="AV247" s="136">
        <v>2</v>
      </c>
      <c r="AW247" s="175"/>
      <c r="AX247" s="175"/>
      <c r="AY247" s="182"/>
      <c r="AZ247" s="143"/>
    </row>
    <row r="248" spans="1:52" s="137" customFormat="1" x14ac:dyDescent="0.25">
      <c r="A248" s="80" t="s">
        <v>247</v>
      </c>
      <c r="B248" s="90" t="str">
        <f t="shared" si="116"/>
        <v>O3</v>
      </c>
      <c r="C248" s="88" t="s">
        <v>249</v>
      </c>
      <c r="D248" s="86"/>
      <c r="E248" s="86" t="s">
        <v>131</v>
      </c>
      <c r="F248" s="112" t="s">
        <v>132</v>
      </c>
      <c r="G248" s="180"/>
      <c r="H248" s="180"/>
      <c r="I248" s="111"/>
      <c r="J248" s="111">
        <v>200</v>
      </c>
      <c r="K248" s="111"/>
      <c r="L248" s="111">
        <v>950</v>
      </c>
      <c r="M248" s="111">
        <v>950</v>
      </c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69"/>
      <c r="Y248" s="169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9"/>
      <c r="AK248" s="169"/>
      <c r="AL248" s="169"/>
      <c r="AM248" s="169"/>
      <c r="AN248" s="169"/>
      <c r="AO248" s="169"/>
      <c r="AP248" s="169"/>
      <c r="AQ248" s="169"/>
      <c r="AR248" s="169"/>
      <c r="AS248" s="169"/>
      <c r="AT248" s="169"/>
      <c r="AU248" s="136" t="s">
        <v>375</v>
      </c>
      <c r="AV248" s="136">
        <f>AV247+1</f>
        <v>3</v>
      </c>
      <c r="AW248" s="175">
        <f>IF(F248="VEDTATT","VEDTATT",0)</f>
        <v>0</v>
      </c>
      <c r="AX248" s="175" t="str">
        <f>IF(F248="MÅ","Nye tiltak",0)</f>
        <v>Nye tiltak</v>
      </c>
      <c r="AY248" s="182"/>
      <c r="AZ248" s="143"/>
    </row>
    <row r="249" spans="1:52" s="137" customFormat="1" ht="18.75" customHeight="1" x14ac:dyDescent="0.25">
      <c r="A249" s="80" t="s">
        <v>247</v>
      </c>
      <c r="B249" s="90" t="str">
        <f t="shared" si="116"/>
        <v>O4</v>
      </c>
      <c r="C249" s="127" t="s">
        <v>250</v>
      </c>
      <c r="D249" s="86"/>
      <c r="E249" s="86" t="s">
        <v>131</v>
      </c>
      <c r="F249" s="112" t="s">
        <v>132</v>
      </c>
      <c r="G249" s="179"/>
      <c r="H249" s="179"/>
      <c r="I249" s="111">
        <v>500</v>
      </c>
      <c r="J249" s="111">
        <v>70</v>
      </c>
      <c r="K249" s="111">
        <v>500</v>
      </c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69"/>
      <c r="Y249" s="169"/>
      <c r="Z249" s="169"/>
      <c r="AA249" s="169"/>
      <c r="AB249" s="169"/>
      <c r="AC249" s="169"/>
      <c r="AD249" s="169"/>
      <c r="AE249" s="169"/>
      <c r="AF249" s="169"/>
      <c r="AG249" s="169"/>
      <c r="AH249" s="169"/>
      <c r="AI249" s="169"/>
      <c r="AJ249" s="169"/>
      <c r="AK249" s="169"/>
      <c r="AL249" s="169"/>
      <c r="AM249" s="169"/>
      <c r="AN249" s="169"/>
      <c r="AO249" s="169"/>
      <c r="AP249" s="169"/>
      <c r="AQ249" s="169"/>
      <c r="AR249" s="169"/>
      <c r="AS249" s="169"/>
      <c r="AT249" s="169"/>
      <c r="AU249" s="136" t="s">
        <v>375</v>
      </c>
      <c r="AV249" s="136">
        <f t="shared" ref="AV249:AV258" si="118">AV248+1</f>
        <v>4</v>
      </c>
      <c r="AW249" s="175">
        <f>IF(F249="VEDTATT","VEDTATT",0)</f>
        <v>0</v>
      </c>
      <c r="AX249" s="175" t="str">
        <f>IF(F249="MÅ","Nye tiltak",0)</f>
        <v>Nye tiltak</v>
      </c>
      <c r="AY249" s="182"/>
      <c r="AZ249" s="143"/>
    </row>
    <row r="250" spans="1:52" s="137" customFormat="1" ht="27" customHeight="1" x14ac:dyDescent="0.25">
      <c r="A250" s="80" t="s">
        <v>247</v>
      </c>
      <c r="B250" s="90" t="str">
        <f t="shared" si="116"/>
        <v>O5</v>
      </c>
      <c r="C250" s="127" t="s">
        <v>251</v>
      </c>
      <c r="D250" s="86"/>
      <c r="E250" s="86" t="s">
        <v>131</v>
      </c>
      <c r="F250" s="112" t="s">
        <v>132</v>
      </c>
      <c r="G250" s="179"/>
      <c r="H250" s="179"/>
      <c r="I250" s="111"/>
      <c r="J250" s="111"/>
      <c r="K250" s="111">
        <v>-500</v>
      </c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69"/>
      <c r="Y250" s="169"/>
      <c r="Z250" s="169"/>
      <c r="AA250" s="169"/>
      <c r="AB250" s="169"/>
      <c r="AC250" s="169"/>
      <c r="AD250" s="169"/>
      <c r="AE250" s="169"/>
      <c r="AF250" s="169"/>
      <c r="AG250" s="169"/>
      <c r="AH250" s="169"/>
      <c r="AI250" s="169"/>
      <c r="AJ250" s="169"/>
      <c r="AK250" s="169"/>
      <c r="AL250" s="169"/>
      <c r="AM250" s="169"/>
      <c r="AN250" s="169"/>
      <c r="AO250" s="169"/>
      <c r="AP250" s="169"/>
      <c r="AQ250" s="169"/>
      <c r="AR250" s="169"/>
      <c r="AS250" s="169"/>
      <c r="AT250" s="169"/>
      <c r="AU250" s="136" t="s">
        <v>375</v>
      </c>
      <c r="AV250" s="136">
        <f t="shared" si="118"/>
        <v>5</v>
      </c>
      <c r="AW250" s="175"/>
      <c r="AX250" s="175" t="s">
        <v>322</v>
      </c>
      <c r="AY250" s="182"/>
      <c r="AZ250" s="143"/>
    </row>
    <row r="251" spans="1:52" s="137" customFormat="1" ht="18.75" customHeight="1" x14ac:dyDescent="0.25">
      <c r="A251" s="80" t="s">
        <v>247</v>
      </c>
      <c r="B251" s="90" t="str">
        <f t="shared" si="116"/>
        <v>O6</v>
      </c>
      <c r="C251" s="127" t="s">
        <v>252</v>
      </c>
      <c r="D251" s="86"/>
      <c r="E251" s="86" t="s">
        <v>131</v>
      </c>
      <c r="F251" s="112" t="s">
        <v>132</v>
      </c>
      <c r="G251" s="180"/>
      <c r="H251" s="180"/>
      <c r="I251" s="111"/>
      <c r="J251" s="111">
        <v>2000</v>
      </c>
      <c r="K251" s="111">
        <v>800</v>
      </c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N251" s="169"/>
      <c r="AO251" s="169"/>
      <c r="AP251" s="169"/>
      <c r="AQ251" s="169"/>
      <c r="AR251" s="169"/>
      <c r="AS251" s="169"/>
      <c r="AT251" s="169"/>
      <c r="AU251" s="136" t="s">
        <v>375</v>
      </c>
      <c r="AV251" s="136">
        <f>AV250+1</f>
        <v>6</v>
      </c>
      <c r="AW251" s="175">
        <f>IF(F251="VEDTATT","VEDTATT",0)</f>
        <v>0</v>
      </c>
      <c r="AX251" s="175" t="str">
        <f>IF(F251="MÅ","Nye tiltak",0)</f>
        <v>Nye tiltak</v>
      </c>
      <c r="AY251" s="182"/>
      <c r="AZ251" s="143"/>
    </row>
    <row r="252" spans="1:52" s="137" customFormat="1" ht="28.5" customHeight="1" x14ac:dyDescent="0.25">
      <c r="A252" s="80" t="s">
        <v>247</v>
      </c>
      <c r="B252" s="90" t="str">
        <f t="shared" si="116"/>
        <v>O7</v>
      </c>
      <c r="C252" s="127" t="s">
        <v>253</v>
      </c>
      <c r="D252" s="86"/>
      <c r="E252" s="86" t="s">
        <v>131</v>
      </c>
      <c r="F252" s="112" t="s">
        <v>132</v>
      </c>
      <c r="G252" s="180"/>
      <c r="H252" s="180"/>
      <c r="I252" s="111"/>
      <c r="J252" s="111"/>
      <c r="K252" s="111">
        <v>-800</v>
      </c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  <c r="AQ252" s="169"/>
      <c r="AR252" s="169"/>
      <c r="AS252" s="169"/>
      <c r="AT252" s="169"/>
      <c r="AU252" s="136" t="s">
        <v>375</v>
      </c>
      <c r="AV252" s="136">
        <f t="shared" si="118"/>
        <v>7</v>
      </c>
      <c r="AW252" s="175"/>
      <c r="AX252" s="175" t="s">
        <v>322</v>
      </c>
      <c r="AY252" s="182"/>
      <c r="AZ252" s="143"/>
    </row>
    <row r="253" spans="1:52" s="137" customFormat="1" ht="29.25" customHeight="1" x14ac:dyDescent="0.25">
      <c r="A253" s="80" t="s">
        <v>247</v>
      </c>
      <c r="B253" s="90" t="str">
        <f t="shared" si="116"/>
        <v>O8</v>
      </c>
      <c r="C253" s="127" t="s">
        <v>254</v>
      </c>
      <c r="D253" s="86"/>
      <c r="E253" s="86" t="s">
        <v>131</v>
      </c>
      <c r="F253" s="112" t="s">
        <v>132</v>
      </c>
      <c r="G253" s="180"/>
      <c r="H253" s="180"/>
      <c r="I253" s="111"/>
      <c r="J253" s="111">
        <v>-2000</v>
      </c>
      <c r="K253" s="111">
        <v>300</v>
      </c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N253" s="169"/>
      <c r="AO253" s="169"/>
      <c r="AP253" s="169"/>
      <c r="AQ253" s="169"/>
      <c r="AR253" s="169"/>
      <c r="AS253" s="169"/>
      <c r="AT253" s="169"/>
      <c r="AU253" s="136" t="s">
        <v>375</v>
      </c>
      <c r="AV253" s="136">
        <f t="shared" si="118"/>
        <v>8</v>
      </c>
      <c r="AW253" s="175">
        <f>IF(F253="VEDTATT","VEDTATT",0)</f>
        <v>0</v>
      </c>
      <c r="AX253" s="175" t="str">
        <f>IF(F253="MÅ","Nye tiltak",0)</f>
        <v>Nye tiltak</v>
      </c>
      <c r="AY253" s="182"/>
      <c r="AZ253" s="143"/>
    </row>
    <row r="254" spans="1:52" s="137" customFormat="1" ht="29.25" customHeight="1" x14ac:dyDescent="0.25">
      <c r="A254" s="80" t="s">
        <v>247</v>
      </c>
      <c r="B254" s="90" t="str">
        <f t="shared" si="116"/>
        <v>O9</v>
      </c>
      <c r="C254" s="127" t="s">
        <v>255</v>
      </c>
      <c r="D254" s="86"/>
      <c r="E254" s="86" t="s">
        <v>131</v>
      </c>
      <c r="F254" s="112" t="s">
        <v>132</v>
      </c>
      <c r="G254" s="180"/>
      <c r="H254" s="180"/>
      <c r="I254" s="111"/>
      <c r="J254" s="111"/>
      <c r="K254" s="111">
        <v>-300</v>
      </c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9"/>
      <c r="AK254" s="169"/>
      <c r="AL254" s="169"/>
      <c r="AM254" s="169"/>
      <c r="AN254" s="169"/>
      <c r="AO254" s="169"/>
      <c r="AP254" s="169"/>
      <c r="AQ254" s="169"/>
      <c r="AR254" s="169"/>
      <c r="AS254" s="169"/>
      <c r="AT254" s="169"/>
      <c r="AU254" s="136" t="s">
        <v>375</v>
      </c>
      <c r="AV254" s="136">
        <f t="shared" si="118"/>
        <v>9</v>
      </c>
      <c r="AW254" s="175"/>
      <c r="AX254" s="175" t="s">
        <v>322</v>
      </c>
      <c r="AY254" s="182"/>
      <c r="AZ254" s="143"/>
    </row>
    <row r="255" spans="1:52" s="137" customFormat="1" ht="18.75" customHeight="1" x14ac:dyDescent="0.25">
      <c r="A255" s="80" t="s">
        <v>247</v>
      </c>
      <c r="B255" s="90" t="str">
        <f t="shared" si="116"/>
        <v>O10</v>
      </c>
      <c r="C255" s="127" t="s">
        <v>256</v>
      </c>
      <c r="D255" s="86"/>
      <c r="E255" s="86" t="s">
        <v>131</v>
      </c>
      <c r="F255" s="112" t="s">
        <v>132</v>
      </c>
      <c r="G255" s="179"/>
      <c r="H255" s="179"/>
      <c r="I255" s="111"/>
      <c r="J255" s="111">
        <v>400</v>
      </c>
      <c r="K255" s="111">
        <v>800</v>
      </c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9"/>
      <c r="AK255" s="169"/>
      <c r="AL255" s="169"/>
      <c r="AM255" s="169"/>
      <c r="AN255" s="169"/>
      <c r="AO255" s="169"/>
      <c r="AP255" s="169"/>
      <c r="AQ255" s="169"/>
      <c r="AR255" s="169"/>
      <c r="AS255" s="169"/>
      <c r="AT255" s="169"/>
      <c r="AU255" s="136" t="s">
        <v>375</v>
      </c>
      <c r="AV255" s="136">
        <f t="shared" si="118"/>
        <v>10</v>
      </c>
      <c r="AW255" s="175">
        <f>IF(F255="VEDTATT","VEDTATT",0)</f>
        <v>0</v>
      </c>
      <c r="AX255" s="175" t="str">
        <f>IF(F255="MÅ","Nye tiltak",0)</f>
        <v>Nye tiltak</v>
      </c>
      <c r="AY255" s="182"/>
      <c r="AZ255" s="143"/>
    </row>
    <row r="256" spans="1:52" s="137" customFormat="1" ht="27.75" customHeight="1" x14ac:dyDescent="0.25">
      <c r="A256" s="80" t="s">
        <v>247</v>
      </c>
      <c r="B256" s="90" t="str">
        <f t="shared" si="116"/>
        <v>O11</v>
      </c>
      <c r="C256" s="127" t="s">
        <v>257</v>
      </c>
      <c r="D256" s="86"/>
      <c r="E256" s="86" t="s">
        <v>131</v>
      </c>
      <c r="F256" s="112" t="s">
        <v>132</v>
      </c>
      <c r="G256" s="179"/>
      <c r="H256" s="179"/>
      <c r="I256" s="111"/>
      <c r="J256" s="111"/>
      <c r="K256" s="111">
        <v>-800</v>
      </c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169"/>
      <c r="AT256" s="169"/>
      <c r="AU256" s="136" t="s">
        <v>375</v>
      </c>
      <c r="AV256" s="136">
        <f t="shared" si="118"/>
        <v>11</v>
      </c>
      <c r="AW256" s="175"/>
      <c r="AX256" s="175" t="s">
        <v>322</v>
      </c>
      <c r="AY256" s="182"/>
      <c r="AZ256" s="143"/>
    </row>
    <row r="257" spans="1:52" s="137" customFormat="1" ht="18.75" customHeight="1" x14ac:dyDescent="0.25">
      <c r="A257" s="80" t="s">
        <v>247</v>
      </c>
      <c r="B257" s="90" t="str">
        <f t="shared" si="116"/>
        <v>O12</v>
      </c>
      <c r="C257" s="127" t="s">
        <v>258</v>
      </c>
      <c r="D257" s="86"/>
      <c r="E257" s="86" t="s">
        <v>131</v>
      </c>
      <c r="F257" s="112" t="s">
        <v>132</v>
      </c>
      <c r="G257" s="179"/>
      <c r="H257" s="179"/>
      <c r="I257" s="111"/>
      <c r="J257" s="111"/>
      <c r="K257" s="111">
        <v>350</v>
      </c>
      <c r="L257" s="111">
        <f>K257</f>
        <v>350</v>
      </c>
      <c r="M257" s="111">
        <f>L257</f>
        <v>350</v>
      </c>
      <c r="N257" s="111">
        <f>M257</f>
        <v>350</v>
      </c>
      <c r="O257" s="84">
        <f>N257</f>
        <v>350</v>
      </c>
      <c r="P257" s="84">
        <f t="shared" ref="P257:W261" si="119">O257</f>
        <v>350</v>
      </c>
      <c r="Q257" s="84">
        <f t="shared" si="119"/>
        <v>350</v>
      </c>
      <c r="R257" s="84">
        <f t="shared" si="119"/>
        <v>350</v>
      </c>
      <c r="S257" s="84">
        <f t="shared" si="119"/>
        <v>350</v>
      </c>
      <c r="T257" s="84">
        <f t="shared" si="119"/>
        <v>350</v>
      </c>
      <c r="U257" s="84">
        <f t="shared" si="119"/>
        <v>350</v>
      </c>
      <c r="V257" s="84">
        <f t="shared" si="119"/>
        <v>350</v>
      </c>
      <c r="W257" s="84">
        <f t="shared" si="119"/>
        <v>350</v>
      </c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9"/>
      <c r="AK257" s="169"/>
      <c r="AL257" s="169"/>
      <c r="AM257" s="169"/>
      <c r="AN257" s="169"/>
      <c r="AO257" s="169"/>
      <c r="AP257" s="169"/>
      <c r="AQ257" s="169"/>
      <c r="AR257" s="169"/>
      <c r="AS257" s="169"/>
      <c r="AT257" s="169"/>
      <c r="AU257" s="136" t="s">
        <v>375</v>
      </c>
      <c r="AV257" s="136">
        <f>AV256+1</f>
        <v>12</v>
      </c>
      <c r="AW257" s="175"/>
      <c r="AX257" s="175"/>
      <c r="AY257" s="182"/>
      <c r="AZ257" s="143"/>
    </row>
    <row r="258" spans="1:52" s="137" customFormat="1" ht="18.75" customHeight="1" x14ac:dyDescent="0.25">
      <c r="A258" s="80" t="s">
        <v>247</v>
      </c>
      <c r="B258" s="90" t="str">
        <f t="shared" si="116"/>
        <v>O13</v>
      </c>
      <c r="C258" s="127" t="s">
        <v>259</v>
      </c>
      <c r="D258" s="86"/>
      <c r="E258" s="86" t="s">
        <v>131</v>
      </c>
      <c r="F258" s="112" t="s">
        <v>132</v>
      </c>
      <c r="G258" s="179"/>
      <c r="H258" s="179"/>
      <c r="I258" s="111"/>
      <c r="J258" s="111"/>
      <c r="K258" s="111">
        <v>150</v>
      </c>
      <c r="L258" s="111">
        <v>150</v>
      </c>
      <c r="M258" s="111">
        <v>150</v>
      </c>
      <c r="N258" s="111">
        <v>150</v>
      </c>
      <c r="O258" s="84">
        <f>N258</f>
        <v>150</v>
      </c>
      <c r="P258" s="84">
        <f t="shared" si="119"/>
        <v>150</v>
      </c>
      <c r="Q258" s="84">
        <f t="shared" si="119"/>
        <v>150</v>
      </c>
      <c r="R258" s="84">
        <f t="shared" si="119"/>
        <v>150</v>
      </c>
      <c r="S258" s="84">
        <f t="shared" si="119"/>
        <v>150</v>
      </c>
      <c r="T258" s="84">
        <f t="shared" si="119"/>
        <v>150</v>
      </c>
      <c r="U258" s="84">
        <f t="shared" si="119"/>
        <v>150</v>
      </c>
      <c r="V258" s="84">
        <f t="shared" si="119"/>
        <v>150</v>
      </c>
      <c r="W258" s="84">
        <f t="shared" si="119"/>
        <v>150</v>
      </c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  <c r="AJ258" s="169"/>
      <c r="AK258" s="169"/>
      <c r="AL258" s="169"/>
      <c r="AM258" s="169"/>
      <c r="AN258" s="169"/>
      <c r="AO258" s="169"/>
      <c r="AP258" s="169"/>
      <c r="AQ258" s="169"/>
      <c r="AR258" s="169"/>
      <c r="AS258" s="169"/>
      <c r="AT258" s="169"/>
      <c r="AU258" s="136" t="s">
        <v>375</v>
      </c>
      <c r="AV258" s="136">
        <f t="shared" si="118"/>
        <v>13</v>
      </c>
      <c r="AW258" s="175"/>
      <c r="AX258" s="175"/>
      <c r="AY258" s="182"/>
      <c r="AZ258" s="143"/>
    </row>
    <row r="259" spans="1:52" s="137" customFormat="1" ht="18.75" customHeight="1" x14ac:dyDescent="0.25">
      <c r="A259" s="80" t="s">
        <v>247</v>
      </c>
      <c r="B259" s="90" t="str">
        <f t="shared" si="116"/>
        <v>O14</v>
      </c>
      <c r="C259" s="127" t="s">
        <v>260</v>
      </c>
      <c r="D259" s="86"/>
      <c r="E259" s="86" t="s">
        <v>131</v>
      </c>
      <c r="F259" s="112" t="s">
        <v>132</v>
      </c>
      <c r="G259" s="179"/>
      <c r="H259" s="179"/>
      <c r="I259" s="111"/>
      <c r="J259" s="111">
        <v>125</v>
      </c>
      <c r="K259" s="111">
        <v>910</v>
      </c>
      <c r="L259" s="111">
        <v>910</v>
      </c>
      <c r="M259" s="111">
        <v>910</v>
      </c>
      <c r="N259" s="111">
        <v>910</v>
      </c>
      <c r="O259" s="84">
        <f>N259</f>
        <v>910</v>
      </c>
      <c r="P259" s="84">
        <f t="shared" si="119"/>
        <v>910</v>
      </c>
      <c r="Q259" s="84">
        <f t="shared" si="119"/>
        <v>910</v>
      </c>
      <c r="R259" s="84">
        <f t="shared" si="119"/>
        <v>910</v>
      </c>
      <c r="S259" s="84">
        <f t="shared" si="119"/>
        <v>910</v>
      </c>
      <c r="T259" s="84">
        <f t="shared" si="119"/>
        <v>910</v>
      </c>
      <c r="U259" s="84">
        <f t="shared" si="119"/>
        <v>910</v>
      </c>
      <c r="V259" s="84">
        <f t="shared" si="119"/>
        <v>910</v>
      </c>
      <c r="W259" s="84">
        <f t="shared" si="119"/>
        <v>910</v>
      </c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N259" s="169"/>
      <c r="AO259" s="169"/>
      <c r="AP259" s="169"/>
      <c r="AQ259" s="169"/>
      <c r="AR259" s="169"/>
      <c r="AS259" s="169"/>
      <c r="AT259" s="169"/>
      <c r="AU259" s="136" t="s">
        <v>375</v>
      </c>
      <c r="AV259" s="136">
        <f>AV258+1</f>
        <v>14</v>
      </c>
      <c r="AW259" s="175">
        <f t="shared" ref="AW259:AW264" si="120">IF(F259="VEDTATT","VEDTATT",0)</f>
        <v>0</v>
      </c>
      <c r="AX259" s="175" t="str">
        <f t="shared" ref="AX259:AX264" si="121">IF(F259="MÅ","Nye tiltak",0)</f>
        <v>Nye tiltak</v>
      </c>
      <c r="AY259" s="182"/>
      <c r="AZ259" s="143"/>
    </row>
    <row r="260" spans="1:52" s="137" customFormat="1" ht="26.25" customHeight="1" x14ac:dyDescent="0.25">
      <c r="A260" s="80" t="s">
        <v>247</v>
      </c>
      <c r="B260" s="90" t="str">
        <f t="shared" si="116"/>
        <v>O15</v>
      </c>
      <c r="C260" s="129" t="s">
        <v>261</v>
      </c>
      <c r="D260" s="86"/>
      <c r="E260" s="86" t="s">
        <v>131</v>
      </c>
      <c r="F260" s="112" t="s">
        <v>132</v>
      </c>
      <c r="G260" s="111"/>
      <c r="H260" s="111"/>
      <c r="I260" s="111"/>
      <c r="J260" s="111"/>
      <c r="K260" s="111">
        <v>600</v>
      </c>
      <c r="L260" s="111">
        <v>600</v>
      </c>
      <c r="M260" s="111">
        <v>600</v>
      </c>
      <c r="N260" s="111">
        <v>600</v>
      </c>
      <c r="O260" s="84">
        <f>N260</f>
        <v>600</v>
      </c>
      <c r="P260" s="84">
        <f t="shared" si="119"/>
        <v>600</v>
      </c>
      <c r="Q260" s="84">
        <f t="shared" si="119"/>
        <v>600</v>
      </c>
      <c r="R260" s="84">
        <f t="shared" si="119"/>
        <v>600</v>
      </c>
      <c r="S260" s="84">
        <f t="shared" si="119"/>
        <v>600</v>
      </c>
      <c r="T260" s="84">
        <f t="shared" si="119"/>
        <v>600</v>
      </c>
      <c r="U260" s="84">
        <f t="shared" si="119"/>
        <v>600</v>
      </c>
      <c r="V260" s="84">
        <f t="shared" si="119"/>
        <v>600</v>
      </c>
      <c r="W260" s="84">
        <f t="shared" si="119"/>
        <v>600</v>
      </c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169"/>
      <c r="AT260" s="169"/>
      <c r="AU260" s="136" t="s">
        <v>375</v>
      </c>
      <c r="AV260" s="136">
        <f>AV259+1</f>
        <v>15</v>
      </c>
      <c r="AW260" s="175">
        <f t="shared" si="120"/>
        <v>0</v>
      </c>
      <c r="AX260" s="175" t="str">
        <f t="shared" si="121"/>
        <v>Nye tiltak</v>
      </c>
      <c r="AY260" s="182"/>
      <c r="AZ260" s="143"/>
    </row>
    <row r="261" spans="1:52" s="137" customFormat="1" ht="18.75" customHeight="1" x14ac:dyDescent="0.25">
      <c r="A261" s="80" t="s">
        <v>247</v>
      </c>
      <c r="B261" s="90" t="str">
        <f t="shared" si="116"/>
        <v>O16</v>
      </c>
      <c r="C261" s="129" t="s">
        <v>483</v>
      </c>
      <c r="D261" s="86"/>
      <c r="E261" s="86" t="s">
        <v>131</v>
      </c>
      <c r="F261" s="112" t="s">
        <v>132</v>
      </c>
      <c r="G261" s="111"/>
      <c r="H261" s="111"/>
      <c r="I261" s="111"/>
      <c r="J261" s="111"/>
      <c r="K261" s="130">
        <v>-334</v>
      </c>
      <c r="L261" s="130">
        <v>-334</v>
      </c>
      <c r="M261" s="130">
        <v>-334</v>
      </c>
      <c r="N261" s="130">
        <v>-334</v>
      </c>
      <c r="O261" s="84">
        <f>N261</f>
        <v>-334</v>
      </c>
      <c r="P261" s="84">
        <f t="shared" si="119"/>
        <v>-334</v>
      </c>
      <c r="Q261" s="84">
        <f t="shared" si="119"/>
        <v>-334</v>
      </c>
      <c r="R261" s="84">
        <f t="shared" si="119"/>
        <v>-334</v>
      </c>
      <c r="S261" s="84">
        <f t="shared" si="119"/>
        <v>-334</v>
      </c>
      <c r="T261" s="84">
        <f t="shared" si="119"/>
        <v>-334</v>
      </c>
      <c r="U261" s="84">
        <f t="shared" si="119"/>
        <v>-334</v>
      </c>
      <c r="V261" s="84">
        <f t="shared" si="119"/>
        <v>-334</v>
      </c>
      <c r="W261" s="84">
        <f t="shared" si="119"/>
        <v>-334</v>
      </c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  <c r="AQ261" s="169"/>
      <c r="AR261" s="169"/>
      <c r="AS261" s="169"/>
      <c r="AT261" s="169"/>
      <c r="AU261" s="136" t="s">
        <v>375</v>
      </c>
      <c r="AV261" s="136">
        <f>AV260+1</f>
        <v>16</v>
      </c>
      <c r="AW261" s="175">
        <f t="shared" si="120"/>
        <v>0</v>
      </c>
      <c r="AX261" s="175" t="str">
        <f t="shared" si="121"/>
        <v>Nye tiltak</v>
      </c>
      <c r="AY261" s="182"/>
      <c r="AZ261" s="143"/>
    </row>
    <row r="262" spans="1:52" s="137" customFormat="1" ht="18.75" customHeight="1" x14ac:dyDescent="0.25">
      <c r="A262" s="96"/>
      <c r="B262" s="57" t="s">
        <v>141</v>
      </c>
      <c r="C262" s="38" t="s">
        <v>262</v>
      </c>
      <c r="D262" s="96"/>
      <c r="E262" s="96"/>
      <c r="F262" s="96"/>
      <c r="G262" s="96"/>
      <c r="H262" s="96">
        <f t="shared" ref="H262:W262" si="122">SUMIF($A:$A,"ORG",H:H)</f>
        <v>0</v>
      </c>
      <c r="I262" s="106">
        <f t="shared" si="122"/>
        <v>500</v>
      </c>
      <c r="J262" s="106">
        <f t="shared" si="122"/>
        <v>795</v>
      </c>
      <c r="K262" s="106">
        <f t="shared" si="122"/>
        <v>1844</v>
      </c>
      <c r="L262" s="106">
        <f t="shared" si="122"/>
        <v>2304</v>
      </c>
      <c r="M262" s="106">
        <f t="shared" si="122"/>
        <v>1814</v>
      </c>
      <c r="N262" s="106">
        <f t="shared" si="122"/>
        <v>864</v>
      </c>
      <c r="O262" s="106">
        <f t="shared" si="122"/>
        <v>864</v>
      </c>
      <c r="P262" s="106">
        <f t="shared" si="122"/>
        <v>864</v>
      </c>
      <c r="Q262" s="106">
        <f t="shared" si="122"/>
        <v>864</v>
      </c>
      <c r="R262" s="106">
        <f t="shared" si="122"/>
        <v>864</v>
      </c>
      <c r="S262" s="106">
        <f t="shared" si="122"/>
        <v>864</v>
      </c>
      <c r="T262" s="106">
        <f t="shared" si="122"/>
        <v>864</v>
      </c>
      <c r="U262" s="106">
        <f t="shared" si="122"/>
        <v>864</v>
      </c>
      <c r="V262" s="106">
        <f t="shared" si="122"/>
        <v>864</v>
      </c>
      <c r="W262" s="106">
        <f t="shared" si="122"/>
        <v>864</v>
      </c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  <c r="AH262" s="169"/>
      <c r="AI262" s="169"/>
      <c r="AJ262" s="169"/>
      <c r="AK262" s="169"/>
      <c r="AL262" s="169"/>
      <c r="AM262" s="169"/>
      <c r="AN262" s="169"/>
      <c r="AO262" s="169"/>
      <c r="AP262" s="169"/>
      <c r="AQ262" s="169"/>
      <c r="AR262" s="169"/>
      <c r="AS262" s="169"/>
      <c r="AT262" s="169"/>
      <c r="AW262" s="175">
        <f t="shared" si="120"/>
        <v>0</v>
      </c>
      <c r="AX262" s="175">
        <f t="shared" si="121"/>
        <v>0</v>
      </c>
      <c r="AY262" s="182"/>
      <c r="AZ262" s="143"/>
    </row>
    <row r="263" spans="1:52" s="137" customFormat="1" ht="18.75" customHeight="1" x14ac:dyDescent="0.25">
      <c r="A263" s="80"/>
      <c r="B263" s="97"/>
      <c r="C263" s="144"/>
      <c r="D263" s="98"/>
      <c r="E263" s="98"/>
      <c r="F263" s="98"/>
      <c r="G263" s="44"/>
      <c r="H263" s="44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  <c r="AJ263" s="169"/>
      <c r="AK263" s="169"/>
      <c r="AL263" s="169"/>
      <c r="AM263" s="169"/>
      <c r="AN263" s="169"/>
      <c r="AO263" s="169"/>
      <c r="AP263" s="169"/>
      <c r="AQ263" s="169"/>
      <c r="AR263" s="169"/>
      <c r="AS263" s="169"/>
      <c r="AT263" s="169"/>
      <c r="AU263" s="136"/>
      <c r="AV263" s="136"/>
      <c r="AW263" s="175">
        <f t="shared" si="120"/>
        <v>0</v>
      </c>
      <c r="AX263" s="175">
        <f t="shared" si="121"/>
        <v>0</v>
      </c>
      <c r="AY263" s="182"/>
      <c r="AZ263" s="143"/>
    </row>
    <row r="264" spans="1:52" s="137" customFormat="1" ht="18.75" customHeight="1" x14ac:dyDescent="0.25">
      <c r="A264" s="80"/>
      <c r="B264" s="202"/>
      <c r="C264" s="123" t="s">
        <v>263</v>
      </c>
      <c r="D264" s="121"/>
      <c r="E264" s="121"/>
      <c r="F264" s="112"/>
      <c r="G264" s="128"/>
      <c r="H264" s="128"/>
      <c r="I264" s="124"/>
      <c r="J264" s="124"/>
      <c r="K264" s="124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9"/>
      <c r="AK264" s="169"/>
      <c r="AL264" s="169"/>
      <c r="AM264" s="169"/>
      <c r="AN264" s="169"/>
      <c r="AO264" s="169"/>
      <c r="AP264" s="169"/>
      <c r="AQ264" s="169"/>
      <c r="AR264" s="169"/>
      <c r="AS264" s="169"/>
      <c r="AT264" s="169"/>
      <c r="AU264" s="160"/>
      <c r="AV264" s="160"/>
      <c r="AW264" s="175">
        <f t="shared" si="120"/>
        <v>0</v>
      </c>
      <c r="AX264" s="175">
        <f t="shared" si="121"/>
        <v>0</v>
      </c>
      <c r="AY264" s="182"/>
      <c r="AZ264" s="143"/>
    </row>
    <row r="265" spans="1:52" s="137" customFormat="1" ht="18.75" customHeight="1" x14ac:dyDescent="0.25">
      <c r="A265" s="80" t="s">
        <v>264</v>
      </c>
      <c r="B265" s="90" t="str">
        <f>IF(AV265,AU265&amp;AV265,"")</f>
        <v>Ø1</v>
      </c>
      <c r="C265" s="129" t="s">
        <v>130</v>
      </c>
      <c r="D265" s="86"/>
      <c r="E265" s="86" t="s">
        <v>131</v>
      </c>
      <c r="F265" s="112" t="s">
        <v>132</v>
      </c>
      <c r="G265" s="180"/>
      <c r="H265" s="180"/>
      <c r="I265" s="111"/>
      <c r="J265" s="111"/>
      <c r="K265" s="111"/>
      <c r="L265" s="111">
        <v>-230</v>
      </c>
      <c r="M265" s="111">
        <v>-460</v>
      </c>
      <c r="N265" s="111">
        <v>-460</v>
      </c>
      <c r="O265" s="84">
        <f>N265</f>
        <v>-460</v>
      </c>
      <c r="P265" s="84">
        <f t="shared" ref="P265:W266" si="123">O265</f>
        <v>-460</v>
      </c>
      <c r="Q265" s="84">
        <f t="shared" si="123"/>
        <v>-460</v>
      </c>
      <c r="R265" s="84">
        <f t="shared" si="123"/>
        <v>-460</v>
      </c>
      <c r="S265" s="84">
        <f t="shared" si="123"/>
        <v>-460</v>
      </c>
      <c r="T265" s="84">
        <f t="shared" si="123"/>
        <v>-460</v>
      </c>
      <c r="U265" s="84">
        <f t="shared" si="123"/>
        <v>-460</v>
      </c>
      <c r="V265" s="84">
        <f t="shared" si="123"/>
        <v>-460</v>
      </c>
      <c r="W265" s="84">
        <f t="shared" si="123"/>
        <v>-460</v>
      </c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69"/>
      <c r="AK265" s="169"/>
      <c r="AL265" s="169"/>
      <c r="AM265" s="169"/>
      <c r="AN265" s="169"/>
      <c r="AO265" s="169"/>
      <c r="AP265" s="169"/>
      <c r="AQ265" s="169"/>
      <c r="AR265" s="169"/>
      <c r="AS265" s="169"/>
      <c r="AT265" s="169"/>
      <c r="AU265" s="136" t="s">
        <v>376</v>
      </c>
      <c r="AV265" s="136">
        <v>1</v>
      </c>
      <c r="AW265" s="175"/>
      <c r="AX265" s="175"/>
      <c r="AY265" s="182"/>
      <c r="AZ265" s="143"/>
    </row>
    <row r="266" spans="1:52" s="137" customFormat="1" ht="18.75" customHeight="1" x14ac:dyDescent="0.25">
      <c r="A266" s="80" t="s">
        <v>264</v>
      </c>
      <c r="B266" s="90" t="str">
        <f>IF(AV266,AU266&amp;AV266,"")</f>
        <v>Ø2</v>
      </c>
      <c r="C266" s="129" t="s">
        <v>265</v>
      </c>
      <c r="D266" s="86"/>
      <c r="E266" s="86" t="s">
        <v>131</v>
      </c>
      <c r="F266" s="112" t="s">
        <v>132</v>
      </c>
      <c r="G266" s="179"/>
      <c r="H266" s="179"/>
      <c r="I266" s="111"/>
      <c r="J266" s="111"/>
      <c r="K266" s="111">
        <v>700</v>
      </c>
      <c r="L266" s="111">
        <v>700</v>
      </c>
      <c r="M266" s="111">
        <v>700</v>
      </c>
      <c r="N266" s="111">
        <v>700</v>
      </c>
      <c r="O266" s="84">
        <f>N266</f>
        <v>700</v>
      </c>
      <c r="P266" s="84">
        <f t="shared" si="123"/>
        <v>700</v>
      </c>
      <c r="Q266" s="84">
        <f t="shared" si="123"/>
        <v>700</v>
      </c>
      <c r="R266" s="84">
        <f t="shared" si="123"/>
        <v>700</v>
      </c>
      <c r="S266" s="84">
        <f t="shared" si="123"/>
        <v>700</v>
      </c>
      <c r="T266" s="84">
        <f t="shared" si="123"/>
        <v>700</v>
      </c>
      <c r="U266" s="84">
        <f t="shared" si="123"/>
        <v>700</v>
      </c>
      <c r="V266" s="84">
        <f t="shared" si="123"/>
        <v>700</v>
      </c>
      <c r="W266" s="84">
        <f t="shared" si="123"/>
        <v>700</v>
      </c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  <c r="AQ266" s="169"/>
      <c r="AR266" s="169"/>
      <c r="AS266" s="169"/>
      <c r="AT266" s="169"/>
      <c r="AU266" s="136" t="s">
        <v>376</v>
      </c>
      <c r="AV266" s="136">
        <v>2</v>
      </c>
      <c r="AW266" s="175"/>
      <c r="AX266" s="175"/>
      <c r="AY266" s="182"/>
      <c r="AZ266" s="143"/>
    </row>
    <row r="267" spans="1:52" s="137" customFormat="1" ht="25.5" x14ac:dyDescent="0.25">
      <c r="A267" s="80" t="s">
        <v>264</v>
      </c>
      <c r="B267" s="90" t="str">
        <f>IF(AV267,AU267&amp;AV267,"")</f>
        <v>Ø3</v>
      </c>
      <c r="C267" s="129" t="s">
        <v>266</v>
      </c>
      <c r="D267" s="86"/>
      <c r="E267" s="86" t="s">
        <v>131</v>
      </c>
      <c r="F267" s="112" t="s">
        <v>132</v>
      </c>
      <c r="G267" s="179"/>
      <c r="H267" s="179"/>
      <c r="I267" s="111"/>
      <c r="J267" s="111"/>
      <c r="K267" s="111">
        <v>-700</v>
      </c>
      <c r="L267" s="111">
        <v>-700</v>
      </c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69"/>
      <c r="AK267" s="169"/>
      <c r="AL267" s="169"/>
      <c r="AM267" s="169"/>
      <c r="AN267" s="169"/>
      <c r="AO267" s="169"/>
      <c r="AP267" s="169"/>
      <c r="AQ267" s="169"/>
      <c r="AR267" s="169"/>
      <c r="AS267" s="169"/>
      <c r="AT267" s="169"/>
      <c r="AU267" s="136" t="s">
        <v>376</v>
      </c>
      <c r="AV267" s="136">
        <v>3</v>
      </c>
      <c r="AW267" s="175">
        <f>IF(F266="VEDTATT","VEDTATT",0)</f>
        <v>0</v>
      </c>
      <c r="AX267" s="175" t="s">
        <v>322</v>
      </c>
      <c r="AY267" s="182"/>
      <c r="AZ267" s="143">
        <v>1</v>
      </c>
    </row>
    <row r="268" spans="1:52" s="137" customFormat="1" ht="39" customHeight="1" x14ac:dyDescent="0.25">
      <c r="A268" s="96"/>
      <c r="B268" s="57" t="s">
        <v>141</v>
      </c>
      <c r="C268" s="38" t="s">
        <v>267</v>
      </c>
      <c r="D268" s="96"/>
      <c r="E268" s="96"/>
      <c r="F268" s="96"/>
      <c r="G268" s="96"/>
      <c r="H268" s="96"/>
      <c r="I268" s="106">
        <f t="shared" ref="I268:W268" si="124">SUMIF($A:$A,"ØK",I:I)</f>
        <v>0</v>
      </c>
      <c r="J268" s="106">
        <f t="shared" si="124"/>
        <v>0</v>
      </c>
      <c r="K268" s="106">
        <f t="shared" si="124"/>
        <v>0</v>
      </c>
      <c r="L268" s="106">
        <f t="shared" si="124"/>
        <v>-230</v>
      </c>
      <c r="M268" s="106">
        <f t="shared" si="124"/>
        <v>240</v>
      </c>
      <c r="N268" s="106">
        <f t="shared" si="124"/>
        <v>240</v>
      </c>
      <c r="O268" s="106">
        <f t="shared" si="124"/>
        <v>240</v>
      </c>
      <c r="P268" s="106">
        <f t="shared" si="124"/>
        <v>240</v>
      </c>
      <c r="Q268" s="106">
        <f t="shared" si="124"/>
        <v>240</v>
      </c>
      <c r="R268" s="106">
        <f t="shared" si="124"/>
        <v>240</v>
      </c>
      <c r="S268" s="106">
        <f t="shared" si="124"/>
        <v>240</v>
      </c>
      <c r="T268" s="106">
        <f t="shared" si="124"/>
        <v>240</v>
      </c>
      <c r="U268" s="106">
        <f t="shared" si="124"/>
        <v>240</v>
      </c>
      <c r="V268" s="106">
        <f t="shared" si="124"/>
        <v>240</v>
      </c>
      <c r="W268" s="106">
        <f t="shared" si="124"/>
        <v>240</v>
      </c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69"/>
      <c r="AK268" s="169"/>
      <c r="AL268" s="169"/>
      <c r="AM268" s="169"/>
      <c r="AN268" s="169"/>
      <c r="AO268" s="169"/>
      <c r="AP268" s="169"/>
      <c r="AQ268" s="169"/>
      <c r="AR268" s="169"/>
      <c r="AS268" s="169"/>
      <c r="AT268" s="169"/>
      <c r="AU268" s="136"/>
      <c r="AV268" s="136"/>
      <c r="AW268" s="175">
        <f t="shared" ref="AW268:AW274" si="125">IF(F268="VEDTATT","VEDTATT",0)</f>
        <v>0</v>
      </c>
      <c r="AX268" s="175">
        <f t="shared" ref="AX268:AX274" si="126">IF(F268="MÅ","Nye tiltak",0)</f>
        <v>0</v>
      </c>
      <c r="AY268" s="182"/>
      <c r="AZ268" s="143"/>
    </row>
    <row r="269" spans="1:52" s="137" customFormat="1" ht="18.75" customHeight="1" x14ac:dyDescent="0.25">
      <c r="A269" s="86"/>
      <c r="B269" s="97"/>
      <c r="C269" s="144"/>
      <c r="D269" s="98"/>
      <c r="E269" s="98"/>
      <c r="F269" s="98"/>
      <c r="G269" s="98"/>
      <c r="H269" s="98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69"/>
      <c r="AK269" s="169"/>
      <c r="AL269" s="169"/>
      <c r="AM269" s="169"/>
      <c r="AN269" s="169"/>
      <c r="AO269" s="169"/>
      <c r="AP269" s="169"/>
      <c r="AQ269" s="169"/>
      <c r="AR269" s="169"/>
      <c r="AS269" s="169"/>
      <c r="AT269" s="169"/>
      <c r="AU269" s="136"/>
      <c r="AV269" s="136"/>
      <c r="AW269" s="175">
        <f t="shared" si="125"/>
        <v>0</v>
      </c>
      <c r="AX269" s="175">
        <f t="shared" si="126"/>
        <v>0</v>
      </c>
      <c r="AY269" s="182"/>
      <c r="AZ269" s="143"/>
    </row>
    <row r="270" spans="1:52" s="137" customFormat="1" ht="18.75" customHeight="1" x14ac:dyDescent="0.25">
      <c r="A270" s="86"/>
      <c r="B270" s="99"/>
      <c r="C270" s="100" t="s">
        <v>268</v>
      </c>
      <c r="D270" s="101"/>
      <c r="E270" s="101"/>
      <c r="F270" s="115"/>
      <c r="G270" s="102"/>
      <c r="H270" s="102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  <c r="AJ270" s="169"/>
      <c r="AK270" s="169"/>
      <c r="AL270" s="169"/>
      <c r="AM270" s="169"/>
      <c r="AN270" s="169"/>
      <c r="AO270" s="169"/>
      <c r="AP270" s="169"/>
      <c r="AQ270" s="169"/>
      <c r="AR270" s="169"/>
      <c r="AS270" s="169"/>
      <c r="AT270" s="169"/>
      <c r="AU270" s="160"/>
      <c r="AV270" s="160"/>
      <c r="AW270" s="175">
        <f t="shared" si="125"/>
        <v>0</v>
      </c>
      <c r="AX270" s="175">
        <f t="shared" si="126"/>
        <v>0</v>
      </c>
      <c r="AY270" s="182"/>
      <c r="AZ270" s="143"/>
    </row>
    <row r="271" spans="1:52" s="137" customFormat="1" ht="18.75" customHeight="1" x14ac:dyDescent="0.25">
      <c r="A271" s="86"/>
      <c r="B271" s="202"/>
      <c r="C271" s="119" t="s">
        <v>269</v>
      </c>
      <c r="D271" s="121"/>
      <c r="E271" s="121"/>
      <c r="F271" s="112"/>
      <c r="G271" s="128"/>
      <c r="H271" s="128"/>
      <c r="I271" s="124"/>
      <c r="J271" s="124"/>
      <c r="K271" s="124"/>
      <c r="L271" s="124"/>
      <c r="M271" s="124"/>
      <c r="N271" s="124"/>
      <c r="O271" s="124"/>
      <c r="P271" s="124"/>
      <c r="Q271" s="124"/>
      <c r="R271" s="124"/>
      <c r="S271" s="124"/>
      <c r="T271" s="124"/>
      <c r="U271" s="124"/>
      <c r="V271" s="124"/>
      <c r="W271" s="124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N271" s="169"/>
      <c r="AO271" s="169"/>
      <c r="AP271" s="169"/>
      <c r="AQ271" s="169"/>
      <c r="AR271" s="169"/>
      <c r="AS271" s="169"/>
      <c r="AT271" s="169"/>
      <c r="AU271" s="160"/>
      <c r="AV271" s="160"/>
      <c r="AW271" s="175">
        <f t="shared" si="125"/>
        <v>0</v>
      </c>
      <c r="AX271" s="175">
        <f t="shared" si="126"/>
        <v>0</v>
      </c>
      <c r="AY271" s="182"/>
      <c r="AZ271" s="143"/>
    </row>
    <row r="272" spans="1:52" s="137" customFormat="1" ht="18.75" customHeight="1" x14ac:dyDescent="0.25">
      <c r="A272" s="86" t="s">
        <v>270</v>
      </c>
      <c r="B272" s="90" t="str">
        <f t="shared" ref="B272:B315" si="127">IF(AV272,AU272&amp;AV272,"")</f>
        <v>F1</v>
      </c>
      <c r="C272" s="127" t="s">
        <v>271</v>
      </c>
      <c r="D272" s="86"/>
      <c r="E272" s="86" t="s">
        <v>124</v>
      </c>
      <c r="F272" s="112" t="s">
        <v>121</v>
      </c>
      <c r="G272" s="180"/>
      <c r="H272" s="180"/>
      <c r="I272" s="111">
        <v>1000</v>
      </c>
      <c r="J272" s="111">
        <v>420</v>
      </c>
      <c r="K272" s="111"/>
      <c r="L272" s="111"/>
      <c r="M272" s="111">
        <v>-420</v>
      </c>
      <c r="N272" s="111">
        <v>-420</v>
      </c>
      <c r="O272" s="84">
        <f>N272</f>
        <v>-420</v>
      </c>
      <c r="P272" s="84">
        <f t="shared" ref="P272:W274" si="128">O272</f>
        <v>-420</v>
      </c>
      <c r="Q272" s="84">
        <f t="shared" si="128"/>
        <v>-420</v>
      </c>
      <c r="R272" s="84">
        <f t="shared" si="128"/>
        <v>-420</v>
      </c>
      <c r="S272" s="84">
        <f t="shared" si="128"/>
        <v>-420</v>
      </c>
      <c r="T272" s="84">
        <f t="shared" si="128"/>
        <v>-420</v>
      </c>
      <c r="U272" s="84">
        <f t="shared" si="128"/>
        <v>-420</v>
      </c>
      <c r="V272" s="84">
        <f t="shared" si="128"/>
        <v>-420</v>
      </c>
      <c r="W272" s="84">
        <f t="shared" si="128"/>
        <v>-420</v>
      </c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69"/>
      <c r="AT272" s="169"/>
      <c r="AU272" s="136" t="s">
        <v>377</v>
      </c>
      <c r="AV272" s="136">
        <v>1</v>
      </c>
      <c r="AW272" s="175" t="str">
        <f t="shared" si="125"/>
        <v>VEDTATT</v>
      </c>
      <c r="AX272" s="175">
        <f t="shared" si="126"/>
        <v>0</v>
      </c>
      <c r="AY272" s="182"/>
      <c r="AZ272" s="143"/>
    </row>
    <row r="273" spans="1:52" s="137" customFormat="1" x14ac:dyDescent="0.25">
      <c r="A273" s="86" t="s">
        <v>270</v>
      </c>
      <c r="B273" s="90" t="str">
        <f t="shared" si="127"/>
        <v>F2</v>
      </c>
      <c r="C273" s="127" t="s">
        <v>129</v>
      </c>
      <c r="D273" s="86"/>
      <c r="E273" s="86" t="s">
        <v>124</v>
      </c>
      <c r="F273" s="112" t="s">
        <v>121</v>
      </c>
      <c r="G273" s="180"/>
      <c r="H273" s="180"/>
      <c r="I273" s="111">
        <v>-1000</v>
      </c>
      <c r="J273" s="111">
        <v>980</v>
      </c>
      <c r="K273" s="111"/>
      <c r="L273" s="111">
        <v>-1000</v>
      </c>
      <c r="M273" s="111">
        <v>-1910</v>
      </c>
      <c r="N273" s="111">
        <v>-1910</v>
      </c>
      <c r="O273" s="84">
        <f>N273</f>
        <v>-1910</v>
      </c>
      <c r="P273" s="84">
        <f t="shared" si="128"/>
        <v>-1910</v>
      </c>
      <c r="Q273" s="84">
        <f t="shared" si="128"/>
        <v>-1910</v>
      </c>
      <c r="R273" s="84">
        <f t="shared" si="128"/>
        <v>-1910</v>
      </c>
      <c r="S273" s="84">
        <f t="shared" si="128"/>
        <v>-1910</v>
      </c>
      <c r="T273" s="84">
        <f t="shared" si="128"/>
        <v>-1910</v>
      </c>
      <c r="U273" s="84">
        <f t="shared" si="128"/>
        <v>-1910</v>
      </c>
      <c r="V273" s="84">
        <f t="shared" si="128"/>
        <v>-1910</v>
      </c>
      <c r="W273" s="84">
        <f t="shared" si="128"/>
        <v>-1910</v>
      </c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N273" s="169"/>
      <c r="AO273" s="169"/>
      <c r="AP273" s="169"/>
      <c r="AQ273" s="169"/>
      <c r="AR273" s="169"/>
      <c r="AS273" s="169"/>
      <c r="AT273" s="169"/>
      <c r="AU273" s="136" t="s">
        <v>377</v>
      </c>
      <c r="AV273" s="136">
        <f>AV272+1</f>
        <v>2</v>
      </c>
      <c r="AW273" s="175" t="str">
        <f t="shared" si="125"/>
        <v>VEDTATT</v>
      </c>
      <c r="AX273" s="175">
        <f t="shared" si="126"/>
        <v>0</v>
      </c>
      <c r="AY273" s="182"/>
      <c r="AZ273" s="143"/>
    </row>
    <row r="274" spans="1:52" s="137" customFormat="1" ht="28.5" customHeight="1" x14ac:dyDescent="0.25">
      <c r="A274" s="86" t="s">
        <v>270</v>
      </c>
      <c r="B274" s="90" t="str">
        <f t="shared" si="127"/>
        <v>F3</v>
      </c>
      <c r="C274" s="127" t="s">
        <v>272</v>
      </c>
      <c r="D274" s="86"/>
      <c r="E274" s="86" t="s">
        <v>131</v>
      </c>
      <c r="F274" s="112" t="s">
        <v>132</v>
      </c>
      <c r="G274" s="179"/>
      <c r="H274" s="179"/>
      <c r="I274" s="111"/>
      <c r="J274" s="111">
        <v>175</v>
      </c>
      <c r="K274" s="111">
        <v>215</v>
      </c>
      <c r="L274" s="111">
        <v>55</v>
      </c>
      <c r="M274" s="111">
        <v>55</v>
      </c>
      <c r="N274" s="111">
        <v>55</v>
      </c>
      <c r="O274" s="84">
        <f>N274</f>
        <v>55</v>
      </c>
      <c r="P274" s="84">
        <f t="shared" si="128"/>
        <v>55</v>
      </c>
      <c r="Q274" s="84">
        <f t="shared" si="128"/>
        <v>55</v>
      </c>
      <c r="R274" s="84">
        <f t="shared" si="128"/>
        <v>55</v>
      </c>
      <c r="S274" s="84">
        <f t="shared" si="128"/>
        <v>55</v>
      </c>
      <c r="T274" s="84">
        <f t="shared" si="128"/>
        <v>55</v>
      </c>
      <c r="U274" s="84">
        <f t="shared" si="128"/>
        <v>55</v>
      </c>
      <c r="V274" s="84">
        <f t="shared" si="128"/>
        <v>55</v>
      </c>
      <c r="W274" s="84">
        <f t="shared" si="128"/>
        <v>55</v>
      </c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N274" s="169"/>
      <c r="AO274" s="169"/>
      <c r="AP274" s="169"/>
      <c r="AQ274" s="169"/>
      <c r="AR274" s="169"/>
      <c r="AS274" s="169"/>
      <c r="AT274" s="169"/>
      <c r="AU274" s="136" t="s">
        <v>377</v>
      </c>
      <c r="AV274" s="136">
        <f>AV273+1</f>
        <v>3</v>
      </c>
      <c r="AW274" s="175">
        <f t="shared" si="125"/>
        <v>0</v>
      </c>
      <c r="AX274" s="175" t="str">
        <f t="shared" si="126"/>
        <v>Nye tiltak</v>
      </c>
      <c r="AY274" s="182"/>
      <c r="AZ274" s="143"/>
    </row>
    <row r="275" spans="1:52" s="137" customFormat="1" ht="38.25" customHeight="1" x14ac:dyDescent="0.25">
      <c r="A275" s="86" t="s">
        <v>270</v>
      </c>
      <c r="B275" s="90" t="str">
        <f t="shared" si="127"/>
        <v>F4</v>
      </c>
      <c r="C275" s="127" t="s">
        <v>273</v>
      </c>
      <c r="D275" s="86"/>
      <c r="E275" s="86" t="s">
        <v>131</v>
      </c>
      <c r="F275" s="112" t="s">
        <v>132</v>
      </c>
      <c r="G275" s="179"/>
      <c r="H275" s="179"/>
      <c r="I275" s="111"/>
      <c r="J275" s="111">
        <v>175</v>
      </c>
      <c r="K275" s="111">
        <v>-215</v>
      </c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N275" s="169"/>
      <c r="AO275" s="169"/>
      <c r="AP275" s="169"/>
      <c r="AQ275" s="169"/>
      <c r="AR275" s="169"/>
      <c r="AS275" s="169"/>
      <c r="AT275" s="169"/>
      <c r="AU275" s="136" t="s">
        <v>377</v>
      </c>
      <c r="AV275" s="136">
        <f>AV274+1</f>
        <v>4</v>
      </c>
      <c r="AW275" s="175" t="s">
        <v>322</v>
      </c>
      <c r="AX275" s="175" t="s">
        <v>322</v>
      </c>
      <c r="AY275" s="182"/>
      <c r="AZ275" s="143"/>
    </row>
    <row r="276" spans="1:52" s="137" customFormat="1" ht="18.75" customHeight="1" x14ac:dyDescent="0.25">
      <c r="A276" s="86" t="s">
        <v>270</v>
      </c>
      <c r="B276" s="90" t="str">
        <f t="shared" si="127"/>
        <v>F5</v>
      </c>
      <c r="C276" s="127" t="s">
        <v>484</v>
      </c>
      <c r="D276" s="86"/>
      <c r="E276" s="86" t="s">
        <v>131</v>
      </c>
      <c r="F276" s="112" t="s">
        <v>132</v>
      </c>
      <c r="G276" s="179"/>
      <c r="H276" s="179"/>
      <c r="I276" s="111"/>
      <c r="J276" s="111"/>
      <c r="K276" s="130">
        <v>300</v>
      </c>
      <c r="L276" s="130">
        <v>300</v>
      </c>
      <c r="M276" s="130">
        <v>300</v>
      </c>
      <c r="N276" s="130">
        <v>300</v>
      </c>
      <c r="O276" s="84">
        <f>N276</f>
        <v>300</v>
      </c>
      <c r="P276" s="84">
        <f t="shared" ref="P276:W276" si="129">O276</f>
        <v>300</v>
      </c>
      <c r="Q276" s="84">
        <f t="shared" si="129"/>
        <v>300</v>
      </c>
      <c r="R276" s="84">
        <f t="shared" si="129"/>
        <v>300</v>
      </c>
      <c r="S276" s="84">
        <f t="shared" si="129"/>
        <v>300</v>
      </c>
      <c r="T276" s="84">
        <f t="shared" si="129"/>
        <v>300</v>
      </c>
      <c r="U276" s="84">
        <f t="shared" si="129"/>
        <v>300</v>
      </c>
      <c r="V276" s="84">
        <f t="shared" si="129"/>
        <v>300</v>
      </c>
      <c r="W276" s="84">
        <f t="shared" si="129"/>
        <v>300</v>
      </c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N276" s="169"/>
      <c r="AO276" s="169"/>
      <c r="AP276" s="169"/>
      <c r="AQ276" s="169"/>
      <c r="AR276" s="169"/>
      <c r="AS276" s="169"/>
      <c r="AT276" s="169"/>
      <c r="AU276" s="136" t="s">
        <v>377</v>
      </c>
      <c r="AV276" s="136">
        <f>AV275+1</f>
        <v>5</v>
      </c>
      <c r="AW276" s="175"/>
      <c r="AX276" s="175"/>
      <c r="AY276" s="182"/>
      <c r="AZ276" s="143"/>
    </row>
    <row r="277" spans="1:52" s="137" customFormat="1" x14ac:dyDescent="0.25">
      <c r="A277" s="86"/>
      <c r="B277" s="90" t="str">
        <f t="shared" si="127"/>
        <v/>
      </c>
      <c r="C277" s="119" t="s">
        <v>274</v>
      </c>
      <c r="D277" s="121"/>
      <c r="E277" s="121"/>
      <c r="F277" s="112"/>
      <c r="G277" s="179"/>
      <c r="H277" s="179"/>
      <c r="I277" s="111"/>
      <c r="J277" s="111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N277" s="169"/>
      <c r="AO277" s="169"/>
      <c r="AP277" s="169"/>
      <c r="AQ277" s="169"/>
      <c r="AR277" s="169"/>
      <c r="AS277" s="169"/>
      <c r="AT277" s="169"/>
      <c r="AU277" s="160"/>
      <c r="AV277" s="160"/>
      <c r="AW277" s="175">
        <f>IF(F277="VEDTATT","VEDTATT",0)</f>
        <v>0</v>
      </c>
      <c r="AX277" s="175">
        <f>IF(F277="MÅ","Nye tiltak",0)</f>
        <v>0</v>
      </c>
      <c r="AY277" s="182"/>
      <c r="AZ277" s="143"/>
    </row>
    <row r="278" spans="1:52" s="137" customFormat="1" x14ac:dyDescent="0.25">
      <c r="A278" s="86" t="s">
        <v>270</v>
      </c>
      <c r="B278" s="90" t="str">
        <f t="shared" si="127"/>
        <v>F6</v>
      </c>
      <c r="C278" s="127" t="s">
        <v>275</v>
      </c>
      <c r="D278" s="86"/>
      <c r="E278" s="86" t="s">
        <v>120</v>
      </c>
      <c r="F278" s="112" t="s">
        <v>121</v>
      </c>
      <c r="G278" s="179"/>
      <c r="H278" s="179"/>
      <c r="I278" s="111">
        <v>39000</v>
      </c>
      <c r="J278" s="111">
        <v>55000</v>
      </c>
      <c r="K278" s="130">
        <v>77000</v>
      </c>
      <c r="L278" s="130">
        <f>K278</f>
        <v>77000</v>
      </c>
      <c r="M278" s="130">
        <f>L278</f>
        <v>77000</v>
      </c>
      <c r="N278" s="130">
        <f>M278</f>
        <v>77000</v>
      </c>
      <c r="O278" s="84">
        <f>N278</f>
        <v>77000</v>
      </c>
      <c r="P278" s="84">
        <f t="shared" ref="P278:W284" si="130">O278</f>
        <v>77000</v>
      </c>
      <c r="Q278" s="84">
        <f t="shared" si="130"/>
        <v>77000</v>
      </c>
      <c r="R278" s="84">
        <f t="shared" si="130"/>
        <v>77000</v>
      </c>
      <c r="S278" s="84">
        <f t="shared" si="130"/>
        <v>77000</v>
      </c>
      <c r="T278" s="84">
        <f t="shared" si="130"/>
        <v>77000</v>
      </c>
      <c r="U278" s="84">
        <f t="shared" si="130"/>
        <v>77000</v>
      </c>
      <c r="V278" s="84">
        <f t="shared" si="130"/>
        <v>77000</v>
      </c>
      <c r="W278" s="84">
        <f t="shared" si="130"/>
        <v>77000</v>
      </c>
      <c r="X278" s="241"/>
      <c r="Y278" s="241"/>
      <c r="Z278" s="241"/>
      <c r="AA278" s="241"/>
      <c r="AB278" s="241"/>
      <c r="AC278" s="241"/>
      <c r="AD278" s="241"/>
      <c r="AE278" s="241"/>
      <c r="AF278" s="241"/>
      <c r="AG278" s="241"/>
      <c r="AH278" s="241"/>
      <c r="AI278" s="241"/>
      <c r="AJ278" s="241"/>
      <c r="AK278" s="241"/>
      <c r="AL278" s="241"/>
      <c r="AM278" s="241"/>
      <c r="AN278" s="241"/>
      <c r="AO278" s="241"/>
      <c r="AP278" s="241"/>
      <c r="AQ278" s="241"/>
      <c r="AR278" s="241"/>
      <c r="AS278" s="241"/>
      <c r="AT278" s="241"/>
      <c r="AU278" s="136" t="s">
        <v>377</v>
      </c>
      <c r="AV278" s="136">
        <f>AV276+1</f>
        <v>6</v>
      </c>
      <c r="AW278" s="175" t="str">
        <f>IF(F278="VEDTATT","VEDTATT",0)</f>
        <v>VEDTATT</v>
      </c>
      <c r="AX278" s="175">
        <f>IF(F278="MÅ","Nye tiltak",0)</f>
        <v>0</v>
      </c>
      <c r="AY278" s="182"/>
      <c r="AZ278" s="143"/>
    </row>
    <row r="279" spans="1:52" s="137" customFormat="1" x14ac:dyDescent="0.25">
      <c r="A279" s="86" t="s">
        <v>270</v>
      </c>
      <c r="B279" s="90" t="str">
        <f t="shared" si="127"/>
        <v>F7</v>
      </c>
      <c r="C279" s="127" t="s">
        <v>130</v>
      </c>
      <c r="D279" s="86"/>
      <c r="E279" s="86" t="s">
        <v>131</v>
      </c>
      <c r="F279" s="112" t="s">
        <v>132</v>
      </c>
      <c r="G279" s="111"/>
      <c r="H279" s="111">
        <v>-300</v>
      </c>
      <c r="I279" s="111">
        <v>-700</v>
      </c>
      <c r="J279" s="111">
        <v>-700</v>
      </c>
      <c r="K279" s="130"/>
      <c r="L279" s="130">
        <v>-300</v>
      </c>
      <c r="M279" s="130">
        <v>-700</v>
      </c>
      <c r="N279" s="130">
        <v>-700</v>
      </c>
      <c r="O279" s="84">
        <f t="shared" ref="O279:O284" si="131">N279</f>
        <v>-700</v>
      </c>
      <c r="P279" s="84">
        <f t="shared" si="130"/>
        <v>-700</v>
      </c>
      <c r="Q279" s="84">
        <f t="shared" si="130"/>
        <v>-700</v>
      </c>
      <c r="R279" s="84">
        <f t="shared" si="130"/>
        <v>-700</v>
      </c>
      <c r="S279" s="84">
        <f t="shared" si="130"/>
        <v>-700</v>
      </c>
      <c r="T279" s="84">
        <f t="shared" si="130"/>
        <v>-700</v>
      </c>
      <c r="U279" s="84">
        <f t="shared" si="130"/>
        <v>-700</v>
      </c>
      <c r="V279" s="84">
        <f t="shared" si="130"/>
        <v>-700</v>
      </c>
      <c r="W279" s="84">
        <f t="shared" si="130"/>
        <v>-700</v>
      </c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  <c r="AQ279" s="169"/>
      <c r="AR279" s="169"/>
      <c r="AS279" s="169"/>
      <c r="AT279" s="169"/>
      <c r="AU279" s="136" t="s">
        <v>377</v>
      </c>
      <c r="AV279" s="136">
        <f>AV278+1</f>
        <v>7</v>
      </c>
      <c r="AW279" s="175"/>
      <c r="AX279" s="175"/>
      <c r="AY279" s="182"/>
      <c r="AZ279" s="143"/>
    </row>
    <row r="280" spans="1:52" s="137" customFormat="1" ht="18.75" customHeight="1" x14ac:dyDescent="0.25">
      <c r="A280" s="86" t="s">
        <v>270</v>
      </c>
      <c r="B280" s="90" t="str">
        <f t="shared" si="127"/>
        <v>F8</v>
      </c>
      <c r="C280" s="127" t="s">
        <v>276</v>
      </c>
      <c r="D280" s="86"/>
      <c r="E280" s="86" t="s">
        <v>120</v>
      </c>
      <c r="F280" s="112" t="s">
        <v>121</v>
      </c>
      <c r="G280" s="179"/>
      <c r="H280" s="179"/>
      <c r="I280" s="111">
        <v>39000</v>
      </c>
      <c r="J280" s="111">
        <v>-200</v>
      </c>
      <c r="K280" s="130">
        <v>893</v>
      </c>
      <c r="L280" s="130">
        <v>512</v>
      </c>
      <c r="M280" s="130">
        <v>10</v>
      </c>
      <c r="N280" s="130">
        <v>10</v>
      </c>
      <c r="O280" s="84">
        <f t="shared" si="131"/>
        <v>10</v>
      </c>
      <c r="P280" s="84">
        <f t="shared" si="130"/>
        <v>10</v>
      </c>
      <c r="Q280" s="84">
        <f t="shared" si="130"/>
        <v>10</v>
      </c>
      <c r="R280" s="84">
        <f t="shared" si="130"/>
        <v>10</v>
      </c>
      <c r="S280" s="84">
        <f t="shared" si="130"/>
        <v>10</v>
      </c>
      <c r="T280" s="84">
        <f t="shared" si="130"/>
        <v>10</v>
      </c>
      <c r="U280" s="84">
        <f t="shared" si="130"/>
        <v>10</v>
      </c>
      <c r="V280" s="84">
        <f t="shared" si="130"/>
        <v>10</v>
      </c>
      <c r="W280" s="84">
        <f t="shared" si="130"/>
        <v>10</v>
      </c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  <c r="AQ280" s="169"/>
      <c r="AR280" s="169"/>
      <c r="AS280" s="169"/>
      <c r="AT280" s="169"/>
      <c r="AU280" s="136" t="s">
        <v>377</v>
      </c>
      <c r="AV280" s="136">
        <f>AV279+1</f>
        <v>8</v>
      </c>
      <c r="AW280" s="175" t="str">
        <f>IF(F280="VEDTATT","VEDTATT",0)</f>
        <v>VEDTATT</v>
      </c>
      <c r="AX280" s="175">
        <f>IF(F280="MÅ","Nye tiltak",0)</f>
        <v>0</v>
      </c>
      <c r="AY280" s="182"/>
      <c r="AZ280" s="143"/>
    </row>
    <row r="281" spans="1:52" s="137" customFormat="1" ht="18.75" customHeight="1" x14ac:dyDescent="0.25">
      <c r="A281" s="86" t="s">
        <v>270</v>
      </c>
      <c r="B281" s="90" t="str">
        <f t="shared" si="127"/>
        <v>F9</v>
      </c>
      <c r="C281" s="127" t="s">
        <v>277</v>
      </c>
      <c r="D281" s="86"/>
      <c r="E281" s="86" t="s">
        <v>131</v>
      </c>
      <c r="F281" s="112" t="s">
        <v>132</v>
      </c>
      <c r="G281" s="179"/>
      <c r="H281" s="179"/>
      <c r="I281" s="111"/>
      <c r="J281" s="111"/>
      <c r="K281" s="130">
        <v>850</v>
      </c>
      <c r="L281" s="130">
        <v>2268</v>
      </c>
      <c r="M281" s="130">
        <v>2735</v>
      </c>
      <c r="N281" s="130">
        <v>2750</v>
      </c>
      <c r="O281" s="84">
        <f t="shared" si="131"/>
        <v>2750</v>
      </c>
      <c r="P281" s="84">
        <f t="shared" si="130"/>
        <v>2750</v>
      </c>
      <c r="Q281" s="84">
        <f t="shared" si="130"/>
        <v>2750</v>
      </c>
      <c r="R281" s="84">
        <f t="shared" si="130"/>
        <v>2750</v>
      </c>
      <c r="S281" s="84">
        <f t="shared" si="130"/>
        <v>2750</v>
      </c>
      <c r="T281" s="84">
        <f t="shared" si="130"/>
        <v>2750</v>
      </c>
      <c r="U281" s="84">
        <f t="shared" si="130"/>
        <v>2750</v>
      </c>
      <c r="V281" s="84">
        <f t="shared" si="130"/>
        <v>2750</v>
      </c>
      <c r="W281" s="84">
        <f t="shared" si="130"/>
        <v>2750</v>
      </c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169"/>
      <c r="AT281" s="169"/>
      <c r="AU281" s="136" t="s">
        <v>377</v>
      </c>
      <c r="AV281" s="136">
        <f t="shared" ref="AV281:AV295" si="132">AV280+1</f>
        <v>9</v>
      </c>
      <c r="AW281" s="175">
        <f>IF(F281="VEDTATT","VEDTATT",0)</f>
        <v>0</v>
      </c>
      <c r="AX281" s="175" t="str">
        <f>IF(F281="MÅ","Nye tiltak",0)</f>
        <v>Nye tiltak</v>
      </c>
      <c r="AY281" s="182"/>
      <c r="AZ281" s="143"/>
    </row>
    <row r="282" spans="1:52" s="137" customFormat="1" ht="18.75" customHeight="1" x14ac:dyDescent="0.25">
      <c r="A282" s="86" t="s">
        <v>270</v>
      </c>
      <c r="B282" s="90" t="str">
        <f t="shared" si="127"/>
        <v>F10</v>
      </c>
      <c r="C282" s="127" t="s">
        <v>278</v>
      </c>
      <c r="D282" s="86"/>
      <c r="E282" s="86" t="s">
        <v>131</v>
      </c>
      <c r="F282" s="112" t="s">
        <v>132</v>
      </c>
      <c r="G282" s="179"/>
      <c r="H282" s="179"/>
      <c r="I282" s="111"/>
      <c r="J282" s="111"/>
      <c r="K282" s="130">
        <v>735</v>
      </c>
      <c r="L282" s="130">
        <f>K282</f>
        <v>735</v>
      </c>
      <c r="M282" s="130">
        <f t="shared" ref="M282:N283" si="133">L282</f>
        <v>735</v>
      </c>
      <c r="N282" s="130">
        <f t="shared" si="133"/>
        <v>735</v>
      </c>
      <c r="O282" s="84">
        <f t="shared" si="131"/>
        <v>735</v>
      </c>
      <c r="P282" s="84">
        <f t="shared" si="130"/>
        <v>735</v>
      </c>
      <c r="Q282" s="84">
        <f t="shared" si="130"/>
        <v>735</v>
      </c>
      <c r="R282" s="84">
        <f t="shared" si="130"/>
        <v>735</v>
      </c>
      <c r="S282" s="84">
        <f t="shared" si="130"/>
        <v>735</v>
      </c>
      <c r="T282" s="84">
        <f t="shared" si="130"/>
        <v>735</v>
      </c>
      <c r="U282" s="84">
        <f t="shared" si="130"/>
        <v>735</v>
      </c>
      <c r="V282" s="84">
        <f t="shared" si="130"/>
        <v>735</v>
      </c>
      <c r="W282" s="84">
        <f t="shared" si="130"/>
        <v>735</v>
      </c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169"/>
      <c r="AT282" s="169"/>
      <c r="AU282" s="136" t="s">
        <v>377</v>
      </c>
      <c r="AV282" s="136">
        <f t="shared" si="132"/>
        <v>10</v>
      </c>
      <c r="AW282" s="175">
        <f>IF(F282="VEDTATT","VEDTATT",0)</f>
        <v>0</v>
      </c>
      <c r="AX282" s="175" t="str">
        <f>IF(F282="MÅ","Nye tiltak",0)</f>
        <v>Nye tiltak</v>
      </c>
      <c r="AY282" s="182"/>
      <c r="AZ282" s="143"/>
    </row>
    <row r="283" spans="1:52" s="137" customFormat="1" ht="18.75" customHeight="1" x14ac:dyDescent="0.25">
      <c r="A283" s="86" t="s">
        <v>270</v>
      </c>
      <c r="B283" s="90" t="str">
        <f t="shared" si="127"/>
        <v>F11</v>
      </c>
      <c r="C283" s="127" t="s">
        <v>279</v>
      </c>
      <c r="D283" s="86"/>
      <c r="E283" s="86" t="s">
        <v>131</v>
      </c>
      <c r="F283" s="112" t="s">
        <v>132</v>
      </c>
      <c r="G283" s="179"/>
      <c r="H283" s="179"/>
      <c r="I283" s="111"/>
      <c r="J283" s="111"/>
      <c r="K283" s="130">
        <v>-571</v>
      </c>
      <c r="L283" s="130">
        <f>K283</f>
        <v>-571</v>
      </c>
      <c r="M283" s="130">
        <f t="shared" si="133"/>
        <v>-571</v>
      </c>
      <c r="N283" s="130">
        <f t="shared" si="133"/>
        <v>-571</v>
      </c>
      <c r="O283" s="84">
        <f t="shared" si="131"/>
        <v>-571</v>
      </c>
      <c r="P283" s="84">
        <f t="shared" si="130"/>
        <v>-571</v>
      </c>
      <c r="Q283" s="84">
        <f t="shared" si="130"/>
        <v>-571</v>
      </c>
      <c r="R283" s="84">
        <f t="shared" si="130"/>
        <v>-571</v>
      </c>
      <c r="S283" s="84">
        <f t="shared" si="130"/>
        <v>-571</v>
      </c>
      <c r="T283" s="84">
        <f t="shared" si="130"/>
        <v>-571</v>
      </c>
      <c r="U283" s="84">
        <f t="shared" si="130"/>
        <v>-571</v>
      </c>
      <c r="V283" s="84">
        <f t="shared" si="130"/>
        <v>-571</v>
      </c>
      <c r="W283" s="84">
        <f t="shared" si="130"/>
        <v>-571</v>
      </c>
      <c r="X283" s="241"/>
      <c r="Y283" s="241"/>
      <c r="Z283" s="241"/>
      <c r="AA283" s="241"/>
      <c r="AB283" s="241"/>
      <c r="AC283" s="241"/>
      <c r="AD283" s="241"/>
      <c r="AE283" s="241"/>
      <c r="AF283" s="241"/>
      <c r="AG283" s="241"/>
      <c r="AH283" s="241"/>
      <c r="AI283" s="241"/>
      <c r="AJ283" s="241"/>
      <c r="AK283" s="241"/>
      <c r="AL283" s="241"/>
      <c r="AM283" s="241"/>
      <c r="AN283" s="241"/>
      <c r="AO283" s="241"/>
      <c r="AP283" s="241"/>
      <c r="AQ283" s="241"/>
      <c r="AR283" s="241"/>
      <c r="AS283" s="241"/>
      <c r="AT283" s="241"/>
      <c r="AU283" s="136" t="s">
        <v>377</v>
      </c>
      <c r="AV283" s="136">
        <f t="shared" si="132"/>
        <v>11</v>
      </c>
      <c r="AW283" s="175"/>
      <c r="AX283" s="175"/>
      <c r="AY283" s="182"/>
      <c r="AZ283" s="143"/>
    </row>
    <row r="284" spans="1:52" s="137" customFormat="1" ht="18.75" customHeight="1" x14ac:dyDescent="0.25">
      <c r="A284" s="86" t="s">
        <v>270</v>
      </c>
      <c r="B284" s="90" t="str">
        <f t="shared" si="127"/>
        <v>F12</v>
      </c>
      <c r="C284" s="127" t="s">
        <v>280</v>
      </c>
      <c r="D284" s="86"/>
      <c r="E284" s="86" t="s">
        <v>124</v>
      </c>
      <c r="F284" s="112" t="s">
        <v>121</v>
      </c>
      <c r="G284" s="179"/>
      <c r="H284" s="179"/>
      <c r="I284" s="111">
        <f>-900+252</f>
        <v>-648</v>
      </c>
      <c r="J284" s="111">
        <v>-203</v>
      </c>
      <c r="K284" s="130">
        <v>-378</v>
      </c>
      <c r="L284" s="130">
        <v>-766</v>
      </c>
      <c r="M284" s="130">
        <v>-1165</v>
      </c>
      <c r="N284" s="130">
        <v>-1165</v>
      </c>
      <c r="O284" s="84">
        <f t="shared" si="131"/>
        <v>-1165</v>
      </c>
      <c r="P284" s="84">
        <f t="shared" si="130"/>
        <v>-1165</v>
      </c>
      <c r="Q284" s="84">
        <f t="shared" si="130"/>
        <v>-1165</v>
      </c>
      <c r="R284" s="84">
        <f t="shared" si="130"/>
        <v>-1165</v>
      </c>
      <c r="S284" s="84">
        <f t="shared" si="130"/>
        <v>-1165</v>
      </c>
      <c r="T284" s="84">
        <f t="shared" si="130"/>
        <v>-1165</v>
      </c>
      <c r="U284" s="84">
        <f t="shared" si="130"/>
        <v>-1165</v>
      </c>
      <c r="V284" s="84">
        <f t="shared" si="130"/>
        <v>-1165</v>
      </c>
      <c r="W284" s="84">
        <f t="shared" si="130"/>
        <v>-1165</v>
      </c>
      <c r="X284" s="197"/>
      <c r="Y284" s="197"/>
      <c r="Z284" s="197"/>
      <c r="AA284" s="197"/>
      <c r="AB284" s="197"/>
      <c r="AC284" s="197"/>
      <c r="AD284" s="197"/>
      <c r="AE284" s="197"/>
      <c r="AF284" s="197"/>
      <c r="AG284" s="197"/>
      <c r="AH284" s="197"/>
      <c r="AI284" s="197"/>
      <c r="AJ284" s="197"/>
      <c r="AK284" s="197"/>
      <c r="AL284" s="197"/>
      <c r="AM284" s="197"/>
      <c r="AN284" s="197"/>
      <c r="AO284" s="197"/>
      <c r="AP284" s="197"/>
      <c r="AQ284" s="197"/>
      <c r="AR284" s="197"/>
      <c r="AS284" s="197"/>
      <c r="AT284" s="197"/>
      <c r="AU284" s="136" t="s">
        <v>377</v>
      </c>
      <c r="AV284" s="136">
        <f>AV283+1</f>
        <v>12</v>
      </c>
      <c r="AW284" s="175" t="str">
        <f>IF(F284="VEDTATT","VEDTATT",0)</f>
        <v>VEDTATT</v>
      </c>
      <c r="AX284" s="175">
        <f>IF(F284="MÅ","Nye tiltak",0)</f>
        <v>0</v>
      </c>
      <c r="AY284" s="200"/>
      <c r="AZ284" s="143"/>
    </row>
    <row r="285" spans="1:52" s="137" customFormat="1" ht="18.75" customHeight="1" x14ac:dyDescent="0.25">
      <c r="A285" s="86" t="s">
        <v>270</v>
      </c>
      <c r="B285" s="90" t="str">
        <f t="shared" si="127"/>
        <v>F13</v>
      </c>
      <c r="C285" s="127" t="s">
        <v>281</v>
      </c>
      <c r="D285" s="86"/>
      <c r="E285" s="86" t="s">
        <v>124</v>
      </c>
      <c r="F285" s="112" t="s">
        <v>121</v>
      </c>
      <c r="G285" s="179"/>
      <c r="H285" s="179"/>
      <c r="I285" s="111">
        <v>-2150</v>
      </c>
      <c r="J285" s="111">
        <v>6140</v>
      </c>
      <c r="K285" s="130">
        <v>500</v>
      </c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69"/>
      <c r="Y285" s="169"/>
      <c r="Z285" s="169"/>
      <c r="AA285" s="169"/>
      <c r="AB285" s="169"/>
      <c r="AC285" s="169"/>
      <c r="AD285" s="169"/>
      <c r="AE285" s="169"/>
      <c r="AF285" s="169"/>
      <c r="AG285" s="169"/>
      <c r="AH285" s="169"/>
      <c r="AI285" s="169"/>
      <c r="AJ285" s="169"/>
      <c r="AK285" s="169"/>
      <c r="AL285" s="169"/>
      <c r="AM285" s="169"/>
      <c r="AN285" s="169"/>
      <c r="AO285" s="169"/>
      <c r="AP285" s="169"/>
      <c r="AQ285" s="169"/>
      <c r="AR285" s="169"/>
      <c r="AS285" s="169"/>
      <c r="AT285" s="169"/>
      <c r="AU285" s="136" t="s">
        <v>377</v>
      </c>
      <c r="AV285" s="136">
        <f t="shared" si="132"/>
        <v>13</v>
      </c>
      <c r="AW285" s="175" t="str">
        <f>IF(F285="VEDTATT","VEDTATT",0)</f>
        <v>VEDTATT</v>
      </c>
      <c r="AX285" s="175">
        <f>IF(F285="MÅ","Nye tiltak",0)</f>
        <v>0</v>
      </c>
      <c r="AY285" s="182"/>
      <c r="AZ285" s="143"/>
    </row>
    <row r="286" spans="1:52" s="137" customFormat="1" ht="18.75" customHeight="1" x14ac:dyDescent="0.25">
      <c r="A286" s="86" t="s">
        <v>270</v>
      </c>
      <c r="B286" s="90" t="str">
        <f t="shared" si="127"/>
        <v>F14</v>
      </c>
      <c r="C286" s="127" t="s">
        <v>282</v>
      </c>
      <c r="D286" s="86"/>
      <c r="E286" s="86" t="s">
        <v>124</v>
      </c>
      <c r="F286" s="112" t="s">
        <v>121</v>
      </c>
      <c r="G286" s="179"/>
      <c r="H286" s="179"/>
      <c r="I286" s="111"/>
      <c r="J286" s="111">
        <v>92</v>
      </c>
      <c r="K286" s="130">
        <v>0</v>
      </c>
      <c r="L286" s="130">
        <v>-775</v>
      </c>
      <c r="M286" s="130">
        <v>-2229</v>
      </c>
      <c r="N286" s="130">
        <v>-2229</v>
      </c>
      <c r="O286" s="84">
        <f>N286</f>
        <v>-2229</v>
      </c>
      <c r="P286" s="84">
        <f t="shared" ref="P286:W288" si="134">O286</f>
        <v>-2229</v>
      </c>
      <c r="Q286" s="84">
        <f t="shared" si="134"/>
        <v>-2229</v>
      </c>
      <c r="R286" s="84">
        <f t="shared" si="134"/>
        <v>-2229</v>
      </c>
      <c r="S286" s="84">
        <f t="shared" si="134"/>
        <v>-2229</v>
      </c>
      <c r="T286" s="84">
        <f t="shared" si="134"/>
        <v>-2229</v>
      </c>
      <c r="U286" s="84">
        <f t="shared" si="134"/>
        <v>-2229</v>
      </c>
      <c r="V286" s="84">
        <f t="shared" si="134"/>
        <v>-2229</v>
      </c>
      <c r="W286" s="84">
        <f t="shared" si="134"/>
        <v>-2229</v>
      </c>
      <c r="X286" s="169"/>
      <c r="Y286" s="169"/>
      <c r="Z286" s="169"/>
      <c r="AA286" s="169"/>
      <c r="AB286" s="169"/>
      <c r="AC286" s="169"/>
      <c r="AD286" s="169"/>
      <c r="AE286" s="169"/>
      <c r="AF286" s="169"/>
      <c r="AG286" s="169"/>
      <c r="AH286" s="169"/>
      <c r="AI286" s="169"/>
      <c r="AJ286" s="169"/>
      <c r="AK286" s="169"/>
      <c r="AL286" s="169"/>
      <c r="AM286" s="169"/>
      <c r="AN286" s="169"/>
      <c r="AO286" s="169"/>
      <c r="AP286" s="169"/>
      <c r="AQ286" s="169"/>
      <c r="AR286" s="169"/>
      <c r="AS286" s="169"/>
      <c r="AT286" s="169"/>
      <c r="AU286" s="136" t="s">
        <v>377</v>
      </c>
      <c r="AV286" s="136">
        <f t="shared" si="132"/>
        <v>14</v>
      </c>
      <c r="AW286" s="175" t="str">
        <f>IF(F286="VEDTATT","VEDTATT",0)</f>
        <v>VEDTATT</v>
      </c>
      <c r="AX286" s="175">
        <f>IF(F286="MÅ","Nye tiltak",0)</f>
        <v>0</v>
      </c>
      <c r="AY286" s="182"/>
      <c r="AZ286" s="143"/>
    </row>
    <row r="287" spans="1:52" s="137" customFormat="1" ht="18.75" customHeight="1" x14ac:dyDescent="0.25">
      <c r="A287" s="86" t="s">
        <v>270</v>
      </c>
      <c r="B287" s="90" t="str">
        <f t="shared" si="127"/>
        <v>F15</v>
      </c>
      <c r="C287" s="127" t="s">
        <v>283</v>
      </c>
      <c r="D287" s="86"/>
      <c r="E287" s="86" t="s">
        <v>120</v>
      </c>
      <c r="F287" s="112" t="s">
        <v>121</v>
      </c>
      <c r="G287" s="179"/>
      <c r="H287" s="179"/>
      <c r="I287" s="111">
        <v>700</v>
      </c>
      <c r="J287" s="111"/>
      <c r="K287" s="130"/>
      <c r="L287" s="130">
        <v>165</v>
      </c>
      <c r="M287" s="130">
        <v>1950</v>
      </c>
      <c r="N287" s="130">
        <v>1950</v>
      </c>
      <c r="O287" s="84">
        <f>N287</f>
        <v>1950</v>
      </c>
      <c r="P287" s="84">
        <f t="shared" si="134"/>
        <v>1950</v>
      </c>
      <c r="Q287" s="84">
        <f t="shared" si="134"/>
        <v>1950</v>
      </c>
      <c r="R287" s="84">
        <f t="shared" si="134"/>
        <v>1950</v>
      </c>
      <c r="S287" s="84">
        <f t="shared" si="134"/>
        <v>1950</v>
      </c>
      <c r="T287" s="84">
        <f t="shared" si="134"/>
        <v>1950</v>
      </c>
      <c r="U287" s="84">
        <f t="shared" si="134"/>
        <v>1950</v>
      </c>
      <c r="V287" s="84">
        <f t="shared" si="134"/>
        <v>1950</v>
      </c>
      <c r="W287" s="84">
        <f t="shared" si="134"/>
        <v>1950</v>
      </c>
      <c r="X287" s="169"/>
      <c r="Y287" s="169"/>
      <c r="Z287" s="169"/>
      <c r="AA287" s="169"/>
      <c r="AB287" s="169"/>
      <c r="AC287" s="169"/>
      <c r="AD287" s="169"/>
      <c r="AE287" s="169"/>
      <c r="AF287" s="169"/>
      <c r="AG287" s="169"/>
      <c r="AH287" s="169"/>
      <c r="AI287" s="169"/>
      <c r="AJ287" s="169"/>
      <c r="AK287" s="169"/>
      <c r="AL287" s="169"/>
      <c r="AM287" s="169"/>
      <c r="AN287" s="169"/>
      <c r="AO287" s="169"/>
      <c r="AP287" s="169"/>
      <c r="AQ287" s="169"/>
      <c r="AR287" s="169"/>
      <c r="AS287" s="169"/>
      <c r="AT287" s="169"/>
      <c r="AU287" s="136" t="s">
        <v>377</v>
      </c>
      <c r="AV287" s="136">
        <f t="shared" si="132"/>
        <v>15</v>
      </c>
      <c r="AW287" s="175" t="str">
        <f>IF(F287="VEDTATT","VEDTATT",0)</f>
        <v>VEDTATT</v>
      </c>
      <c r="AX287" s="175">
        <f>IF(F287="MÅ","Nye tiltak",0)</f>
        <v>0</v>
      </c>
      <c r="AY287" s="182"/>
      <c r="AZ287" s="143"/>
    </row>
    <row r="288" spans="1:52" s="137" customFormat="1" ht="18.75" customHeight="1" x14ac:dyDescent="0.25">
      <c r="A288" s="86" t="s">
        <v>270</v>
      </c>
      <c r="B288" s="90" t="str">
        <f t="shared" si="127"/>
        <v>F16</v>
      </c>
      <c r="C288" s="127" t="s">
        <v>284</v>
      </c>
      <c r="D288" s="86"/>
      <c r="E288" s="86" t="s">
        <v>124</v>
      </c>
      <c r="F288" s="112" t="s">
        <v>121</v>
      </c>
      <c r="G288" s="179"/>
      <c r="H288" s="179"/>
      <c r="I288" s="111"/>
      <c r="J288" s="111">
        <f>-660-297</f>
        <v>-957</v>
      </c>
      <c r="K288" s="130"/>
      <c r="L288" s="130">
        <v>-80</v>
      </c>
      <c r="M288" s="130">
        <v>-1200</v>
      </c>
      <c r="N288" s="130">
        <v>-1200</v>
      </c>
      <c r="O288" s="84">
        <f>N288</f>
        <v>-1200</v>
      </c>
      <c r="P288" s="84">
        <f t="shared" si="134"/>
        <v>-1200</v>
      </c>
      <c r="Q288" s="84">
        <f t="shared" si="134"/>
        <v>-1200</v>
      </c>
      <c r="R288" s="84">
        <f t="shared" si="134"/>
        <v>-1200</v>
      </c>
      <c r="S288" s="84">
        <f t="shared" si="134"/>
        <v>-1200</v>
      </c>
      <c r="T288" s="84">
        <f t="shared" si="134"/>
        <v>-1200</v>
      </c>
      <c r="U288" s="84">
        <f t="shared" si="134"/>
        <v>-1200</v>
      </c>
      <c r="V288" s="84">
        <f t="shared" si="134"/>
        <v>-1200</v>
      </c>
      <c r="W288" s="84">
        <f t="shared" si="134"/>
        <v>-1200</v>
      </c>
      <c r="X288" s="169"/>
      <c r="Y288" s="169"/>
      <c r="Z288" s="169"/>
      <c r="AA288" s="169"/>
      <c r="AB288" s="169"/>
      <c r="AC288" s="169"/>
      <c r="AD288" s="169"/>
      <c r="AE288" s="169"/>
      <c r="AF288" s="169"/>
      <c r="AG288" s="169"/>
      <c r="AH288" s="169"/>
      <c r="AI288" s="169"/>
      <c r="AJ288" s="169"/>
      <c r="AK288" s="169"/>
      <c r="AL288" s="169"/>
      <c r="AM288" s="169"/>
      <c r="AN288" s="169"/>
      <c r="AO288" s="169"/>
      <c r="AP288" s="169"/>
      <c r="AQ288" s="169"/>
      <c r="AR288" s="169"/>
      <c r="AS288" s="169"/>
      <c r="AT288" s="169"/>
      <c r="AU288" s="136" t="s">
        <v>377</v>
      </c>
      <c r="AV288" s="136">
        <f t="shared" si="132"/>
        <v>16</v>
      </c>
      <c r="AW288" s="175" t="str">
        <f>IF(F288="VEDTATT","VEDTATT",0)</f>
        <v>VEDTATT</v>
      </c>
      <c r="AX288" s="175">
        <f>IF(F288="MÅ","Nye tiltak",0)</f>
        <v>0</v>
      </c>
      <c r="AY288" s="182"/>
      <c r="AZ288" s="143"/>
    </row>
    <row r="289" spans="1:52" s="137" customFormat="1" x14ac:dyDescent="0.25">
      <c r="A289" s="86" t="s">
        <v>270</v>
      </c>
      <c r="B289" s="90" t="str">
        <f t="shared" si="127"/>
        <v>F17</v>
      </c>
      <c r="C289" s="127" t="s">
        <v>285</v>
      </c>
      <c r="D289" s="86"/>
      <c r="E289" s="86" t="s">
        <v>131</v>
      </c>
      <c r="F289" s="112" t="s">
        <v>132</v>
      </c>
      <c r="G289" s="179"/>
      <c r="H289" s="179"/>
      <c r="I289" s="111"/>
      <c r="J289" s="111"/>
      <c r="K289" s="130">
        <v>500</v>
      </c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69"/>
      <c r="Y289" s="169"/>
      <c r="Z289" s="169"/>
      <c r="AA289" s="169"/>
      <c r="AB289" s="169"/>
      <c r="AC289" s="169"/>
      <c r="AD289" s="169"/>
      <c r="AE289" s="169"/>
      <c r="AF289" s="169"/>
      <c r="AG289" s="169"/>
      <c r="AH289" s="169"/>
      <c r="AI289" s="169"/>
      <c r="AJ289" s="169"/>
      <c r="AK289" s="169"/>
      <c r="AL289" s="169"/>
      <c r="AM289" s="169"/>
      <c r="AN289" s="169"/>
      <c r="AO289" s="169"/>
      <c r="AP289" s="169"/>
      <c r="AQ289" s="169"/>
      <c r="AR289" s="169"/>
      <c r="AS289" s="169"/>
      <c r="AT289" s="169"/>
      <c r="AU289" s="136" t="s">
        <v>377</v>
      </c>
      <c r="AV289" s="136">
        <f t="shared" si="132"/>
        <v>17</v>
      </c>
      <c r="AW289" s="175"/>
      <c r="AX289" s="175"/>
      <c r="AY289" s="182"/>
      <c r="AZ289" s="143"/>
    </row>
    <row r="290" spans="1:52" s="137" customFormat="1" ht="18.75" customHeight="1" x14ac:dyDescent="0.25">
      <c r="A290" s="86" t="s">
        <v>270</v>
      </c>
      <c r="B290" s="90" t="str">
        <f t="shared" si="127"/>
        <v>F18</v>
      </c>
      <c r="C290" s="127" t="s">
        <v>286</v>
      </c>
      <c r="D290" s="86"/>
      <c r="E290" s="86" t="s">
        <v>131</v>
      </c>
      <c r="F290" s="112" t="s">
        <v>132</v>
      </c>
      <c r="G290" s="179"/>
      <c r="H290" s="179"/>
      <c r="I290" s="111"/>
      <c r="J290" s="111"/>
      <c r="K290" s="130">
        <v>575</v>
      </c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69"/>
      <c r="Y290" s="169"/>
      <c r="Z290" s="169"/>
      <c r="AA290" s="169"/>
      <c r="AB290" s="169"/>
      <c r="AC290" s="169"/>
      <c r="AD290" s="169"/>
      <c r="AE290" s="169"/>
      <c r="AF290" s="169"/>
      <c r="AG290" s="169"/>
      <c r="AH290" s="169"/>
      <c r="AI290" s="169"/>
      <c r="AJ290" s="169"/>
      <c r="AK290" s="169"/>
      <c r="AL290" s="169"/>
      <c r="AM290" s="169"/>
      <c r="AN290" s="169"/>
      <c r="AO290" s="169"/>
      <c r="AP290" s="169"/>
      <c r="AQ290" s="169"/>
      <c r="AR290" s="169"/>
      <c r="AS290" s="169"/>
      <c r="AT290" s="169"/>
      <c r="AU290" s="136" t="s">
        <v>377</v>
      </c>
      <c r="AV290" s="136">
        <f>AV289+1</f>
        <v>18</v>
      </c>
      <c r="AW290" s="175"/>
      <c r="AX290" s="175"/>
      <c r="AY290" s="182"/>
      <c r="AZ290" s="143"/>
    </row>
    <row r="291" spans="1:52" s="137" customFormat="1" ht="18.75" customHeight="1" x14ac:dyDescent="0.25">
      <c r="A291" s="86" t="s">
        <v>270</v>
      </c>
      <c r="B291" s="90" t="str">
        <f t="shared" si="127"/>
        <v>F19</v>
      </c>
      <c r="C291" s="127" t="s">
        <v>287</v>
      </c>
      <c r="D291" s="86"/>
      <c r="E291" s="86" t="s">
        <v>131</v>
      </c>
      <c r="F291" s="112" t="s">
        <v>132</v>
      </c>
      <c r="G291" s="179"/>
      <c r="H291" s="179"/>
      <c r="I291" s="111"/>
      <c r="J291" s="111"/>
      <c r="K291" s="130">
        <v>-575</v>
      </c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69"/>
      <c r="Y291" s="169"/>
      <c r="Z291" s="169"/>
      <c r="AA291" s="169"/>
      <c r="AB291" s="169"/>
      <c r="AC291" s="169"/>
      <c r="AD291" s="169"/>
      <c r="AE291" s="169"/>
      <c r="AF291" s="169"/>
      <c r="AG291" s="169"/>
      <c r="AH291" s="169"/>
      <c r="AI291" s="169"/>
      <c r="AJ291" s="169"/>
      <c r="AK291" s="169"/>
      <c r="AL291" s="169"/>
      <c r="AM291" s="169"/>
      <c r="AN291" s="169"/>
      <c r="AO291" s="169"/>
      <c r="AP291" s="169"/>
      <c r="AQ291" s="169"/>
      <c r="AR291" s="169"/>
      <c r="AS291" s="169"/>
      <c r="AT291" s="169"/>
      <c r="AU291" s="136" t="s">
        <v>377</v>
      </c>
      <c r="AV291" s="136">
        <f t="shared" si="132"/>
        <v>19</v>
      </c>
      <c r="AW291" s="175" t="s">
        <v>322</v>
      </c>
      <c r="AX291" s="175" t="s">
        <v>322</v>
      </c>
      <c r="AY291" s="182"/>
      <c r="AZ291" s="143"/>
    </row>
    <row r="292" spans="1:52" s="137" customFormat="1" ht="18.75" customHeight="1" x14ac:dyDescent="0.25">
      <c r="A292" s="86" t="s">
        <v>270</v>
      </c>
      <c r="B292" s="90" t="str">
        <f t="shared" si="127"/>
        <v>F20</v>
      </c>
      <c r="C292" s="127" t="s">
        <v>288</v>
      </c>
      <c r="D292" s="86"/>
      <c r="E292" s="86" t="s">
        <v>131</v>
      </c>
      <c r="F292" s="112" t="s">
        <v>132</v>
      </c>
      <c r="G292" s="179"/>
      <c r="H292" s="179"/>
      <c r="I292" s="111"/>
      <c r="J292" s="111"/>
      <c r="K292" s="130">
        <v>520</v>
      </c>
      <c r="L292" s="130">
        <v>520</v>
      </c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69"/>
      <c r="Y292" s="169"/>
      <c r="Z292" s="169"/>
      <c r="AA292" s="169"/>
      <c r="AB292" s="169"/>
      <c r="AC292" s="169"/>
      <c r="AD292" s="169"/>
      <c r="AE292" s="169"/>
      <c r="AF292" s="169"/>
      <c r="AG292" s="169"/>
      <c r="AH292" s="169"/>
      <c r="AI292" s="169"/>
      <c r="AJ292" s="169"/>
      <c r="AK292" s="169"/>
      <c r="AL292" s="169"/>
      <c r="AM292" s="169"/>
      <c r="AN292" s="169"/>
      <c r="AO292" s="169"/>
      <c r="AP292" s="169"/>
      <c r="AQ292" s="169"/>
      <c r="AR292" s="169"/>
      <c r="AS292" s="169"/>
      <c r="AT292" s="169"/>
      <c r="AU292" s="136" t="s">
        <v>377</v>
      </c>
      <c r="AV292" s="136">
        <f t="shared" si="132"/>
        <v>20</v>
      </c>
      <c r="AW292" s="175"/>
      <c r="AX292" s="175"/>
      <c r="AY292" s="182"/>
      <c r="AZ292" s="143"/>
    </row>
    <row r="293" spans="1:52" s="137" customFormat="1" ht="18.75" customHeight="1" x14ac:dyDescent="0.25">
      <c r="A293" s="86" t="s">
        <v>270</v>
      </c>
      <c r="B293" s="90" t="str">
        <f t="shared" si="127"/>
        <v>F21</v>
      </c>
      <c r="C293" s="127" t="s">
        <v>289</v>
      </c>
      <c r="D293" s="86"/>
      <c r="E293" s="86" t="s">
        <v>131</v>
      </c>
      <c r="F293" s="112" t="s">
        <v>132</v>
      </c>
      <c r="G293" s="179"/>
      <c r="H293" s="179"/>
      <c r="I293" s="111"/>
      <c r="J293" s="111"/>
      <c r="K293" s="130">
        <v>175</v>
      </c>
      <c r="L293" s="130">
        <v>175</v>
      </c>
      <c r="M293" s="130">
        <v>175</v>
      </c>
      <c r="N293" s="130">
        <v>175</v>
      </c>
      <c r="O293" s="84">
        <f>N293</f>
        <v>175</v>
      </c>
      <c r="P293" s="84">
        <f t="shared" ref="P293:W295" si="135">O293</f>
        <v>175</v>
      </c>
      <c r="Q293" s="84">
        <f t="shared" si="135"/>
        <v>175</v>
      </c>
      <c r="R293" s="84">
        <f t="shared" si="135"/>
        <v>175</v>
      </c>
      <c r="S293" s="84">
        <f t="shared" si="135"/>
        <v>175</v>
      </c>
      <c r="T293" s="84">
        <f t="shared" si="135"/>
        <v>175</v>
      </c>
      <c r="U293" s="84">
        <f t="shared" si="135"/>
        <v>175</v>
      </c>
      <c r="V293" s="84">
        <f t="shared" si="135"/>
        <v>175</v>
      </c>
      <c r="W293" s="84">
        <f t="shared" si="135"/>
        <v>175</v>
      </c>
      <c r="X293" s="169"/>
      <c r="Y293" s="169"/>
      <c r="Z293" s="169"/>
      <c r="AA293" s="169"/>
      <c r="AB293" s="169"/>
      <c r="AC293" s="169"/>
      <c r="AD293" s="169"/>
      <c r="AE293" s="169"/>
      <c r="AF293" s="169"/>
      <c r="AG293" s="169"/>
      <c r="AH293" s="169"/>
      <c r="AI293" s="169"/>
      <c r="AJ293" s="169"/>
      <c r="AK293" s="169"/>
      <c r="AL293" s="169"/>
      <c r="AM293" s="169"/>
      <c r="AN293" s="169"/>
      <c r="AO293" s="169"/>
      <c r="AP293" s="169"/>
      <c r="AQ293" s="169"/>
      <c r="AR293" s="169"/>
      <c r="AS293" s="169"/>
      <c r="AT293" s="169"/>
      <c r="AU293" s="136" t="s">
        <v>377</v>
      </c>
      <c r="AV293" s="136">
        <f t="shared" si="132"/>
        <v>21</v>
      </c>
      <c r="AW293" s="175"/>
      <c r="AX293" s="175"/>
      <c r="AY293" s="182"/>
      <c r="AZ293" s="143"/>
    </row>
    <row r="294" spans="1:52" s="137" customFormat="1" x14ac:dyDescent="0.25">
      <c r="A294" s="86" t="s">
        <v>270</v>
      </c>
      <c r="B294" s="90" t="str">
        <f t="shared" si="127"/>
        <v>F22</v>
      </c>
      <c r="C294" s="127" t="s">
        <v>290</v>
      </c>
      <c r="D294" s="86"/>
      <c r="E294" s="86" t="s">
        <v>131</v>
      </c>
      <c r="F294" s="112" t="s">
        <v>132</v>
      </c>
      <c r="G294" s="179"/>
      <c r="H294" s="179"/>
      <c r="I294" s="111"/>
      <c r="J294" s="111"/>
      <c r="K294" s="130">
        <v>370</v>
      </c>
      <c r="L294" s="130">
        <v>370</v>
      </c>
      <c r="M294" s="130">
        <v>370</v>
      </c>
      <c r="N294" s="130">
        <v>370</v>
      </c>
      <c r="O294" s="84">
        <f>N294</f>
        <v>370</v>
      </c>
      <c r="P294" s="84">
        <f t="shared" si="135"/>
        <v>370</v>
      </c>
      <c r="Q294" s="84">
        <f t="shared" si="135"/>
        <v>370</v>
      </c>
      <c r="R294" s="84">
        <f t="shared" si="135"/>
        <v>370</v>
      </c>
      <c r="S294" s="84">
        <f t="shared" si="135"/>
        <v>370</v>
      </c>
      <c r="T294" s="84">
        <f t="shared" si="135"/>
        <v>370</v>
      </c>
      <c r="U294" s="84">
        <f t="shared" si="135"/>
        <v>370</v>
      </c>
      <c r="V294" s="84">
        <f t="shared" si="135"/>
        <v>370</v>
      </c>
      <c r="W294" s="84">
        <f t="shared" si="135"/>
        <v>370</v>
      </c>
      <c r="X294" s="169"/>
      <c r="Y294" s="169"/>
      <c r="Z294" s="169"/>
      <c r="AA294" s="169"/>
      <c r="AB294" s="169"/>
      <c r="AC294" s="169"/>
      <c r="AD294" s="169"/>
      <c r="AE294" s="169"/>
      <c r="AF294" s="169"/>
      <c r="AG294" s="169"/>
      <c r="AH294" s="169"/>
      <c r="AI294" s="169"/>
      <c r="AJ294" s="169"/>
      <c r="AK294" s="169"/>
      <c r="AL294" s="169"/>
      <c r="AM294" s="169"/>
      <c r="AN294" s="169"/>
      <c r="AO294" s="169"/>
      <c r="AP294" s="169"/>
      <c r="AQ294" s="169"/>
      <c r="AR294" s="169"/>
      <c r="AS294" s="169"/>
      <c r="AT294" s="169"/>
      <c r="AU294" s="136" t="s">
        <v>377</v>
      </c>
      <c r="AV294" s="136">
        <f t="shared" si="132"/>
        <v>22</v>
      </c>
      <c r="AW294" s="175"/>
      <c r="AX294" s="175"/>
      <c r="AY294" s="182"/>
      <c r="AZ294" s="143"/>
    </row>
    <row r="295" spans="1:52" s="137" customFormat="1" x14ac:dyDescent="0.25">
      <c r="A295" s="86" t="s">
        <v>270</v>
      </c>
      <c r="B295" s="90" t="str">
        <f t="shared" si="127"/>
        <v>F23</v>
      </c>
      <c r="C295" s="127" t="s">
        <v>291</v>
      </c>
      <c r="D295" s="86"/>
      <c r="E295" s="86" t="s">
        <v>120</v>
      </c>
      <c r="F295" s="112" t="s">
        <v>121</v>
      </c>
      <c r="G295" s="179"/>
      <c r="H295" s="179"/>
      <c r="I295" s="111"/>
      <c r="J295" s="111"/>
      <c r="K295" s="130">
        <v>-4000</v>
      </c>
      <c r="L295" s="130">
        <f>K295</f>
        <v>-4000</v>
      </c>
      <c r="M295" s="130">
        <f t="shared" ref="M295:N295" si="136">L295</f>
        <v>-4000</v>
      </c>
      <c r="N295" s="130">
        <f t="shared" si="136"/>
        <v>-4000</v>
      </c>
      <c r="O295" s="84">
        <f>N295</f>
        <v>-4000</v>
      </c>
      <c r="P295" s="84">
        <f t="shared" si="135"/>
        <v>-4000</v>
      </c>
      <c r="Q295" s="84">
        <f t="shared" si="135"/>
        <v>-4000</v>
      </c>
      <c r="R295" s="84">
        <f t="shared" si="135"/>
        <v>-4000</v>
      </c>
      <c r="S295" s="84">
        <f t="shared" si="135"/>
        <v>-4000</v>
      </c>
      <c r="T295" s="84">
        <f t="shared" si="135"/>
        <v>-4000</v>
      </c>
      <c r="U295" s="84">
        <f t="shared" si="135"/>
        <v>-4000</v>
      </c>
      <c r="V295" s="84">
        <f t="shared" si="135"/>
        <v>-4000</v>
      </c>
      <c r="W295" s="84">
        <f t="shared" si="135"/>
        <v>-4000</v>
      </c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  <c r="AH295" s="169"/>
      <c r="AI295" s="169"/>
      <c r="AJ295" s="169"/>
      <c r="AK295" s="169"/>
      <c r="AL295" s="169"/>
      <c r="AM295" s="169"/>
      <c r="AN295" s="169"/>
      <c r="AO295" s="169"/>
      <c r="AP295" s="169"/>
      <c r="AQ295" s="169"/>
      <c r="AR295" s="169"/>
      <c r="AS295" s="169"/>
      <c r="AT295" s="169"/>
      <c r="AU295" s="136" t="s">
        <v>377</v>
      </c>
      <c r="AV295" s="136">
        <f t="shared" si="132"/>
        <v>23</v>
      </c>
      <c r="AW295" s="175" t="str">
        <f>IF(F295="VEDTATT","VEDTATT",0)</f>
        <v>VEDTATT</v>
      </c>
      <c r="AX295" s="175">
        <f>IF(F295="MÅ","Nye tiltak",0)</f>
        <v>0</v>
      </c>
      <c r="AY295" s="182"/>
      <c r="AZ295" s="143"/>
    </row>
    <row r="296" spans="1:52" s="137" customFormat="1" x14ac:dyDescent="0.25">
      <c r="A296" s="86" t="s">
        <v>270</v>
      </c>
      <c r="B296" s="90" t="str">
        <f t="shared" si="127"/>
        <v>F24</v>
      </c>
      <c r="C296" s="127" t="s">
        <v>292</v>
      </c>
      <c r="D296" s="86"/>
      <c r="E296" s="86" t="s">
        <v>131</v>
      </c>
      <c r="F296" s="112" t="s">
        <v>132</v>
      </c>
      <c r="G296" s="179"/>
      <c r="H296" s="179"/>
      <c r="I296" s="111"/>
      <c r="J296" s="111"/>
      <c r="K296" s="111">
        <v>1500</v>
      </c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69"/>
      <c r="Y296" s="169"/>
      <c r="Z296" s="169"/>
      <c r="AA296" s="169"/>
      <c r="AB296" s="169"/>
      <c r="AC296" s="169"/>
      <c r="AD296" s="169"/>
      <c r="AE296" s="169"/>
      <c r="AF296" s="169"/>
      <c r="AG296" s="169"/>
      <c r="AH296" s="169"/>
      <c r="AI296" s="169"/>
      <c r="AJ296" s="169"/>
      <c r="AK296" s="169"/>
      <c r="AL296" s="169"/>
      <c r="AM296" s="169"/>
      <c r="AN296" s="169"/>
      <c r="AO296" s="169"/>
      <c r="AP296" s="169"/>
      <c r="AQ296" s="169"/>
      <c r="AR296" s="169"/>
      <c r="AS296" s="169"/>
      <c r="AT296" s="169"/>
      <c r="AU296" s="136" t="s">
        <v>377</v>
      </c>
      <c r="AV296" s="136">
        <f>AV295+1</f>
        <v>24</v>
      </c>
      <c r="AW296" s="175">
        <f>IF(F296="VEDTATT","VEDTATT",0)</f>
        <v>0</v>
      </c>
      <c r="AX296" s="175" t="str">
        <f>IF(F296="MÅ","Nye tiltak",0)</f>
        <v>Nye tiltak</v>
      </c>
      <c r="AY296" s="182"/>
      <c r="AZ296" s="143"/>
    </row>
    <row r="297" spans="1:52" s="137" customFormat="1" ht="25.5" x14ac:dyDescent="0.25">
      <c r="A297" s="86" t="s">
        <v>270</v>
      </c>
      <c r="B297" s="90" t="str">
        <f t="shared" si="127"/>
        <v>F25</v>
      </c>
      <c r="C297" s="127" t="s">
        <v>293</v>
      </c>
      <c r="D297" s="86"/>
      <c r="E297" s="86" t="s">
        <v>131</v>
      </c>
      <c r="F297" s="112" t="s">
        <v>132</v>
      </c>
      <c r="G297" s="179"/>
      <c r="H297" s="179"/>
      <c r="I297" s="111"/>
      <c r="J297" s="111"/>
      <c r="K297" s="111">
        <v>-1500</v>
      </c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69"/>
      <c r="Y297" s="169"/>
      <c r="Z297" s="169"/>
      <c r="AA297" s="169"/>
      <c r="AB297" s="169"/>
      <c r="AC297" s="169"/>
      <c r="AD297" s="169"/>
      <c r="AE297" s="169"/>
      <c r="AF297" s="169"/>
      <c r="AG297" s="169"/>
      <c r="AH297" s="169"/>
      <c r="AI297" s="169"/>
      <c r="AJ297" s="169"/>
      <c r="AK297" s="169"/>
      <c r="AL297" s="169"/>
      <c r="AM297" s="169"/>
      <c r="AN297" s="169"/>
      <c r="AO297" s="169"/>
      <c r="AP297" s="169"/>
      <c r="AQ297" s="169"/>
      <c r="AR297" s="169"/>
      <c r="AS297" s="169"/>
      <c r="AT297" s="169"/>
      <c r="AU297" s="136" t="s">
        <v>377</v>
      </c>
      <c r="AV297" s="136">
        <f t="shared" ref="AV297" si="137">AV296+1</f>
        <v>25</v>
      </c>
      <c r="AW297" s="175"/>
      <c r="AX297" s="175" t="s">
        <v>322</v>
      </c>
      <c r="AY297" s="182"/>
      <c r="AZ297" s="143"/>
    </row>
    <row r="298" spans="1:52" s="137" customFormat="1" x14ac:dyDescent="0.25">
      <c r="A298" s="86" t="s">
        <v>270</v>
      </c>
      <c r="B298" s="90" t="str">
        <f t="shared" si="127"/>
        <v>F26</v>
      </c>
      <c r="C298" s="191" t="s">
        <v>294</v>
      </c>
      <c r="D298" s="86"/>
      <c r="E298" s="86" t="s">
        <v>120</v>
      </c>
      <c r="F298" s="112" t="s">
        <v>121</v>
      </c>
      <c r="G298" s="179"/>
      <c r="H298" s="179"/>
      <c r="I298" s="111">
        <v>39000</v>
      </c>
      <c r="J298" s="111">
        <v>55000</v>
      </c>
      <c r="K298" s="111">
        <f>[4]Internhusleie!K225</f>
        <v>7411</v>
      </c>
      <c r="L298" s="111">
        <f>[4]Internhusleie!L225</f>
        <v>24877</v>
      </c>
      <c r="M298" s="111">
        <f>[4]Internhusleie!M225</f>
        <v>24877</v>
      </c>
      <c r="N298" s="111">
        <f>[4]Internhusleie!N225</f>
        <v>24877</v>
      </c>
      <c r="O298" s="84">
        <f>N298</f>
        <v>24877</v>
      </c>
      <c r="P298" s="84">
        <f t="shared" ref="P298:W299" si="138">O298</f>
        <v>24877</v>
      </c>
      <c r="Q298" s="84">
        <f t="shared" si="138"/>
        <v>24877</v>
      </c>
      <c r="R298" s="84">
        <f t="shared" si="138"/>
        <v>24877</v>
      </c>
      <c r="S298" s="84">
        <f t="shared" si="138"/>
        <v>24877</v>
      </c>
      <c r="T298" s="84">
        <f t="shared" si="138"/>
        <v>24877</v>
      </c>
      <c r="U298" s="84">
        <f t="shared" si="138"/>
        <v>24877</v>
      </c>
      <c r="V298" s="84">
        <f t="shared" si="138"/>
        <v>24877</v>
      </c>
      <c r="W298" s="84">
        <f t="shared" si="138"/>
        <v>24877</v>
      </c>
      <c r="X298" s="169"/>
      <c r="Y298" s="169"/>
      <c r="Z298" s="169"/>
      <c r="AA298" s="169"/>
      <c r="AB298" s="169"/>
      <c r="AC298" s="169"/>
      <c r="AD298" s="169"/>
      <c r="AE298" s="169"/>
      <c r="AF298" s="169"/>
      <c r="AG298" s="169"/>
      <c r="AH298" s="169"/>
      <c r="AI298" s="169"/>
      <c r="AJ298" s="169"/>
      <c r="AK298" s="169"/>
      <c r="AL298" s="169"/>
      <c r="AM298" s="169"/>
      <c r="AN298" s="169"/>
      <c r="AO298" s="169"/>
      <c r="AP298" s="169"/>
      <c r="AQ298" s="169"/>
      <c r="AR298" s="169"/>
      <c r="AS298" s="169"/>
      <c r="AT298" s="169"/>
      <c r="AU298" s="136" t="s">
        <v>377</v>
      </c>
      <c r="AV298" s="136">
        <f>AV297+1</f>
        <v>26</v>
      </c>
      <c r="AW298" s="175"/>
      <c r="AX298" s="175"/>
      <c r="AY298" s="182"/>
      <c r="AZ298" s="143"/>
    </row>
    <row r="299" spans="1:52" s="137" customFormat="1" x14ac:dyDescent="0.25">
      <c r="A299" s="86" t="s">
        <v>270</v>
      </c>
      <c r="B299" s="90" t="str">
        <f t="shared" si="127"/>
        <v>F27</v>
      </c>
      <c r="C299" s="191" t="s">
        <v>218</v>
      </c>
      <c r="D299" s="86"/>
      <c r="E299" s="86" t="s">
        <v>131</v>
      </c>
      <c r="F299" s="86" t="s">
        <v>132</v>
      </c>
      <c r="G299" s="179"/>
      <c r="H299" s="179"/>
      <c r="I299" s="111"/>
      <c r="J299" s="111"/>
      <c r="K299" s="111"/>
      <c r="L299" s="111"/>
      <c r="M299" s="111">
        <f>[4]Internhusleie!M226</f>
        <v>3130</v>
      </c>
      <c r="N299" s="111">
        <f>[4]Internhusleie!N226</f>
        <v>3130</v>
      </c>
      <c r="O299" s="84">
        <f>N299</f>
        <v>3130</v>
      </c>
      <c r="P299" s="84">
        <f t="shared" si="138"/>
        <v>3130</v>
      </c>
      <c r="Q299" s="84">
        <f t="shared" si="138"/>
        <v>3130</v>
      </c>
      <c r="R299" s="84">
        <f t="shared" si="138"/>
        <v>3130</v>
      </c>
      <c r="S299" s="84">
        <f t="shared" si="138"/>
        <v>3130</v>
      </c>
      <c r="T299" s="84">
        <f t="shared" si="138"/>
        <v>3130</v>
      </c>
      <c r="U299" s="84">
        <f t="shared" si="138"/>
        <v>3130</v>
      </c>
      <c r="V299" s="84">
        <f t="shared" si="138"/>
        <v>3130</v>
      </c>
      <c r="W299" s="84">
        <f t="shared" si="138"/>
        <v>3130</v>
      </c>
      <c r="X299" s="169"/>
      <c r="Y299" s="169"/>
      <c r="Z299" s="169"/>
      <c r="AA299" s="169"/>
      <c r="AB299" s="169"/>
      <c r="AC299" s="169"/>
      <c r="AD299" s="169"/>
      <c r="AE299" s="169"/>
      <c r="AF299" s="169"/>
      <c r="AG299" s="169"/>
      <c r="AH299" s="169"/>
      <c r="AI299" s="169"/>
      <c r="AJ299" s="169"/>
      <c r="AK299" s="169"/>
      <c r="AL299" s="169"/>
      <c r="AM299" s="169"/>
      <c r="AN299" s="169"/>
      <c r="AO299" s="169"/>
      <c r="AP299" s="169"/>
      <c r="AQ299" s="169"/>
      <c r="AR299" s="169"/>
      <c r="AS299" s="169"/>
      <c r="AT299" s="169"/>
      <c r="AU299" s="136" t="s">
        <v>377</v>
      </c>
      <c r="AV299" s="136">
        <f>AV298+1</f>
        <v>27</v>
      </c>
      <c r="AW299" s="175"/>
      <c r="AX299" s="175"/>
      <c r="AY299" s="182"/>
      <c r="AZ299" s="143"/>
    </row>
    <row r="300" spans="1:52" s="137" customFormat="1" x14ac:dyDescent="0.25">
      <c r="A300" s="86"/>
      <c r="B300" s="90" t="str">
        <f t="shared" si="127"/>
        <v/>
      </c>
      <c r="C300" s="119" t="s">
        <v>296</v>
      </c>
      <c r="D300" s="121"/>
      <c r="E300" s="121"/>
      <c r="F300" s="112"/>
      <c r="G300" s="179"/>
      <c r="H300" s="179"/>
      <c r="I300" s="111"/>
      <c r="J300" s="111"/>
      <c r="K300" s="111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69"/>
      <c r="Y300" s="169"/>
      <c r="Z300" s="169"/>
      <c r="AA300" s="169"/>
      <c r="AB300" s="169"/>
      <c r="AC300" s="169"/>
      <c r="AD300" s="169"/>
      <c r="AE300" s="169"/>
      <c r="AF300" s="169"/>
      <c r="AG300" s="169"/>
      <c r="AH300" s="169"/>
      <c r="AI300" s="169"/>
      <c r="AJ300" s="169"/>
      <c r="AK300" s="169"/>
      <c r="AL300" s="169"/>
      <c r="AM300" s="169"/>
      <c r="AN300" s="169"/>
      <c r="AO300" s="169"/>
      <c r="AP300" s="169"/>
      <c r="AQ300" s="169"/>
      <c r="AR300" s="169"/>
      <c r="AS300" s="169"/>
      <c r="AT300" s="169"/>
      <c r="AU300" s="160"/>
      <c r="AV300" s="160"/>
      <c r="AW300" s="175">
        <f>IF(F300="VEDTATT","VEDTATT",0)</f>
        <v>0</v>
      </c>
      <c r="AX300" s="175">
        <f>IF(F300="MÅ","Nye tiltak",0)</f>
        <v>0</v>
      </c>
      <c r="AY300" s="182"/>
      <c r="AZ300" s="143"/>
    </row>
    <row r="301" spans="1:52" s="137" customFormat="1" x14ac:dyDescent="0.25">
      <c r="A301" s="86" t="s">
        <v>270</v>
      </c>
      <c r="B301" s="90" t="str">
        <f t="shared" si="127"/>
        <v>F28</v>
      </c>
      <c r="C301" s="127" t="s">
        <v>297</v>
      </c>
      <c r="D301" s="86"/>
      <c r="E301" s="86" t="s">
        <v>120</v>
      </c>
      <c r="F301" s="112" t="s">
        <v>121</v>
      </c>
      <c r="G301" s="179"/>
      <c r="H301" s="179"/>
      <c r="I301" s="111"/>
      <c r="J301" s="111"/>
      <c r="K301" s="111"/>
      <c r="L301" s="130">
        <v>2430</v>
      </c>
      <c r="M301" s="130"/>
      <c r="N301" s="130">
        <v>1895</v>
      </c>
      <c r="O301" s="111"/>
      <c r="P301" s="130">
        <v>2430</v>
      </c>
      <c r="Q301" s="130"/>
      <c r="R301" s="130">
        <v>1895</v>
      </c>
      <c r="S301" s="111"/>
      <c r="T301" s="130">
        <v>2430</v>
      </c>
      <c r="U301" s="130"/>
      <c r="V301" s="130">
        <v>1895</v>
      </c>
      <c r="W301" s="84"/>
      <c r="X301" s="169"/>
      <c r="Y301" s="169"/>
      <c r="Z301" s="169"/>
      <c r="AA301" s="169"/>
      <c r="AB301" s="169"/>
      <c r="AC301" s="169"/>
      <c r="AD301" s="169"/>
      <c r="AE301" s="169"/>
      <c r="AF301" s="169"/>
      <c r="AG301" s="169"/>
      <c r="AH301" s="169"/>
      <c r="AI301" s="169"/>
      <c r="AJ301" s="169"/>
      <c r="AK301" s="169"/>
      <c r="AL301" s="169"/>
      <c r="AM301" s="169"/>
      <c r="AN301" s="169"/>
      <c r="AO301" s="169"/>
      <c r="AP301" s="169"/>
      <c r="AQ301" s="169"/>
      <c r="AR301" s="169"/>
      <c r="AS301" s="169"/>
      <c r="AT301" s="169"/>
      <c r="AU301" s="136" t="s">
        <v>377</v>
      </c>
      <c r="AV301" s="136">
        <f>AV299+1</f>
        <v>28</v>
      </c>
      <c r="AW301" s="175" t="str">
        <f>IF(F301="VEDTATT","VEDTATT",0)</f>
        <v>VEDTATT</v>
      </c>
      <c r="AX301" s="175">
        <f>IF(F301="MÅ","Nye tiltak",0)</f>
        <v>0</v>
      </c>
      <c r="AY301" s="182"/>
      <c r="AZ301" s="143"/>
    </row>
    <row r="302" spans="1:52" s="137" customFormat="1" x14ac:dyDescent="0.25">
      <c r="A302" s="86" t="s">
        <v>270</v>
      </c>
      <c r="B302" s="90" t="str">
        <f t="shared" si="127"/>
        <v>F29</v>
      </c>
      <c r="C302" s="127" t="s">
        <v>298</v>
      </c>
      <c r="D302" s="86"/>
      <c r="E302" s="86" t="s">
        <v>124</v>
      </c>
      <c r="F302" s="112" t="s">
        <v>121</v>
      </c>
      <c r="G302" s="179"/>
      <c r="H302" s="179"/>
      <c r="I302" s="111"/>
      <c r="J302" s="111"/>
      <c r="K302" s="111"/>
      <c r="L302" s="130">
        <v>150</v>
      </c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97"/>
      <c r="Y302" s="197"/>
      <c r="Z302" s="197"/>
      <c r="AA302" s="197"/>
      <c r="AB302" s="197"/>
      <c r="AC302" s="197"/>
      <c r="AD302" s="197"/>
      <c r="AE302" s="197"/>
      <c r="AF302" s="197"/>
      <c r="AG302" s="197"/>
      <c r="AH302" s="197"/>
      <c r="AI302" s="197"/>
      <c r="AJ302" s="197"/>
      <c r="AK302" s="197"/>
      <c r="AL302" s="197"/>
      <c r="AM302" s="197"/>
      <c r="AN302" s="197"/>
      <c r="AO302" s="197"/>
      <c r="AP302" s="197"/>
      <c r="AQ302" s="197"/>
      <c r="AR302" s="197"/>
      <c r="AS302" s="197"/>
      <c r="AT302" s="197"/>
      <c r="AU302" s="136" t="s">
        <v>377</v>
      </c>
      <c r="AV302" s="136">
        <f t="shared" ref="AV302:AV303" si="139">AV301+1</f>
        <v>29</v>
      </c>
      <c r="AW302" s="175" t="str">
        <f>IF(F302="VEDTATT","VEDTATT",0)</f>
        <v>VEDTATT</v>
      </c>
      <c r="AX302" s="175">
        <f>IF(F302="MÅ","Nye tiltak",0)</f>
        <v>0</v>
      </c>
      <c r="AY302" s="200"/>
      <c r="AZ302" s="143"/>
    </row>
    <row r="303" spans="1:52" s="137" customFormat="1" x14ac:dyDescent="0.25">
      <c r="A303" s="86" t="s">
        <v>270</v>
      </c>
      <c r="B303" s="90" t="str">
        <f t="shared" si="127"/>
        <v>F30</v>
      </c>
      <c r="C303" s="127" t="s">
        <v>299</v>
      </c>
      <c r="D303" s="86"/>
      <c r="E303" s="86" t="s">
        <v>120</v>
      </c>
      <c r="F303" s="112" t="s">
        <v>121</v>
      </c>
      <c r="G303" s="179"/>
      <c r="H303" s="179"/>
      <c r="I303" s="111"/>
      <c r="J303" s="111"/>
      <c r="K303" s="111"/>
      <c r="L303" s="130">
        <v>300</v>
      </c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97"/>
      <c r="Y303" s="197"/>
      <c r="Z303" s="197"/>
      <c r="AA303" s="197"/>
      <c r="AB303" s="197"/>
      <c r="AC303" s="197"/>
      <c r="AD303" s="197"/>
      <c r="AE303" s="197"/>
      <c r="AF303" s="197"/>
      <c r="AG303" s="197"/>
      <c r="AH303" s="197"/>
      <c r="AI303" s="197"/>
      <c r="AJ303" s="197"/>
      <c r="AK303" s="197"/>
      <c r="AL303" s="197"/>
      <c r="AM303" s="197"/>
      <c r="AN303" s="197"/>
      <c r="AO303" s="197"/>
      <c r="AP303" s="197"/>
      <c r="AQ303" s="197"/>
      <c r="AR303" s="197"/>
      <c r="AS303" s="197"/>
      <c r="AT303" s="197"/>
      <c r="AU303" s="136" t="s">
        <v>377</v>
      </c>
      <c r="AV303" s="136">
        <f t="shared" si="139"/>
        <v>30</v>
      </c>
      <c r="AW303" s="175"/>
      <c r="AX303" s="175"/>
      <c r="AY303" s="200"/>
      <c r="AZ303" s="143"/>
    </row>
    <row r="304" spans="1:52" s="137" customFormat="1" x14ac:dyDescent="0.25">
      <c r="A304" s="86"/>
      <c r="B304" s="90" t="str">
        <f t="shared" si="127"/>
        <v/>
      </c>
      <c r="C304" s="119" t="s">
        <v>300</v>
      </c>
      <c r="D304" s="121"/>
      <c r="E304" s="121"/>
      <c r="F304" s="112"/>
      <c r="G304" s="179"/>
      <c r="H304" s="179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  <c r="X304" s="169"/>
      <c r="Y304" s="169"/>
      <c r="Z304" s="169"/>
      <c r="AA304" s="169"/>
      <c r="AB304" s="169"/>
      <c r="AC304" s="169"/>
      <c r="AD304" s="169"/>
      <c r="AE304" s="169"/>
      <c r="AF304" s="169"/>
      <c r="AG304" s="169"/>
      <c r="AH304" s="169"/>
      <c r="AI304" s="169"/>
      <c r="AJ304" s="169"/>
      <c r="AK304" s="169"/>
      <c r="AL304" s="169"/>
      <c r="AM304" s="169"/>
      <c r="AN304" s="169"/>
      <c r="AO304" s="169"/>
      <c r="AP304" s="169"/>
      <c r="AQ304" s="169"/>
      <c r="AR304" s="169"/>
      <c r="AS304" s="169"/>
      <c r="AT304" s="169"/>
      <c r="AU304" s="160"/>
      <c r="AV304" s="160"/>
      <c r="AW304" s="175">
        <f>IF(F304="VEDTATT","VEDTATT",0)</f>
        <v>0</v>
      </c>
      <c r="AX304" s="175">
        <f>IF(F304="MÅ","Nye tiltak",0)</f>
        <v>0</v>
      </c>
      <c r="AY304" s="182"/>
      <c r="AZ304" s="143"/>
    </row>
    <row r="305" spans="1:55" s="137" customFormat="1" x14ac:dyDescent="0.25">
      <c r="A305" s="86" t="s">
        <v>270</v>
      </c>
      <c r="B305" s="90" t="str">
        <f t="shared" si="127"/>
        <v>F31</v>
      </c>
      <c r="C305" s="127" t="s">
        <v>301</v>
      </c>
      <c r="D305" s="86"/>
      <c r="E305" s="86" t="s">
        <v>120</v>
      </c>
      <c r="F305" s="112" t="s">
        <v>121</v>
      </c>
      <c r="G305" s="179"/>
      <c r="H305" s="179"/>
      <c r="I305" s="111">
        <f>(39980+11200-945-878)*1.02</f>
        <v>50344.14</v>
      </c>
      <c r="J305" s="82">
        <v>-3765</v>
      </c>
      <c r="K305" s="82">
        <f>[4]Internhusleie!K233</f>
        <v>2159</v>
      </c>
      <c r="L305" s="82">
        <f>[4]Internhusleie!L233</f>
        <v>2159</v>
      </c>
      <c r="M305" s="82">
        <f>[4]Internhusleie!M233</f>
        <v>2159</v>
      </c>
      <c r="N305" s="82">
        <f>[4]Internhusleie!N233</f>
        <v>2159</v>
      </c>
      <c r="O305" s="84">
        <f>N305</f>
        <v>2159</v>
      </c>
      <c r="P305" s="84">
        <f t="shared" ref="P305:W308" si="140">O305</f>
        <v>2159</v>
      </c>
      <c r="Q305" s="84">
        <f t="shared" si="140"/>
        <v>2159</v>
      </c>
      <c r="R305" s="84">
        <f t="shared" si="140"/>
        <v>2159</v>
      </c>
      <c r="S305" s="84">
        <f t="shared" si="140"/>
        <v>2159</v>
      </c>
      <c r="T305" s="84">
        <f t="shared" si="140"/>
        <v>2159</v>
      </c>
      <c r="U305" s="84">
        <f t="shared" si="140"/>
        <v>2159</v>
      </c>
      <c r="V305" s="84">
        <f t="shared" si="140"/>
        <v>2159</v>
      </c>
      <c r="W305" s="84">
        <f t="shared" si="140"/>
        <v>2159</v>
      </c>
      <c r="X305" s="169"/>
      <c r="Y305" s="169"/>
      <c r="Z305" s="169"/>
      <c r="AA305" s="169"/>
      <c r="AB305" s="169"/>
      <c r="AC305" s="169"/>
      <c r="AD305" s="169"/>
      <c r="AE305" s="169"/>
      <c r="AF305" s="169"/>
      <c r="AG305" s="169"/>
      <c r="AH305" s="169"/>
      <c r="AI305" s="169"/>
      <c r="AJ305" s="169"/>
      <c r="AK305" s="169"/>
      <c r="AL305" s="169"/>
      <c r="AM305" s="169"/>
      <c r="AN305" s="169"/>
      <c r="AO305" s="169"/>
      <c r="AP305" s="169"/>
      <c r="AQ305" s="169"/>
      <c r="AR305" s="169"/>
      <c r="AS305" s="169"/>
      <c r="AT305" s="169"/>
      <c r="AU305" s="136" t="s">
        <v>377</v>
      </c>
      <c r="AV305" s="136">
        <f>AV303+1</f>
        <v>31</v>
      </c>
      <c r="AW305" s="175" t="str">
        <f>IF(F305="VEDTATT","VEDTATT",0)</f>
        <v>VEDTATT</v>
      </c>
      <c r="AX305" s="175">
        <f>IF(F305="MÅ","Nye tiltak",0)</f>
        <v>0</v>
      </c>
      <c r="AY305" s="182"/>
      <c r="AZ305" s="143"/>
    </row>
    <row r="306" spans="1:55" x14ac:dyDescent="0.25">
      <c r="A306" s="86" t="s">
        <v>270</v>
      </c>
      <c r="B306" s="90" t="str">
        <f t="shared" si="127"/>
        <v>F32</v>
      </c>
      <c r="C306" s="127" t="s">
        <v>302</v>
      </c>
      <c r="D306" s="86"/>
      <c r="E306" s="86" t="s">
        <v>131</v>
      </c>
      <c r="F306" s="86" t="s">
        <v>132</v>
      </c>
      <c r="G306" s="179"/>
      <c r="H306" s="179"/>
      <c r="I306" s="111"/>
      <c r="J306" s="82"/>
      <c r="K306" s="82">
        <f>[4]Internhusleie!K234</f>
        <v>-200</v>
      </c>
      <c r="L306" s="82">
        <f>[4]Internhusleie!L234</f>
        <v>-200</v>
      </c>
      <c r="M306" s="82">
        <f>[4]Internhusleie!M234</f>
        <v>-200</v>
      </c>
      <c r="N306" s="82">
        <f>[4]Internhusleie!N234</f>
        <v>-200</v>
      </c>
      <c r="O306" s="84">
        <f>N306</f>
        <v>-200</v>
      </c>
      <c r="P306" s="84">
        <f t="shared" si="140"/>
        <v>-200</v>
      </c>
      <c r="Q306" s="84">
        <f t="shared" si="140"/>
        <v>-200</v>
      </c>
      <c r="R306" s="84">
        <f t="shared" si="140"/>
        <v>-200</v>
      </c>
      <c r="S306" s="84">
        <f t="shared" si="140"/>
        <v>-200</v>
      </c>
      <c r="T306" s="84">
        <f t="shared" si="140"/>
        <v>-200</v>
      </c>
      <c r="U306" s="84">
        <f t="shared" si="140"/>
        <v>-200</v>
      </c>
      <c r="V306" s="84">
        <f t="shared" si="140"/>
        <v>-200</v>
      </c>
      <c r="W306" s="84">
        <f t="shared" si="140"/>
        <v>-200</v>
      </c>
      <c r="X306" s="169"/>
      <c r="Y306" s="169"/>
      <c r="Z306" s="169"/>
      <c r="AA306" s="169"/>
      <c r="AB306" s="169"/>
      <c r="AC306" s="169"/>
      <c r="AD306" s="169"/>
      <c r="AE306" s="169"/>
      <c r="AF306" s="169"/>
      <c r="AG306" s="169"/>
      <c r="AH306" s="169"/>
      <c r="AI306" s="169"/>
      <c r="AJ306" s="169"/>
      <c r="AK306" s="169"/>
      <c r="AL306" s="169"/>
      <c r="AM306" s="169"/>
      <c r="AN306" s="169"/>
      <c r="AO306" s="169"/>
      <c r="AP306" s="169"/>
      <c r="AQ306" s="169"/>
      <c r="AR306" s="169"/>
      <c r="AS306" s="169"/>
      <c r="AT306" s="169"/>
      <c r="AU306" s="136" t="s">
        <v>377</v>
      </c>
      <c r="AV306" s="136">
        <f t="shared" ref="AV306:AV312" si="141">AV305+1</f>
        <v>32</v>
      </c>
      <c r="AW306" s="175"/>
      <c r="AX306" s="175"/>
      <c r="AY306" s="182"/>
      <c r="AZ306" s="143"/>
      <c r="BA306" s="137"/>
      <c r="BB306" s="137"/>
      <c r="BC306" s="137"/>
    </row>
    <row r="307" spans="1:55" x14ac:dyDescent="0.25">
      <c r="A307" s="86" t="s">
        <v>270</v>
      </c>
      <c r="B307" s="90" t="str">
        <f t="shared" si="127"/>
        <v>F33</v>
      </c>
      <c r="C307" s="127" t="s">
        <v>303</v>
      </c>
      <c r="D307" s="86"/>
      <c r="E307" s="86" t="s">
        <v>124</v>
      </c>
      <c r="F307" s="112" t="s">
        <v>121</v>
      </c>
      <c r="G307" s="179"/>
      <c r="H307" s="179"/>
      <c r="I307" s="111">
        <v>-39980</v>
      </c>
      <c r="J307" s="82">
        <v>10317</v>
      </c>
      <c r="K307" s="84"/>
      <c r="L307" s="84">
        <v>-3010</v>
      </c>
      <c r="M307" s="84">
        <v>-3010</v>
      </c>
      <c r="N307" s="84">
        <v>-3010</v>
      </c>
      <c r="O307" s="84">
        <f>N307</f>
        <v>-3010</v>
      </c>
      <c r="P307" s="84">
        <f t="shared" si="140"/>
        <v>-3010</v>
      </c>
      <c r="Q307" s="84">
        <f t="shared" si="140"/>
        <v>-3010</v>
      </c>
      <c r="R307" s="84">
        <f t="shared" si="140"/>
        <v>-3010</v>
      </c>
      <c r="S307" s="84">
        <f t="shared" si="140"/>
        <v>-3010</v>
      </c>
      <c r="T307" s="84">
        <f t="shared" si="140"/>
        <v>-3010</v>
      </c>
      <c r="U307" s="84">
        <f t="shared" si="140"/>
        <v>-3010</v>
      </c>
      <c r="V307" s="84">
        <f t="shared" si="140"/>
        <v>-3010</v>
      </c>
      <c r="W307" s="84">
        <f t="shared" si="140"/>
        <v>-3010</v>
      </c>
      <c r="X307" s="169"/>
      <c r="Y307" s="169"/>
      <c r="Z307" s="169"/>
      <c r="AA307" s="169"/>
      <c r="AB307" s="169"/>
      <c r="AC307" s="169"/>
      <c r="AD307" s="169"/>
      <c r="AE307" s="169"/>
      <c r="AF307" s="169"/>
      <c r="AG307" s="169"/>
      <c r="AH307" s="169"/>
      <c r="AI307" s="169"/>
      <c r="AJ307" s="169"/>
      <c r="AK307" s="169"/>
      <c r="AL307" s="169"/>
      <c r="AM307" s="169"/>
      <c r="AN307" s="169"/>
      <c r="AO307" s="169"/>
      <c r="AP307" s="169"/>
      <c r="AQ307" s="169"/>
      <c r="AR307" s="169"/>
      <c r="AS307" s="169"/>
      <c r="AT307" s="169"/>
      <c r="AU307" s="136" t="s">
        <v>377</v>
      </c>
      <c r="AV307" s="136">
        <f t="shared" si="141"/>
        <v>33</v>
      </c>
      <c r="AW307" s="175" t="str">
        <f>IF(F307="VEDTATT","VEDTATT",0)</f>
        <v>VEDTATT</v>
      </c>
      <c r="AX307" s="175">
        <f>IF(F307="MÅ","Nye tiltak",0)</f>
        <v>0</v>
      </c>
      <c r="AY307" s="182"/>
      <c r="AZ307" s="143"/>
      <c r="BA307" s="137"/>
      <c r="BB307" s="137"/>
      <c r="BC307" s="137"/>
    </row>
    <row r="308" spans="1:55" x14ac:dyDescent="0.25">
      <c r="A308" s="86" t="s">
        <v>270</v>
      </c>
      <c r="B308" s="90" t="str">
        <f t="shared" si="127"/>
        <v>F34</v>
      </c>
      <c r="C308" s="127" t="s">
        <v>485</v>
      </c>
      <c r="D308" s="86"/>
      <c r="E308" s="86" t="s">
        <v>124</v>
      </c>
      <c r="F308" s="112" t="s">
        <v>121</v>
      </c>
      <c r="G308" s="179"/>
      <c r="H308" s="179"/>
      <c r="I308" s="111">
        <v>-199</v>
      </c>
      <c r="J308" s="82">
        <v>200</v>
      </c>
      <c r="K308" s="84">
        <v>1700</v>
      </c>
      <c r="L308" s="84">
        <v>1500</v>
      </c>
      <c r="M308" s="84">
        <v>1600</v>
      </c>
      <c r="N308" s="84">
        <v>1700</v>
      </c>
      <c r="O308" s="84">
        <f>N308</f>
        <v>1700</v>
      </c>
      <c r="P308" s="84">
        <f t="shared" si="140"/>
        <v>1700</v>
      </c>
      <c r="Q308" s="84">
        <f t="shared" si="140"/>
        <v>1700</v>
      </c>
      <c r="R308" s="84">
        <f t="shared" si="140"/>
        <v>1700</v>
      </c>
      <c r="S308" s="84">
        <f t="shared" si="140"/>
        <v>1700</v>
      </c>
      <c r="T308" s="84">
        <f t="shared" si="140"/>
        <v>1700</v>
      </c>
      <c r="U308" s="84">
        <f t="shared" si="140"/>
        <v>1700</v>
      </c>
      <c r="V308" s="84">
        <f t="shared" si="140"/>
        <v>1700</v>
      </c>
      <c r="W308" s="84">
        <f t="shared" si="140"/>
        <v>1700</v>
      </c>
      <c r="X308" s="169"/>
      <c r="Y308" s="169"/>
      <c r="Z308" s="169"/>
      <c r="AA308" s="169"/>
      <c r="AB308" s="169"/>
      <c r="AC308" s="169"/>
      <c r="AD308" s="169"/>
      <c r="AE308" s="169"/>
      <c r="AF308" s="169"/>
      <c r="AG308" s="169"/>
      <c r="AH308" s="169"/>
      <c r="AI308" s="169"/>
      <c r="AJ308" s="169"/>
      <c r="AK308" s="169"/>
      <c r="AL308" s="169"/>
      <c r="AM308" s="169"/>
      <c r="AN308" s="169"/>
      <c r="AO308" s="169"/>
      <c r="AP308" s="169"/>
      <c r="AQ308" s="169"/>
      <c r="AR308" s="169"/>
      <c r="AS308" s="169"/>
      <c r="AT308" s="169"/>
      <c r="AU308" s="136" t="s">
        <v>377</v>
      </c>
      <c r="AV308" s="136">
        <f t="shared" si="141"/>
        <v>34</v>
      </c>
      <c r="AW308" s="175" t="str">
        <f>IF(F308="VEDTATT","VEDTATT",0)</f>
        <v>VEDTATT</v>
      </c>
      <c r="AX308" s="175">
        <f>IF(F308="MÅ","Nye tiltak",0)</f>
        <v>0</v>
      </c>
      <c r="AY308" s="182"/>
      <c r="AZ308" s="143"/>
      <c r="BA308" s="137"/>
      <c r="BB308" s="137"/>
      <c r="BC308" s="137"/>
    </row>
    <row r="309" spans="1:55" x14ac:dyDescent="0.25">
      <c r="A309" s="86" t="s">
        <v>270</v>
      </c>
      <c r="B309" s="90" t="str">
        <f t="shared" si="127"/>
        <v>F35</v>
      </c>
      <c r="C309" s="127" t="s">
        <v>486</v>
      </c>
      <c r="D309" s="86"/>
      <c r="E309" s="86" t="s">
        <v>131</v>
      </c>
      <c r="F309" s="112" t="s">
        <v>132</v>
      </c>
      <c r="G309" s="203"/>
      <c r="H309" s="203"/>
      <c r="I309" s="131"/>
      <c r="J309" s="82"/>
      <c r="K309" s="84">
        <v>1500</v>
      </c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169"/>
      <c r="Y309" s="169"/>
      <c r="Z309" s="169"/>
      <c r="AA309" s="169"/>
      <c r="AB309" s="169"/>
      <c r="AC309" s="169"/>
      <c r="AD309" s="169"/>
      <c r="AE309" s="169"/>
      <c r="AF309" s="169"/>
      <c r="AG309" s="169"/>
      <c r="AH309" s="169"/>
      <c r="AI309" s="169"/>
      <c r="AJ309" s="169"/>
      <c r="AK309" s="169"/>
      <c r="AL309" s="169"/>
      <c r="AM309" s="169"/>
      <c r="AN309" s="169"/>
      <c r="AO309" s="169"/>
      <c r="AP309" s="169"/>
      <c r="AQ309" s="169"/>
      <c r="AR309" s="169"/>
      <c r="AS309" s="169"/>
      <c r="AT309" s="169"/>
      <c r="AU309" s="136" t="s">
        <v>377</v>
      </c>
      <c r="AV309" s="136">
        <f t="shared" si="141"/>
        <v>35</v>
      </c>
      <c r="AW309" s="175"/>
      <c r="AX309" s="175"/>
      <c r="AY309" s="182"/>
      <c r="AZ309" s="143"/>
      <c r="BA309" s="137"/>
      <c r="BB309" s="137"/>
      <c r="BC309" s="137"/>
    </row>
    <row r="310" spans="1:55" x14ac:dyDescent="0.25">
      <c r="A310" s="86" t="s">
        <v>270</v>
      </c>
      <c r="B310" s="90" t="str">
        <f t="shared" si="127"/>
        <v>F36</v>
      </c>
      <c r="C310" s="127" t="s">
        <v>487</v>
      </c>
      <c r="D310" s="86"/>
      <c r="E310" s="86" t="s">
        <v>124</v>
      </c>
      <c r="F310" s="112" t="s">
        <v>132</v>
      </c>
      <c r="G310" s="203"/>
      <c r="H310" s="203"/>
      <c r="I310" s="131"/>
      <c r="J310" s="82"/>
      <c r="K310" s="84"/>
      <c r="L310" s="84">
        <v>-2000</v>
      </c>
      <c r="M310" s="84">
        <v>-2000</v>
      </c>
      <c r="N310" s="84">
        <v>-2000</v>
      </c>
      <c r="O310" s="84">
        <f>N310</f>
        <v>-2000</v>
      </c>
      <c r="P310" s="84">
        <f t="shared" ref="P310:W313" si="142">O310</f>
        <v>-2000</v>
      </c>
      <c r="Q310" s="84">
        <f t="shared" si="142"/>
        <v>-2000</v>
      </c>
      <c r="R310" s="84">
        <f t="shared" si="142"/>
        <v>-2000</v>
      </c>
      <c r="S310" s="84">
        <f t="shared" si="142"/>
        <v>-2000</v>
      </c>
      <c r="T310" s="84">
        <f t="shared" si="142"/>
        <v>-2000</v>
      </c>
      <c r="U310" s="84">
        <f t="shared" si="142"/>
        <v>-2000</v>
      </c>
      <c r="V310" s="84">
        <f t="shared" si="142"/>
        <v>-2000</v>
      </c>
      <c r="W310" s="84">
        <f t="shared" si="142"/>
        <v>-2000</v>
      </c>
      <c r="X310" s="169"/>
      <c r="Y310" s="169"/>
      <c r="Z310" s="169"/>
      <c r="AA310" s="169"/>
      <c r="AB310" s="169"/>
      <c r="AC310" s="169"/>
      <c r="AD310" s="169"/>
      <c r="AE310" s="169"/>
      <c r="AF310" s="169"/>
      <c r="AG310" s="169"/>
      <c r="AH310" s="169"/>
      <c r="AI310" s="169"/>
      <c r="AJ310" s="169"/>
      <c r="AK310" s="169"/>
      <c r="AL310" s="169"/>
      <c r="AM310" s="169"/>
      <c r="AN310" s="169"/>
      <c r="AO310" s="169"/>
      <c r="AP310" s="169"/>
      <c r="AQ310" s="169"/>
      <c r="AR310" s="169"/>
      <c r="AS310" s="169"/>
      <c r="AT310" s="169"/>
      <c r="AU310" s="136" t="s">
        <v>377</v>
      </c>
      <c r="AV310" s="136">
        <f t="shared" si="141"/>
        <v>36</v>
      </c>
      <c r="AW310" s="175"/>
      <c r="AX310" s="175"/>
      <c r="AY310" s="182"/>
      <c r="AZ310" s="143"/>
      <c r="BA310" s="137"/>
      <c r="BB310" s="137"/>
      <c r="BC310" s="137"/>
    </row>
    <row r="311" spans="1:55" x14ac:dyDescent="0.25">
      <c r="A311" s="86" t="s">
        <v>270</v>
      </c>
      <c r="B311" s="90" t="str">
        <f t="shared" si="127"/>
        <v>F37</v>
      </c>
      <c r="C311" s="127" t="s">
        <v>488</v>
      </c>
      <c r="D311" s="86"/>
      <c r="E311" s="86" t="s">
        <v>131</v>
      </c>
      <c r="F311" s="112" t="s">
        <v>132</v>
      </c>
      <c r="G311" s="203"/>
      <c r="H311" s="203"/>
      <c r="I311" s="131"/>
      <c r="J311" s="82"/>
      <c r="K311" s="84">
        <v>3000</v>
      </c>
      <c r="L311" s="84">
        <v>3000</v>
      </c>
      <c r="M311" s="84">
        <v>3000</v>
      </c>
      <c r="N311" s="84">
        <v>3000</v>
      </c>
      <c r="O311" s="84">
        <f>N311</f>
        <v>3000</v>
      </c>
      <c r="P311" s="84">
        <f t="shared" si="142"/>
        <v>3000</v>
      </c>
      <c r="Q311" s="84">
        <f t="shared" si="142"/>
        <v>3000</v>
      </c>
      <c r="R311" s="84">
        <f t="shared" si="142"/>
        <v>3000</v>
      </c>
      <c r="S311" s="84">
        <f t="shared" si="142"/>
        <v>3000</v>
      </c>
      <c r="T311" s="84">
        <f t="shared" si="142"/>
        <v>3000</v>
      </c>
      <c r="U311" s="84">
        <f t="shared" si="142"/>
        <v>3000</v>
      </c>
      <c r="V311" s="84">
        <f t="shared" si="142"/>
        <v>3000</v>
      </c>
      <c r="W311" s="84">
        <f t="shared" si="142"/>
        <v>3000</v>
      </c>
      <c r="X311" s="169"/>
      <c r="Y311" s="169"/>
      <c r="Z311" s="169"/>
      <c r="AA311" s="169"/>
      <c r="AB311" s="169"/>
      <c r="AC311" s="169"/>
      <c r="AD311" s="169"/>
      <c r="AE311" s="169"/>
      <c r="AF311" s="169"/>
      <c r="AG311" s="169"/>
      <c r="AH311" s="169"/>
      <c r="AI311" s="169"/>
      <c r="AJ311" s="169"/>
      <c r="AK311" s="169"/>
      <c r="AL311" s="169"/>
      <c r="AM311" s="169"/>
      <c r="AN311" s="169"/>
      <c r="AO311" s="169"/>
      <c r="AP311" s="169"/>
      <c r="AQ311" s="169"/>
      <c r="AR311" s="169"/>
      <c r="AS311" s="169"/>
      <c r="AT311" s="169"/>
      <c r="AU311" s="136" t="s">
        <v>377</v>
      </c>
      <c r="AV311" s="136">
        <f t="shared" si="141"/>
        <v>37</v>
      </c>
      <c r="AW311" s="175"/>
      <c r="AX311" s="175"/>
      <c r="AY311" s="182"/>
      <c r="AZ311" s="143"/>
      <c r="BA311" s="137"/>
      <c r="BB311" s="137"/>
      <c r="BC311" s="137"/>
    </row>
    <row r="312" spans="1:55" x14ac:dyDescent="0.25">
      <c r="A312" s="86" t="s">
        <v>270</v>
      </c>
      <c r="B312" s="90" t="str">
        <f t="shared" si="127"/>
        <v>F38</v>
      </c>
      <c r="C312" s="127" t="s">
        <v>304</v>
      </c>
      <c r="D312" s="86"/>
      <c r="E312" s="86" t="s">
        <v>131</v>
      </c>
      <c r="F312" s="86" t="s">
        <v>132</v>
      </c>
      <c r="G312" s="203"/>
      <c r="H312" s="203"/>
      <c r="I312" s="131"/>
      <c r="J312" s="82"/>
      <c r="K312" s="84">
        <f>[4]Internhusleie!K236</f>
        <v>-5014</v>
      </c>
      <c r="L312" s="84">
        <f>[4]Internhusleie!L236</f>
        <v>-5014</v>
      </c>
      <c r="M312" s="84">
        <f>[4]Internhusleie!M236</f>
        <v>-5014</v>
      </c>
      <c r="N312" s="84">
        <f>[4]Internhusleie!N236</f>
        <v>-5014</v>
      </c>
      <c r="O312" s="84">
        <f>N312</f>
        <v>-5014</v>
      </c>
      <c r="P312" s="84">
        <f t="shared" si="142"/>
        <v>-5014</v>
      </c>
      <c r="Q312" s="84">
        <f t="shared" si="142"/>
        <v>-5014</v>
      </c>
      <c r="R312" s="84">
        <f t="shared" si="142"/>
        <v>-5014</v>
      </c>
      <c r="S312" s="84">
        <f t="shared" si="142"/>
        <v>-5014</v>
      </c>
      <c r="T312" s="84">
        <f t="shared" si="142"/>
        <v>-5014</v>
      </c>
      <c r="U312" s="84">
        <f t="shared" si="142"/>
        <v>-5014</v>
      </c>
      <c r="V312" s="84">
        <f t="shared" si="142"/>
        <v>-5014</v>
      </c>
      <c r="W312" s="84">
        <f t="shared" si="142"/>
        <v>-5014</v>
      </c>
      <c r="X312" s="169"/>
      <c r="Y312" s="169"/>
      <c r="Z312" s="169"/>
      <c r="AA312" s="169"/>
      <c r="AB312" s="169"/>
      <c r="AC312" s="169"/>
      <c r="AD312" s="169"/>
      <c r="AE312" s="169"/>
      <c r="AF312" s="169"/>
      <c r="AG312" s="169"/>
      <c r="AH312" s="169"/>
      <c r="AI312" s="169"/>
      <c r="AJ312" s="169"/>
      <c r="AK312" s="169"/>
      <c r="AL312" s="169"/>
      <c r="AM312" s="169"/>
      <c r="AN312" s="169"/>
      <c r="AO312" s="169"/>
      <c r="AP312" s="169"/>
      <c r="AQ312" s="169"/>
      <c r="AR312" s="169"/>
      <c r="AS312" s="169"/>
      <c r="AT312" s="169"/>
      <c r="AU312" s="136" t="s">
        <v>377</v>
      </c>
      <c r="AV312" s="136">
        <f t="shared" si="141"/>
        <v>38</v>
      </c>
      <c r="AW312" s="175">
        <f>IF(F312="VEDTATT","VEDTATT",0)</f>
        <v>0</v>
      </c>
      <c r="AX312" s="175" t="str">
        <f>IF(F312="MÅ","Nye tiltak",0)</f>
        <v>Nye tiltak</v>
      </c>
      <c r="AY312" s="182"/>
      <c r="AZ312" s="143"/>
      <c r="BA312" s="137"/>
      <c r="BB312" s="137"/>
      <c r="BC312" s="137"/>
    </row>
    <row r="313" spans="1:55" x14ac:dyDescent="0.25">
      <c r="A313" s="86" t="s">
        <v>270</v>
      </c>
      <c r="B313" s="90" t="str">
        <f t="shared" si="127"/>
        <v>F39</v>
      </c>
      <c r="C313" s="127" t="s">
        <v>305</v>
      </c>
      <c r="D313" s="86"/>
      <c r="E313" s="86" t="s">
        <v>131</v>
      </c>
      <c r="F313" s="86" t="s">
        <v>132</v>
      </c>
      <c r="G313" s="203"/>
      <c r="H313" s="203"/>
      <c r="I313" s="131"/>
      <c r="J313" s="82"/>
      <c r="K313" s="84">
        <f>[4]Internhusleie!K235</f>
        <v>3808</v>
      </c>
      <c r="L313" s="84">
        <f>[4]Internhusleie!L235</f>
        <v>9308</v>
      </c>
      <c r="M313" s="84">
        <f>[4]Internhusleie!M235</f>
        <v>10909</v>
      </c>
      <c r="N313" s="84">
        <f>[4]Internhusleie!N235</f>
        <v>12291</v>
      </c>
      <c r="O313" s="84">
        <f>N313</f>
        <v>12291</v>
      </c>
      <c r="P313" s="84">
        <f t="shared" si="142"/>
        <v>12291</v>
      </c>
      <c r="Q313" s="84">
        <f t="shared" si="142"/>
        <v>12291</v>
      </c>
      <c r="R313" s="84">
        <f t="shared" si="142"/>
        <v>12291</v>
      </c>
      <c r="S313" s="84">
        <f t="shared" si="142"/>
        <v>12291</v>
      </c>
      <c r="T313" s="84">
        <f t="shared" si="142"/>
        <v>12291</v>
      </c>
      <c r="U313" s="84">
        <f t="shared" si="142"/>
        <v>12291</v>
      </c>
      <c r="V313" s="84">
        <f t="shared" si="142"/>
        <v>12291</v>
      </c>
      <c r="W313" s="84">
        <f t="shared" si="142"/>
        <v>12291</v>
      </c>
      <c r="X313" s="169"/>
      <c r="Y313" s="169"/>
      <c r="Z313" s="169"/>
      <c r="AA313" s="169"/>
      <c r="AB313" s="169"/>
      <c r="AC313" s="169"/>
      <c r="AD313" s="169"/>
      <c r="AE313" s="169"/>
      <c r="AF313" s="169"/>
      <c r="AG313" s="169"/>
      <c r="AH313" s="169"/>
      <c r="AI313" s="169"/>
      <c r="AJ313" s="169"/>
      <c r="AK313" s="169"/>
      <c r="AL313" s="169"/>
      <c r="AM313" s="169"/>
      <c r="AN313" s="169"/>
      <c r="AO313" s="169"/>
      <c r="AP313" s="169"/>
      <c r="AQ313" s="169"/>
      <c r="AR313" s="169"/>
      <c r="AS313" s="169"/>
      <c r="AT313" s="169"/>
      <c r="AU313" s="136" t="s">
        <v>377</v>
      </c>
      <c r="AV313" s="136">
        <f>AV312+1</f>
        <v>39</v>
      </c>
      <c r="AW313" s="175">
        <f>IF(F313="VEDTATT","VEDTATT",0)</f>
        <v>0</v>
      </c>
      <c r="AX313" s="175" t="str">
        <f>IF(F313="MÅ","Nye tiltak",0)</f>
        <v>Nye tiltak</v>
      </c>
      <c r="AY313" s="182"/>
      <c r="AZ313" s="143"/>
      <c r="BA313" s="137"/>
      <c r="BB313" s="137"/>
      <c r="BC313" s="137"/>
    </row>
    <row r="314" spans="1:55" x14ac:dyDescent="0.25">
      <c r="A314" s="86" t="s">
        <v>270</v>
      </c>
      <c r="B314" s="90" t="str">
        <f t="shared" si="127"/>
        <v/>
      </c>
      <c r="C314" s="119" t="s">
        <v>378</v>
      </c>
      <c r="D314" s="121"/>
      <c r="E314" s="121"/>
      <c r="F314" s="112"/>
      <c r="G314" s="179"/>
      <c r="H314" s="179"/>
      <c r="I314" s="111"/>
      <c r="J314" s="111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69"/>
      <c r="Y314" s="169"/>
      <c r="Z314" s="169"/>
      <c r="AA314" s="169"/>
      <c r="AB314" s="169"/>
      <c r="AC314" s="169"/>
      <c r="AD314" s="169"/>
      <c r="AE314" s="169"/>
      <c r="AF314" s="169"/>
      <c r="AG314" s="169"/>
      <c r="AH314" s="169"/>
      <c r="AI314" s="169"/>
      <c r="AJ314" s="169"/>
      <c r="AK314" s="169"/>
      <c r="AL314" s="169"/>
      <c r="AM314" s="169"/>
      <c r="AN314" s="169"/>
      <c r="AO314" s="169"/>
      <c r="AP314" s="169"/>
      <c r="AQ314" s="169"/>
      <c r="AR314" s="169"/>
      <c r="AS314" s="169"/>
      <c r="AT314" s="169"/>
      <c r="AW314" s="175"/>
      <c r="AX314" s="175"/>
      <c r="AY314" s="182"/>
      <c r="AZ314" s="143"/>
      <c r="BA314" s="137"/>
      <c r="BB314" s="137"/>
      <c r="BC314" s="137"/>
    </row>
    <row r="315" spans="1:55" x14ac:dyDescent="0.25">
      <c r="A315" s="86" t="s">
        <v>270</v>
      </c>
      <c r="B315" s="90" t="str">
        <f t="shared" si="127"/>
        <v>F40</v>
      </c>
      <c r="C315" s="85" t="s">
        <v>295</v>
      </c>
      <c r="D315" s="86"/>
      <c r="E315" s="86" t="s">
        <v>131</v>
      </c>
      <c r="F315" s="86" t="s">
        <v>132</v>
      </c>
      <c r="G315" s="86"/>
      <c r="H315" s="86"/>
      <c r="I315" s="86"/>
      <c r="J315" s="86"/>
      <c r="K315" s="84">
        <v>8097</v>
      </c>
      <c r="L315" s="84">
        <v>8157</v>
      </c>
      <c r="M315" s="84">
        <v>8222</v>
      </c>
      <c r="N315" s="84">
        <v>8294</v>
      </c>
      <c r="O315" s="130"/>
      <c r="P315" s="130"/>
      <c r="Q315" s="130"/>
      <c r="R315" s="130"/>
      <c r="S315" s="130"/>
      <c r="T315" s="130"/>
      <c r="U315" s="130"/>
      <c r="V315" s="130"/>
      <c r="W315" s="130"/>
      <c r="X315" s="241"/>
      <c r="Y315" s="241"/>
      <c r="Z315" s="241"/>
      <c r="AA315" s="241"/>
      <c r="AB315" s="241"/>
      <c r="AC315" s="241"/>
      <c r="AD315" s="241"/>
      <c r="AE315" s="241"/>
      <c r="AF315" s="241"/>
      <c r="AG315" s="241"/>
      <c r="AH315" s="241"/>
      <c r="AI315" s="241"/>
      <c r="AJ315" s="241"/>
      <c r="AK315" s="241"/>
      <c r="AL315" s="241"/>
      <c r="AM315" s="241"/>
      <c r="AN315" s="241"/>
      <c r="AO315" s="241"/>
      <c r="AP315" s="241"/>
      <c r="AQ315" s="241"/>
      <c r="AR315" s="241"/>
      <c r="AS315" s="241"/>
      <c r="AT315" s="241"/>
      <c r="AU315" s="136" t="s">
        <v>377</v>
      </c>
      <c r="AV315" s="136">
        <f>AV313+1</f>
        <v>40</v>
      </c>
      <c r="AW315" s="175"/>
      <c r="AX315" s="175"/>
      <c r="AY315" s="182"/>
      <c r="AZ315" s="143"/>
      <c r="BA315" s="137"/>
      <c r="BB315" s="137"/>
      <c r="BC315" s="137"/>
    </row>
    <row r="316" spans="1:55" ht="30" x14ac:dyDescent="0.25">
      <c r="A316" s="133"/>
      <c r="B316" s="132" t="s">
        <v>141</v>
      </c>
      <c r="C316" s="68" t="s">
        <v>306</v>
      </c>
      <c r="D316" s="133"/>
      <c r="E316" s="133"/>
      <c r="F316" s="133"/>
      <c r="G316" s="133"/>
      <c r="H316" s="133">
        <f t="shared" ref="H316:W316" si="143">SUMIF($A:$A,"KOM.FELLES",H:H)</f>
        <v>-300</v>
      </c>
      <c r="I316" s="134">
        <f t="shared" si="143"/>
        <v>124367.14000000001</v>
      </c>
      <c r="J316" s="134">
        <f t="shared" si="143"/>
        <v>122674</v>
      </c>
      <c r="K316" s="134">
        <f t="shared" si="143"/>
        <v>99355</v>
      </c>
      <c r="L316" s="134">
        <f t="shared" si="143"/>
        <v>116265</v>
      </c>
      <c r="M316" s="134">
        <f t="shared" si="143"/>
        <v>114808</v>
      </c>
      <c r="N316" s="134">
        <f t="shared" si="143"/>
        <v>118272</v>
      </c>
      <c r="O316" s="134">
        <f t="shared" si="143"/>
        <v>108083</v>
      </c>
      <c r="P316" s="134">
        <f t="shared" si="143"/>
        <v>110513</v>
      </c>
      <c r="Q316" s="134">
        <f t="shared" si="143"/>
        <v>108083</v>
      </c>
      <c r="R316" s="134">
        <f t="shared" si="143"/>
        <v>109978</v>
      </c>
      <c r="S316" s="134">
        <f t="shared" si="143"/>
        <v>108083</v>
      </c>
      <c r="T316" s="134">
        <f t="shared" si="143"/>
        <v>110513</v>
      </c>
      <c r="U316" s="134">
        <f t="shared" si="143"/>
        <v>108083</v>
      </c>
      <c r="V316" s="134">
        <f t="shared" si="143"/>
        <v>109978</v>
      </c>
      <c r="W316" s="134">
        <f t="shared" si="143"/>
        <v>108083</v>
      </c>
      <c r="X316" s="169"/>
      <c r="Y316" s="169"/>
      <c r="Z316" s="169"/>
      <c r="AA316" s="169"/>
      <c r="AB316" s="169"/>
      <c r="AC316" s="169"/>
      <c r="AD316" s="169"/>
      <c r="AE316" s="169"/>
      <c r="AF316" s="169"/>
      <c r="AG316" s="169"/>
      <c r="AH316" s="169"/>
      <c r="AI316" s="169"/>
      <c r="AJ316" s="169"/>
      <c r="AK316" s="169"/>
      <c r="AL316" s="169"/>
      <c r="AM316" s="169"/>
      <c r="AN316" s="169"/>
      <c r="AO316" s="169"/>
      <c r="AP316" s="169"/>
      <c r="AQ316" s="169"/>
      <c r="AR316" s="169"/>
      <c r="AS316" s="169"/>
      <c r="AT316" s="169"/>
      <c r="AW316" s="175">
        <f>IF(F316="VEDTATT","VEDTATT",0)</f>
        <v>0</v>
      </c>
      <c r="AX316" s="175">
        <f>IF(F316="MÅ","Nye tiltak",0)</f>
        <v>0</v>
      </c>
      <c r="AY316" s="182"/>
      <c r="AZ316" s="143"/>
      <c r="BA316" s="137"/>
      <c r="BB316" s="137"/>
      <c r="BC316" s="137"/>
    </row>
    <row r="317" spans="1:55" x14ac:dyDescent="0.25">
      <c r="AU317" s="160"/>
      <c r="AV317" s="160"/>
      <c r="AW317" s="205"/>
      <c r="AX317" s="205"/>
      <c r="AY317" s="206"/>
      <c r="AZ317" s="207"/>
    </row>
  </sheetData>
  <autoFilter ref="A26:AY316"/>
  <mergeCells count="16">
    <mergeCell ref="BY1:CB1"/>
    <mergeCell ref="CC1:CF1"/>
    <mergeCell ref="BA2:BD2"/>
    <mergeCell ref="BE2:BH2"/>
    <mergeCell ref="BI2:BL2"/>
    <mergeCell ref="BM2:BP2"/>
    <mergeCell ref="BQ2:BT2"/>
    <mergeCell ref="BU2:BX2"/>
    <mergeCell ref="BY2:CB2"/>
    <mergeCell ref="CC2:CF2"/>
    <mergeCell ref="BA1:BD1"/>
    <mergeCell ref="BE1:BH1"/>
    <mergeCell ref="BI1:BL1"/>
    <mergeCell ref="BM1:BP1"/>
    <mergeCell ref="BQ1:BT1"/>
    <mergeCell ref="BU1:BX1"/>
  </mergeCells>
  <conditionalFormatting sqref="H18:W18">
    <cfRule type="cellIs" dxfId="0" priority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ignoredErrors>
    <ignoredError sqref="O51:W51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[2]Div!#REF!</xm:f>
          </x14:formula1>
          <xm:sqref>A182:A183</xm:sqref>
        </x14:dataValidation>
        <x14:dataValidation type="list" allowBlank="1" showInputMessage="1" showErrorMessage="1">
          <x14:formula1>
            <xm:f>[1]Div!#REF!</xm:f>
          </x14:formula1>
          <xm:sqref>A80:A82 F301:F303 F305 F307</xm:sqref>
        </x14:dataValidation>
        <x14:dataValidation type="list" allowBlank="1" showInputMessage="1" showErrorMessage="1">
          <x14:formula1>
            <xm:f>[5]Div!#REF!</xm:f>
          </x14:formula1>
          <xm:sqref>A94:A95 A127:A181 A29:A79 A269:A315 A97:A125 A184:A196 A198:A242 A244:A261 A263:A267 A83:A91</xm:sqref>
        </x14:dataValidation>
        <x14:dataValidation type="list" allowBlank="1" showInputMessage="1" showErrorMessage="1">
          <x14:formula1>
            <xm:f>[2]Div!#REF!</xm:f>
          </x14:formula1>
          <xm:sqref>F183 E183:E186</xm:sqref>
        </x14:dataValidation>
        <x14:dataValidation type="list" allowBlank="1" showInputMessage="1" showErrorMessage="1">
          <x14:formula1>
            <xm:f>[4]Div!#REF!</xm:f>
          </x14:formula1>
          <xm:sqref>E61:E66 F184:F186 E169 E243:E245 E164 E316:F316 F122:F140 E110:E113 F90:F95 E121 E106:F106 E214 E86:E89 E83 E141 E151:E154 F293 E262:E264 G198:H198 F268:H269 E268:E271 E277 E300 E304 F215:F244 E197:E199 G243:J243 E187 G197:J197 F306 F188:F198 F287:F288 F281:F282 F265:F267 F279 F246:F263 F200:F213 F272:F276 F155:F163 F170:F182 F165:F168 F114:F120 F30:F60 F97:F105 F67:F85 F107:F110 F295:F299 F308:F313 E314 F315 F142:F152</xm:sqref>
        </x14:dataValidation>
        <x14:dataValidation type="list" allowBlank="1" showInputMessage="1" showErrorMessage="1">
          <x14:formula1>
            <xm:f>[4]Div!#REF!</xm:f>
          </x14:formula1>
          <xm:sqref>E301:E303 E84:E85 E215:E242 E188:E196 E155:E163 E265:E267 E246:E261 E122:E140 E272:E276 E200:E213 E170:E182 E165:E168 E114:E120 E30:E60 E107:E109 E90:E105 E67:E82 E278:E299 E305:E313 E315 E142:E150</xm:sqref>
        </x14:dataValidation>
        <x14:dataValidation type="list" allowBlank="1" showInputMessage="1" showErrorMessage="1">
          <x14:formula1>
            <xm:f>[4]Div!#REF!</xm:f>
          </x14:formula1>
          <xm:sqref>F61:F66 F270:F271 F86:F89 F214 F304 F141 F245 F121 F264 F153:F154 F169 F111:F113 F199 F277 F300 F164 F187 F314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3"/>
  <sheetViews>
    <sheetView topLeftCell="A7" workbookViewId="0">
      <selection activeCell="E47" sqref="E47"/>
    </sheetView>
  </sheetViews>
  <sheetFormatPr baseColWidth="10" defaultRowHeight="15" x14ac:dyDescent="0.25"/>
  <cols>
    <col min="1" max="1" width="47.42578125" bestFit="1" customWidth="1"/>
    <col min="2" max="2" width="15.42578125" bestFit="1" customWidth="1"/>
    <col min="3" max="3" width="13.7109375" customWidth="1"/>
    <col min="4" max="4" width="13.85546875" customWidth="1"/>
    <col min="5" max="5" width="14.28515625" bestFit="1" customWidth="1"/>
    <col min="6" max="6" width="14.140625" bestFit="1" customWidth="1"/>
    <col min="7" max="7" width="14.28515625" bestFit="1" customWidth="1"/>
    <col min="8" max="8" width="15.140625" bestFit="1" customWidth="1"/>
    <col min="9" max="9" width="14.140625" bestFit="1" customWidth="1"/>
    <col min="10" max="10" width="14" bestFit="1" customWidth="1"/>
    <col min="11" max="11" width="14.140625" bestFit="1" customWidth="1"/>
    <col min="12" max="12" width="14" bestFit="1" customWidth="1"/>
    <col min="13" max="13" width="13.28515625" bestFit="1" customWidth="1"/>
    <col min="14" max="14" width="14.7109375" customWidth="1"/>
    <col min="15" max="18" width="14.28515625" bestFit="1" customWidth="1"/>
    <col min="257" max="257" width="47.42578125" bestFit="1" customWidth="1"/>
    <col min="258" max="258" width="15.42578125" bestFit="1" customWidth="1"/>
    <col min="259" max="259" width="13.7109375" customWidth="1"/>
    <col min="260" max="260" width="13.85546875" customWidth="1"/>
    <col min="261" max="261" width="14.140625" bestFit="1" customWidth="1"/>
    <col min="262" max="262" width="14" bestFit="1" customWidth="1"/>
    <col min="263" max="263" width="14.140625" bestFit="1" customWidth="1"/>
    <col min="264" max="264" width="15" bestFit="1" customWidth="1"/>
    <col min="265" max="265" width="14" bestFit="1" customWidth="1"/>
    <col min="266" max="266" width="13.85546875" bestFit="1" customWidth="1"/>
    <col min="267" max="267" width="14" bestFit="1" customWidth="1"/>
    <col min="268" max="268" width="13.85546875" bestFit="1" customWidth="1"/>
    <col min="269" max="269" width="12.5703125" bestFit="1" customWidth="1"/>
    <col min="270" max="270" width="14.7109375" customWidth="1"/>
    <col min="513" max="513" width="47.42578125" bestFit="1" customWidth="1"/>
    <col min="514" max="514" width="15.42578125" bestFit="1" customWidth="1"/>
    <col min="515" max="515" width="13.7109375" customWidth="1"/>
    <col min="516" max="516" width="13.85546875" customWidth="1"/>
    <col min="517" max="517" width="14.140625" bestFit="1" customWidth="1"/>
    <col min="518" max="518" width="14" bestFit="1" customWidth="1"/>
    <col min="519" max="519" width="14.140625" bestFit="1" customWidth="1"/>
    <col min="520" max="520" width="15" bestFit="1" customWidth="1"/>
    <col min="521" max="521" width="14" bestFit="1" customWidth="1"/>
    <col min="522" max="522" width="13.85546875" bestFit="1" customWidth="1"/>
    <col min="523" max="523" width="14" bestFit="1" customWidth="1"/>
    <col min="524" max="524" width="13.85546875" bestFit="1" customWidth="1"/>
    <col min="525" max="525" width="12.5703125" bestFit="1" customWidth="1"/>
    <col min="526" max="526" width="14.7109375" customWidth="1"/>
    <col min="769" max="769" width="47.42578125" bestFit="1" customWidth="1"/>
    <col min="770" max="770" width="15.42578125" bestFit="1" customWidth="1"/>
    <col min="771" max="771" width="13.7109375" customWidth="1"/>
    <col min="772" max="772" width="13.85546875" customWidth="1"/>
    <col min="773" max="773" width="14.140625" bestFit="1" customWidth="1"/>
    <col min="774" max="774" width="14" bestFit="1" customWidth="1"/>
    <col min="775" max="775" width="14.140625" bestFit="1" customWidth="1"/>
    <col min="776" max="776" width="15" bestFit="1" customWidth="1"/>
    <col min="777" max="777" width="14" bestFit="1" customWidth="1"/>
    <col min="778" max="778" width="13.85546875" bestFit="1" customWidth="1"/>
    <col min="779" max="779" width="14" bestFit="1" customWidth="1"/>
    <col min="780" max="780" width="13.85546875" bestFit="1" customWidth="1"/>
    <col min="781" max="781" width="12.5703125" bestFit="1" customWidth="1"/>
    <col min="782" max="782" width="14.7109375" customWidth="1"/>
    <col min="1025" max="1025" width="47.42578125" bestFit="1" customWidth="1"/>
    <col min="1026" max="1026" width="15.42578125" bestFit="1" customWidth="1"/>
    <col min="1027" max="1027" width="13.7109375" customWidth="1"/>
    <col min="1028" max="1028" width="13.85546875" customWidth="1"/>
    <col min="1029" max="1029" width="14.140625" bestFit="1" customWidth="1"/>
    <col min="1030" max="1030" width="14" bestFit="1" customWidth="1"/>
    <col min="1031" max="1031" width="14.140625" bestFit="1" customWidth="1"/>
    <col min="1032" max="1032" width="15" bestFit="1" customWidth="1"/>
    <col min="1033" max="1033" width="14" bestFit="1" customWidth="1"/>
    <col min="1034" max="1034" width="13.85546875" bestFit="1" customWidth="1"/>
    <col min="1035" max="1035" width="14" bestFit="1" customWidth="1"/>
    <col min="1036" max="1036" width="13.85546875" bestFit="1" customWidth="1"/>
    <col min="1037" max="1037" width="12.5703125" bestFit="1" customWidth="1"/>
    <col min="1038" max="1038" width="14.7109375" customWidth="1"/>
    <col min="1281" max="1281" width="47.42578125" bestFit="1" customWidth="1"/>
    <col min="1282" max="1282" width="15.42578125" bestFit="1" customWidth="1"/>
    <col min="1283" max="1283" width="13.7109375" customWidth="1"/>
    <col min="1284" max="1284" width="13.85546875" customWidth="1"/>
    <col min="1285" max="1285" width="14.140625" bestFit="1" customWidth="1"/>
    <col min="1286" max="1286" width="14" bestFit="1" customWidth="1"/>
    <col min="1287" max="1287" width="14.140625" bestFit="1" customWidth="1"/>
    <col min="1288" max="1288" width="15" bestFit="1" customWidth="1"/>
    <col min="1289" max="1289" width="14" bestFit="1" customWidth="1"/>
    <col min="1290" max="1290" width="13.85546875" bestFit="1" customWidth="1"/>
    <col min="1291" max="1291" width="14" bestFit="1" customWidth="1"/>
    <col min="1292" max="1292" width="13.85546875" bestFit="1" customWidth="1"/>
    <col min="1293" max="1293" width="12.5703125" bestFit="1" customWidth="1"/>
    <col min="1294" max="1294" width="14.7109375" customWidth="1"/>
    <col min="1537" max="1537" width="47.42578125" bestFit="1" customWidth="1"/>
    <col min="1538" max="1538" width="15.42578125" bestFit="1" customWidth="1"/>
    <col min="1539" max="1539" width="13.7109375" customWidth="1"/>
    <col min="1540" max="1540" width="13.85546875" customWidth="1"/>
    <col min="1541" max="1541" width="14.140625" bestFit="1" customWidth="1"/>
    <col min="1542" max="1542" width="14" bestFit="1" customWidth="1"/>
    <col min="1543" max="1543" width="14.140625" bestFit="1" customWidth="1"/>
    <col min="1544" max="1544" width="15" bestFit="1" customWidth="1"/>
    <col min="1545" max="1545" width="14" bestFit="1" customWidth="1"/>
    <col min="1546" max="1546" width="13.85546875" bestFit="1" customWidth="1"/>
    <col min="1547" max="1547" width="14" bestFit="1" customWidth="1"/>
    <col min="1548" max="1548" width="13.85546875" bestFit="1" customWidth="1"/>
    <col min="1549" max="1549" width="12.5703125" bestFit="1" customWidth="1"/>
    <col min="1550" max="1550" width="14.7109375" customWidth="1"/>
    <col min="1793" max="1793" width="47.42578125" bestFit="1" customWidth="1"/>
    <col min="1794" max="1794" width="15.42578125" bestFit="1" customWidth="1"/>
    <col min="1795" max="1795" width="13.7109375" customWidth="1"/>
    <col min="1796" max="1796" width="13.85546875" customWidth="1"/>
    <col min="1797" max="1797" width="14.140625" bestFit="1" customWidth="1"/>
    <col min="1798" max="1798" width="14" bestFit="1" customWidth="1"/>
    <col min="1799" max="1799" width="14.140625" bestFit="1" customWidth="1"/>
    <col min="1800" max="1800" width="15" bestFit="1" customWidth="1"/>
    <col min="1801" max="1801" width="14" bestFit="1" customWidth="1"/>
    <col min="1802" max="1802" width="13.85546875" bestFit="1" customWidth="1"/>
    <col min="1803" max="1803" width="14" bestFit="1" customWidth="1"/>
    <col min="1804" max="1804" width="13.85546875" bestFit="1" customWidth="1"/>
    <col min="1805" max="1805" width="12.5703125" bestFit="1" customWidth="1"/>
    <col min="1806" max="1806" width="14.7109375" customWidth="1"/>
    <col min="2049" max="2049" width="47.42578125" bestFit="1" customWidth="1"/>
    <col min="2050" max="2050" width="15.42578125" bestFit="1" customWidth="1"/>
    <col min="2051" max="2051" width="13.7109375" customWidth="1"/>
    <col min="2052" max="2052" width="13.85546875" customWidth="1"/>
    <col min="2053" max="2053" width="14.140625" bestFit="1" customWidth="1"/>
    <col min="2054" max="2054" width="14" bestFit="1" customWidth="1"/>
    <col min="2055" max="2055" width="14.140625" bestFit="1" customWidth="1"/>
    <col min="2056" max="2056" width="15" bestFit="1" customWidth="1"/>
    <col min="2057" max="2057" width="14" bestFit="1" customWidth="1"/>
    <col min="2058" max="2058" width="13.85546875" bestFit="1" customWidth="1"/>
    <col min="2059" max="2059" width="14" bestFit="1" customWidth="1"/>
    <col min="2060" max="2060" width="13.85546875" bestFit="1" customWidth="1"/>
    <col min="2061" max="2061" width="12.5703125" bestFit="1" customWidth="1"/>
    <col min="2062" max="2062" width="14.7109375" customWidth="1"/>
    <col min="2305" max="2305" width="47.42578125" bestFit="1" customWidth="1"/>
    <col min="2306" max="2306" width="15.42578125" bestFit="1" customWidth="1"/>
    <col min="2307" max="2307" width="13.7109375" customWidth="1"/>
    <col min="2308" max="2308" width="13.85546875" customWidth="1"/>
    <col min="2309" max="2309" width="14.140625" bestFit="1" customWidth="1"/>
    <col min="2310" max="2310" width="14" bestFit="1" customWidth="1"/>
    <col min="2311" max="2311" width="14.140625" bestFit="1" customWidth="1"/>
    <col min="2312" max="2312" width="15" bestFit="1" customWidth="1"/>
    <col min="2313" max="2313" width="14" bestFit="1" customWidth="1"/>
    <col min="2314" max="2314" width="13.85546875" bestFit="1" customWidth="1"/>
    <col min="2315" max="2315" width="14" bestFit="1" customWidth="1"/>
    <col min="2316" max="2316" width="13.85546875" bestFit="1" customWidth="1"/>
    <col min="2317" max="2317" width="12.5703125" bestFit="1" customWidth="1"/>
    <col min="2318" max="2318" width="14.7109375" customWidth="1"/>
    <col min="2561" max="2561" width="47.42578125" bestFit="1" customWidth="1"/>
    <col min="2562" max="2562" width="15.42578125" bestFit="1" customWidth="1"/>
    <col min="2563" max="2563" width="13.7109375" customWidth="1"/>
    <col min="2564" max="2564" width="13.85546875" customWidth="1"/>
    <col min="2565" max="2565" width="14.140625" bestFit="1" customWidth="1"/>
    <col min="2566" max="2566" width="14" bestFit="1" customWidth="1"/>
    <col min="2567" max="2567" width="14.140625" bestFit="1" customWidth="1"/>
    <col min="2568" max="2568" width="15" bestFit="1" customWidth="1"/>
    <col min="2569" max="2569" width="14" bestFit="1" customWidth="1"/>
    <col min="2570" max="2570" width="13.85546875" bestFit="1" customWidth="1"/>
    <col min="2571" max="2571" width="14" bestFit="1" customWidth="1"/>
    <col min="2572" max="2572" width="13.85546875" bestFit="1" customWidth="1"/>
    <col min="2573" max="2573" width="12.5703125" bestFit="1" customWidth="1"/>
    <col min="2574" max="2574" width="14.7109375" customWidth="1"/>
    <col min="2817" max="2817" width="47.42578125" bestFit="1" customWidth="1"/>
    <col min="2818" max="2818" width="15.42578125" bestFit="1" customWidth="1"/>
    <col min="2819" max="2819" width="13.7109375" customWidth="1"/>
    <col min="2820" max="2820" width="13.85546875" customWidth="1"/>
    <col min="2821" max="2821" width="14.140625" bestFit="1" customWidth="1"/>
    <col min="2822" max="2822" width="14" bestFit="1" customWidth="1"/>
    <col min="2823" max="2823" width="14.140625" bestFit="1" customWidth="1"/>
    <col min="2824" max="2824" width="15" bestFit="1" customWidth="1"/>
    <col min="2825" max="2825" width="14" bestFit="1" customWidth="1"/>
    <col min="2826" max="2826" width="13.85546875" bestFit="1" customWidth="1"/>
    <col min="2827" max="2827" width="14" bestFit="1" customWidth="1"/>
    <col min="2828" max="2828" width="13.85546875" bestFit="1" customWidth="1"/>
    <col min="2829" max="2829" width="12.5703125" bestFit="1" customWidth="1"/>
    <col min="2830" max="2830" width="14.7109375" customWidth="1"/>
    <col min="3073" max="3073" width="47.42578125" bestFit="1" customWidth="1"/>
    <col min="3074" max="3074" width="15.42578125" bestFit="1" customWidth="1"/>
    <col min="3075" max="3075" width="13.7109375" customWidth="1"/>
    <col min="3076" max="3076" width="13.85546875" customWidth="1"/>
    <col min="3077" max="3077" width="14.140625" bestFit="1" customWidth="1"/>
    <col min="3078" max="3078" width="14" bestFit="1" customWidth="1"/>
    <col min="3079" max="3079" width="14.140625" bestFit="1" customWidth="1"/>
    <col min="3080" max="3080" width="15" bestFit="1" customWidth="1"/>
    <col min="3081" max="3081" width="14" bestFit="1" customWidth="1"/>
    <col min="3082" max="3082" width="13.85546875" bestFit="1" customWidth="1"/>
    <col min="3083" max="3083" width="14" bestFit="1" customWidth="1"/>
    <col min="3084" max="3084" width="13.85546875" bestFit="1" customWidth="1"/>
    <col min="3085" max="3085" width="12.5703125" bestFit="1" customWidth="1"/>
    <col min="3086" max="3086" width="14.7109375" customWidth="1"/>
    <col min="3329" max="3329" width="47.42578125" bestFit="1" customWidth="1"/>
    <col min="3330" max="3330" width="15.42578125" bestFit="1" customWidth="1"/>
    <col min="3331" max="3331" width="13.7109375" customWidth="1"/>
    <col min="3332" max="3332" width="13.85546875" customWidth="1"/>
    <col min="3333" max="3333" width="14.140625" bestFit="1" customWidth="1"/>
    <col min="3334" max="3334" width="14" bestFit="1" customWidth="1"/>
    <col min="3335" max="3335" width="14.140625" bestFit="1" customWidth="1"/>
    <col min="3336" max="3336" width="15" bestFit="1" customWidth="1"/>
    <col min="3337" max="3337" width="14" bestFit="1" customWidth="1"/>
    <col min="3338" max="3338" width="13.85546875" bestFit="1" customWidth="1"/>
    <col min="3339" max="3339" width="14" bestFit="1" customWidth="1"/>
    <col min="3340" max="3340" width="13.85546875" bestFit="1" customWidth="1"/>
    <col min="3341" max="3341" width="12.5703125" bestFit="1" customWidth="1"/>
    <col min="3342" max="3342" width="14.7109375" customWidth="1"/>
    <col min="3585" max="3585" width="47.42578125" bestFit="1" customWidth="1"/>
    <col min="3586" max="3586" width="15.42578125" bestFit="1" customWidth="1"/>
    <col min="3587" max="3587" width="13.7109375" customWidth="1"/>
    <col min="3588" max="3588" width="13.85546875" customWidth="1"/>
    <col min="3589" max="3589" width="14.140625" bestFit="1" customWidth="1"/>
    <col min="3590" max="3590" width="14" bestFit="1" customWidth="1"/>
    <col min="3591" max="3591" width="14.140625" bestFit="1" customWidth="1"/>
    <col min="3592" max="3592" width="15" bestFit="1" customWidth="1"/>
    <col min="3593" max="3593" width="14" bestFit="1" customWidth="1"/>
    <col min="3594" max="3594" width="13.85546875" bestFit="1" customWidth="1"/>
    <col min="3595" max="3595" width="14" bestFit="1" customWidth="1"/>
    <col min="3596" max="3596" width="13.85546875" bestFit="1" customWidth="1"/>
    <col min="3597" max="3597" width="12.5703125" bestFit="1" customWidth="1"/>
    <col min="3598" max="3598" width="14.7109375" customWidth="1"/>
    <col min="3841" max="3841" width="47.42578125" bestFit="1" customWidth="1"/>
    <col min="3842" max="3842" width="15.42578125" bestFit="1" customWidth="1"/>
    <col min="3843" max="3843" width="13.7109375" customWidth="1"/>
    <col min="3844" max="3844" width="13.85546875" customWidth="1"/>
    <col min="3845" max="3845" width="14.140625" bestFit="1" customWidth="1"/>
    <col min="3846" max="3846" width="14" bestFit="1" customWidth="1"/>
    <col min="3847" max="3847" width="14.140625" bestFit="1" customWidth="1"/>
    <col min="3848" max="3848" width="15" bestFit="1" customWidth="1"/>
    <col min="3849" max="3849" width="14" bestFit="1" customWidth="1"/>
    <col min="3850" max="3850" width="13.85546875" bestFit="1" customWidth="1"/>
    <col min="3851" max="3851" width="14" bestFit="1" customWidth="1"/>
    <col min="3852" max="3852" width="13.85546875" bestFit="1" customWidth="1"/>
    <col min="3853" max="3853" width="12.5703125" bestFit="1" customWidth="1"/>
    <col min="3854" max="3854" width="14.7109375" customWidth="1"/>
    <col min="4097" max="4097" width="47.42578125" bestFit="1" customWidth="1"/>
    <col min="4098" max="4098" width="15.42578125" bestFit="1" customWidth="1"/>
    <col min="4099" max="4099" width="13.7109375" customWidth="1"/>
    <col min="4100" max="4100" width="13.85546875" customWidth="1"/>
    <col min="4101" max="4101" width="14.140625" bestFit="1" customWidth="1"/>
    <col min="4102" max="4102" width="14" bestFit="1" customWidth="1"/>
    <col min="4103" max="4103" width="14.140625" bestFit="1" customWidth="1"/>
    <col min="4104" max="4104" width="15" bestFit="1" customWidth="1"/>
    <col min="4105" max="4105" width="14" bestFit="1" customWidth="1"/>
    <col min="4106" max="4106" width="13.85546875" bestFit="1" customWidth="1"/>
    <col min="4107" max="4107" width="14" bestFit="1" customWidth="1"/>
    <col min="4108" max="4108" width="13.85546875" bestFit="1" customWidth="1"/>
    <col min="4109" max="4109" width="12.5703125" bestFit="1" customWidth="1"/>
    <col min="4110" max="4110" width="14.7109375" customWidth="1"/>
    <col min="4353" max="4353" width="47.42578125" bestFit="1" customWidth="1"/>
    <col min="4354" max="4354" width="15.42578125" bestFit="1" customWidth="1"/>
    <col min="4355" max="4355" width="13.7109375" customWidth="1"/>
    <col min="4356" max="4356" width="13.85546875" customWidth="1"/>
    <col min="4357" max="4357" width="14.140625" bestFit="1" customWidth="1"/>
    <col min="4358" max="4358" width="14" bestFit="1" customWidth="1"/>
    <col min="4359" max="4359" width="14.140625" bestFit="1" customWidth="1"/>
    <col min="4360" max="4360" width="15" bestFit="1" customWidth="1"/>
    <col min="4361" max="4361" width="14" bestFit="1" customWidth="1"/>
    <col min="4362" max="4362" width="13.85546875" bestFit="1" customWidth="1"/>
    <col min="4363" max="4363" width="14" bestFit="1" customWidth="1"/>
    <col min="4364" max="4364" width="13.85546875" bestFit="1" customWidth="1"/>
    <col min="4365" max="4365" width="12.5703125" bestFit="1" customWidth="1"/>
    <col min="4366" max="4366" width="14.7109375" customWidth="1"/>
    <col min="4609" max="4609" width="47.42578125" bestFit="1" customWidth="1"/>
    <col min="4610" max="4610" width="15.42578125" bestFit="1" customWidth="1"/>
    <col min="4611" max="4611" width="13.7109375" customWidth="1"/>
    <col min="4612" max="4612" width="13.85546875" customWidth="1"/>
    <col min="4613" max="4613" width="14.140625" bestFit="1" customWidth="1"/>
    <col min="4614" max="4614" width="14" bestFit="1" customWidth="1"/>
    <col min="4615" max="4615" width="14.140625" bestFit="1" customWidth="1"/>
    <col min="4616" max="4616" width="15" bestFit="1" customWidth="1"/>
    <col min="4617" max="4617" width="14" bestFit="1" customWidth="1"/>
    <col min="4618" max="4618" width="13.85546875" bestFit="1" customWidth="1"/>
    <col min="4619" max="4619" width="14" bestFit="1" customWidth="1"/>
    <col min="4620" max="4620" width="13.85546875" bestFit="1" customWidth="1"/>
    <col min="4621" max="4621" width="12.5703125" bestFit="1" customWidth="1"/>
    <col min="4622" max="4622" width="14.7109375" customWidth="1"/>
    <col min="4865" max="4865" width="47.42578125" bestFit="1" customWidth="1"/>
    <col min="4866" max="4866" width="15.42578125" bestFit="1" customWidth="1"/>
    <col min="4867" max="4867" width="13.7109375" customWidth="1"/>
    <col min="4868" max="4868" width="13.85546875" customWidth="1"/>
    <col min="4869" max="4869" width="14.140625" bestFit="1" customWidth="1"/>
    <col min="4870" max="4870" width="14" bestFit="1" customWidth="1"/>
    <col min="4871" max="4871" width="14.140625" bestFit="1" customWidth="1"/>
    <col min="4872" max="4872" width="15" bestFit="1" customWidth="1"/>
    <col min="4873" max="4873" width="14" bestFit="1" customWidth="1"/>
    <col min="4874" max="4874" width="13.85546875" bestFit="1" customWidth="1"/>
    <col min="4875" max="4875" width="14" bestFit="1" customWidth="1"/>
    <col min="4876" max="4876" width="13.85546875" bestFit="1" customWidth="1"/>
    <col min="4877" max="4877" width="12.5703125" bestFit="1" customWidth="1"/>
    <col min="4878" max="4878" width="14.7109375" customWidth="1"/>
    <col min="5121" max="5121" width="47.42578125" bestFit="1" customWidth="1"/>
    <col min="5122" max="5122" width="15.42578125" bestFit="1" customWidth="1"/>
    <col min="5123" max="5123" width="13.7109375" customWidth="1"/>
    <col min="5124" max="5124" width="13.85546875" customWidth="1"/>
    <col min="5125" max="5125" width="14.140625" bestFit="1" customWidth="1"/>
    <col min="5126" max="5126" width="14" bestFit="1" customWidth="1"/>
    <col min="5127" max="5127" width="14.140625" bestFit="1" customWidth="1"/>
    <col min="5128" max="5128" width="15" bestFit="1" customWidth="1"/>
    <col min="5129" max="5129" width="14" bestFit="1" customWidth="1"/>
    <col min="5130" max="5130" width="13.85546875" bestFit="1" customWidth="1"/>
    <col min="5131" max="5131" width="14" bestFit="1" customWidth="1"/>
    <col min="5132" max="5132" width="13.85546875" bestFit="1" customWidth="1"/>
    <col min="5133" max="5133" width="12.5703125" bestFit="1" customWidth="1"/>
    <col min="5134" max="5134" width="14.7109375" customWidth="1"/>
    <col min="5377" max="5377" width="47.42578125" bestFit="1" customWidth="1"/>
    <col min="5378" max="5378" width="15.42578125" bestFit="1" customWidth="1"/>
    <col min="5379" max="5379" width="13.7109375" customWidth="1"/>
    <col min="5380" max="5380" width="13.85546875" customWidth="1"/>
    <col min="5381" max="5381" width="14.140625" bestFit="1" customWidth="1"/>
    <col min="5382" max="5382" width="14" bestFit="1" customWidth="1"/>
    <col min="5383" max="5383" width="14.140625" bestFit="1" customWidth="1"/>
    <col min="5384" max="5384" width="15" bestFit="1" customWidth="1"/>
    <col min="5385" max="5385" width="14" bestFit="1" customWidth="1"/>
    <col min="5386" max="5386" width="13.85546875" bestFit="1" customWidth="1"/>
    <col min="5387" max="5387" width="14" bestFit="1" customWidth="1"/>
    <col min="5388" max="5388" width="13.85546875" bestFit="1" customWidth="1"/>
    <col min="5389" max="5389" width="12.5703125" bestFit="1" customWidth="1"/>
    <col min="5390" max="5390" width="14.7109375" customWidth="1"/>
    <col min="5633" max="5633" width="47.42578125" bestFit="1" customWidth="1"/>
    <col min="5634" max="5634" width="15.42578125" bestFit="1" customWidth="1"/>
    <col min="5635" max="5635" width="13.7109375" customWidth="1"/>
    <col min="5636" max="5636" width="13.85546875" customWidth="1"/>
    <col min="5637" max="5637" width="14.140625" bestFit="1" customWidth="1"/>
    <col min="5638" max="5638" width="14" bestFit="1" customWidth="1"/>
    <col min="5639" max="5639" width="14.140625" bestFit="1" customWidth="1"/>
    <col min="5640" max="5640" width="15" bestFit="1" customWidth="1"/>
    <col min="5641" max="5641" width="14" bestFit="1" customWidth="1"/>
    <col min="5642" max="5642" width="13.85546875" bestFit="1" customWidth="1"/>
    <col min="5643" max="5643" width="14" bestFit="1" customWidth="1"/>
    <col min="5644" max="5644" width="13.85546875" bestFit="1" customWidth="1"/>
    <col min="5645" max="5645" width="12.5703125" bestFit="1" customWidth="1"/>
    <col min="5646" max="5646" width="14.7109375" customWidth="1"/>
    <col min="5889" max="5889" width="47.42578125" bestFit="1" customWidth="1"/>
    <col min="5890" max="5890" width="15.42578125" bestFit="1" customWidth="1"/>
    <col min="5891" max="5891" width="13.7109375" customWidth="1"/>
    <col min="5892" max="5892" width="13.85546875" customWidth="1"/>
    <col min="5893" max="5893" width="14.140625" bestFit="1" customWidth="1"/>
    <col min="5894" max="5894" width="14" bestFit="1" customWidth="1"/>
    <col min="5895" max="5895" width="14.140625" bestFit="1" customWidth="1"/>
    <col min="5896" max="5896" width="15" bestFit="1" customWidth="1"/>
    <col min="5897" max="5897" width="14" bestFit="1" customWidth="1"/>
    <col min="5898" max="5898" width="13.85546875" bestFit="1" customWidth="1"/>
    <col min="5899" max="5899" width="14" bestFit="1" customWidth="1"/>
    <col min="5900" max="5900" width="13.85546875" bestFit="1" customWidth="1"/>
    <col min="5901" max="5901" width="12.5703125" bestFit="1" customWidth="1"/>
    <col min="5902" max="5902" width="14.7109375" customWidth="1"/>
    <col min="6145" max="6145" width="47.42578125" bestFit="1" customWidth="1"/>
    <col min="6146" max="6146" width="15.42578125" bestFit="1" customWidth="1"/>
    <col min="6147" max="6147" width="13.7109375" customWidth="1"/>
    <col min="6148" max="6148" width="13.85546875" customWidth="1"/>
    <col min="6149" max="6149" width="14.140625" bestFit="1" customWidth="1"/>
    <col min="6150" max="6150" width="14" bestFit="1" customWidth="1"/>
    <col min="6151" max="6151" width="14.140625" bestFit="1" customWidth="1"/>
    <col min="6152" max="6152" width="15" bestFit="1" customWidth="1"/>
    <col min="6153" max="6153" width="14" bestFit="1" customWidth="1"/>
    <col min="6154" max="6154" width="13.85546875" bestFit="1" customWidth="1"/>
    <col min="6155" max="6155" width="14" bestFit="1" customWidth="1"/>
    <col min="6156" max="6156" width="13.85546875" bestFit="1" customWidth="1"/>
    <col min="6157" max="6157" width="12.5703125" bestFit="1" customWidth="1"/>
    <col min="6158" max="6158" width="14.7109375" customWidth="1"/>
    <col min="6401" max="6401" width="47.42578125" bestFit="1" customWidth="1"/>
    <col min="6402" max="6402" width="15.42578125" bestFit="1" customWidth="1"/>
    <col min="6403" max="6403" width="13.7109375" customWidth="1"/>
    <col min="6404" max="6404" width="13.85546875" customWidth="1"/>
    <col min="6405" max="6405" width="14.140625" bestFit="1" customWidth="1"/>
    <col min="6406" max="6406" width="14" bestFit="1" customWidth="1"/>
    <col min="6407" max="6407" width="14.140625" bestFit="1" customWidth="1"/>
    <col min="6408" max="6408" width="15" bestFit="1" customWidth="1"/>
    <col min="6409" max="6409" width="14" bestFit="1" customWidth="1"/>
    <col min="6410" max="6410" width="13.85546875" bestFit="1" customWidth="1"/>
    <col min="6411" max="6411" width="14" bestFit="1" customWidth="1"/>
    <col min="6412" max="6412" width="13.85546875" bestFit="1" customWidth="1"/>
    <col min="6413" max="6413" width="12.5703125" bestFit="1" customWidth="1"/>
    <col min="6414" max="6414" width="14.7109375" customWidth="1"/>
    <col min="6657" max="6657" width="47.42578125" bestFit="1" customWidth="1"/>
    <col min="6658" max="6658" width="15.42578125" bestFit="1" customWidth="1"/>
    <col min="6659" max="6659" width="13.7109375" customWidth="1"/>
    <col min="6660" max="6660" width="13.85546875" customWidth="1"/>
    <col min="6661" max="6661" width="14.140625" bestFit="1" customWidth="1"/>
    <col min="6662" max="6662" width="14" bestFit="1" customWidth="1"/>
    <col min="6663" max="6663" width="14.140625" bestFit="1" customWidth="1"/>
    <col min="6664" max="6664" width="15" bestFit="1" customWidth="1"/>
    <col min="6665" max="6665" width="14" bestFit="1" customWidth="1"/>
    <col min="6666" max="6666" width="13.85546875" bestFit="1" customWidth="1"/>
    <col min="6667" max="6667" width="14" bestFit="1" customWidth="1"/>
    <col min="6668" max="6668" width="13.85546875" bestFit="1" customWidth="1"/>
    <col min="6669" max="6669" width="12.5703125" bestFit="1" customWidth="1"/>
    <col min="6670" max="6670" width="14.7109375" customWidth="1"/>
    <col min="6913" max="6913" width="47.42578125" bestFit="1" customWidth="1"/>
    <col min="6914" max="6914" width="15.42578125" bestFit="1" customWidth="1"/>
    <col min="6915" max="6915" width="13.7109375" customWidth="1"/>
    <col min="6916" max="6916" width="13.85546875" customWidth="1"/>
    <col min="6917" max="6917" width="14.140625" bestFit="1" customWidth="1"/>
    <col min="6918" max="6918" width="14" bestFit="1" customWidth="1"/>
    <col min="6919" max="6919" width="14.140625" bestFit="1" customWidth="1"/>
    <col min="6920" max="6920" width="15" bestFit="1" customWidth="1"/>
    <col min="6921" max="6921" width="14" bestFit="1" customWidth="1"/>
    <col min="6922" max="6922" width="13.85546875" bestFit="1" customWidth="1"/>
    <col min="6923" max="6923" width="14" bestFit="1" customWidth="1"/>
    <col min="6924" max="6924" width="13.85546875" bestFit="1" customWidth="1"/>
    <col min="6925" max="6925" width="12.5703125" bestFit="1" customWidth="1"/>
    <col min="6926" max="6926" width="14.7109375" customWidth="1"/>
    <col min="7169" max="7169" width="47.42578125" bestFit="1" customWidth="1"/>
    <col min="7170" max="7170" width="15.42578125" bestFit="1" customWidth="1"/>
    <col min="7171" max="7171" width="13.7109375" customWidth="1"/>
    <col min="7172" max="7172" width="13.85546875" customWidth="1"/>
    <col min="7173" max="7173" width="14.140625" bestFit="1" customWidth="1"/>
    <col min="7174" max="7174" width="14" bestFit="1" customWidth="1"/>
    <col min="7175" max="7175" width="14.140625" bestFit="1" customWidth="1"/>
    <col min="7176" max="7176" width="15" bestFit="1" customWidth="1"/>
    <col min="7177" max="7177" width="14" bestFit="1" customWidth="1"/>
    <col min="7178" max="7178" width="13.85546875" bestFit="1" customWidth="1"/>
    <col min="7179" max="7179" width="14" bestFit="1" customWidth="1"/>
    <col min="7180" max="7180" width="13.85546875" bestFit="1" customWidth="1"/>
    <col min="7181" max="7181" width="12.5703125" bestFit="1" customWidth="1"/>
    <col min="7182" max="7182" width="14.7109375" customWidth="1"/>
    <col min="7425" max="7425" width="47.42578125" bestFit="1" customWidth="1"/>
    <col min="7426" max="7426" width="15.42578125" bestFit="1" customWidth="1"/>
    <col min="7427" max="7427" width="13.7109375" customWidth="1"/>
    <col min="7428" max="7428" width="13.85546875" customWidth="1"/>
    <col min="7429" max="7429" width="14.140625" bestFit="1" customWidth="1"/>
    <col min="7430" max="7430" width="14" bestFit="1" customWidth="1"/>
    <col min="7431" max="7431" width="14.140625" bestFit="1" customWidth="1"/>
    <col min="7432" max="7432" width="15" bestFit="1" customWidth="1"/>
    <col min="7433" max="7433" width="14" bestFit="1" customWidth="1"/>
    <col min="7434" max="7434" width="13.85546875" bestFit="1" customWidth="1"/>
    <col min="7435" max="7435" width="14" bestFit="1" customWidth="1"/>
    <col min="7436" max="7436" width="13.85546875" bestFit="1" customWidth="1"/>
    <col min="7437" max="7437" width="12.5703125" bestFit="1" customWidth="1"/>
    <col min="7438" max="7438" width="14.7109375" customWidth="1"/>
    <col min="7681" max="7681" width="47.42578125" bestFit="1" customWidth="1"/>
    <col min="7682" max="7682" width="15.42578125" bestFit="1" customWidth="1"/>
    <col min="7683" max="7683" width="13.7109375" customWidth="1"/>
    <col min="7684" max="7684" width="13.85546875" customWidth="1"/>
    <col min="7685" max="7685" width="14.140625" bestFit="1" customWidth="1"/>
    <col min="7686" max="7686" width="14" bestFit="1" customWidth="1"/>
    <col min="7687" max="7687" width="14.140625" bestFit="1" customWidth="1"/>
    <col min="7688" max="7688" width="15" bestFit="1" customWidth="1"/>
    <col min="7689" max="7689" width="14" bestFit="1" customWidth="1"/>
    <col min="7690" max="7690" width="13.85546875" bestFit="1" customWidth="1"/>
    <col min="7691" max="7691" width="14" bestFit="1" customWidth="1"/>
    <col min="7692" max="7692" width="13.85546875" bestFit="1" customWidth="1"/>
    <col min="7693" max="7693" width="12.5703125" bestFit="1" customWidth="1"/>
    <col min="7694" max="7694" width="14.7109375" customWidth="1"/>
    <col min="7937" max="7937" width="47.42578125" bestFit="1" customWidth="1"/>
    <col min="7938" max="7938" width="15.42578125" bestFit="1" customWidth="1"/>
    <col min="7939" max="7939" width="13.7109375" customWidth="1"/>
    <col min="7940" max="7940" width="13.85546875" customWidth="1"/>
    <col min="7941" max="7941" width="14.140625" bestFit="1" customWidth="1"/>
    <col min="7942" max="7942" width="14" bestFit="1" customWidth="1"/>
    <col min="7943" max="7943" width="14.140625" bestFit="1" customWidth="1"/>
    <col min="7944" max="7944" width="15" bestFit="1" customWidth="1"/>
    <col min="7945" max="7945" width="14" bestFit="1" customWidth="1"/>
    <col min="7946" max="7946" width="13.85546875" bestFit="1" customWidth="1"/>
    <col min="7947" max="7947" width="14" bestFit="1" customWidth="1"/>
    <col min="7948" max="7948" width="13.85546875" bestFit="1" customWidth="1"/>
    <col min="7949" max="7949" width="12.5703125" bestFit="1" customWidth="1"/>
    <col min="7950" max="7950" width="14.7109375" customWidth="1"/>
    <col min="8193" max="8193" width="47.42578125" bestFit="1" customWidth="1"/>
    <col min="8194" max="8194" width="15.42578125" bestFit="1" customWidth="1"/>
    <col min="8195" max="8195" width="13.7109375" customWidth="1"/>
    <col min="8196" max="8196" width="13.85546875" customWidth="1"/>
    <col min="8197" max="8197" width="14.140625" bestFit="1" customWidth="1"/>
    <col min="8198" max="8198" width="14" bestFit="1" customWidth="1"/>
    <col min="8199" max="8199" width="14.140625" bestFit="1" customWidth="1"/>
    <col min="8200" max="8200" width="15" bestFit="1" customWidth="1"/>
    <col min="8201" max="8201" width="14" bestFit="1" customWidth="1"/>
    <col min="8202" max="8202" width="13.85546875" bestFit="1" customWidth="1"/>
    <col min="8203" max="8203" width="14" bestFit="1" customWidth="1"/>
    <col min="8204" max="8204" width="13.85546875" bestFit="1" customWidth="1"/>
    <col min="8205" max="8205" width="12.5703125" bestFit="1" customWidth="1"/>
    <col min="8206" max="8206" width="14.7109375" customWidth="1"/>
    <col min="8449" max="8449" width="47.42578125" bestFit="1" customWidth="1"/>
    <col min="8450" max="8450" width="15.42578125" bestFit="1" customWidth="1"/>
    <col min="8451" max="8451" width="13.7109375" customWidth="1"/>
    <col min="8452" max="8452" width="13.85546875" customWidth="1"/>
    <col min="8453" max="8453" width="14.140625" bestFit="1" customWidth="1"/>
    <col min="8454" max="8454" width="14" bestFit="1" customWidth="1"/>
    <col min="8455" max="8455" width="14.140625" bestFit="1" customWidth="1"/>
    <col min="8456" max="8456" width="15" bestFit="1" customWidth="1"/>
    <col min="8457" max="8457" width="14" bestFit="1" customWidth="1"/>
    <col min="8458" max="8458" width="13.85546875" bestFit="1" customWidth="1"/>
    <col min="8459" max="8459" width="14" bestFit="1" customWidth="1"/>
    <col min="8460" max="8460" width="13.85546875" bestFit="1" customWidth="1"/>
    <col min="8461" max="8461" width="12.5703125" bestFit="1" customWidth="1"/>
    <col min="8462" max="8462" width="14.7109375" customWidth="1"/>
    <col min="8705" max="8705" width="47.42578125" bestFit="1" customWidth="1"/>
    <col min="8706" max="8706" width="15.42578125" bestFit="1" customWidth="1"/>
    <col min="8707" max="8707" width="13.7109375" customWidth="1"/>
    <col min="8708" max="8708" width="13.85546875" customWidth="1"/>
    <col min="8709" max="8709" width="14.140625" bestFit="1" customWidth="1"/>
    <col min="8710" max="8710" width="14" bestFit="1" customWidth="1"/>
    <col min="8711" max="8711" width="14.140625" bestFit="1" customWidth="1"/>
    <col min="8712" max="8712" width="15" bestFit="1" customWidth="1"/>
    <col min="8713" max="8713" width="14" bestFit="1" customWidth="1"/>
    <col min="8714" max="8714" width="13.85546875" bestFit="1" customWidth="1"/>
    <col min="8715" max="8715" width="14" bestFit="1" customWidth="1"/>
    <col min="8716" max="8716" width="13.85546875" bestFit="1" customWidth="1"/>
    <col min="8717" max="8717" width="12.5703125" bestFit="1" customWidth="1"/>
    <col min="8718" max="8718" width="14.7109375" customWidth="1"/>
    <col min="8961" max="8961" width="47.42578125" bestFit="1" customWidth="1"/>
    <col min="8962" max="8962" width="15.42578125" bestFit="1" customWidth="1"/>
    <col min="8963" max="8963" width="13.7109375" customWidth="1"/>
    <col min="8964" max="8964" width="13.85546875" customWidth="1"/>
    <col min="8965" max="8965" width="14.140625" bestFit="1" customWidth="1"/>
    <col min="8966" max="8966" width="14" bestFit="1" customWidth="1"/>
    <col min="8967" max="8967" width="14.140625" bestFit="1" customWidth="1"/>
    <col min="8968" max="8968" width="15" bestFit="1" customWidth="1"/>
    <col min="8969" max="8969" width="14" bestFit="1" customWidth="1"/>
    <col min="8970" max="8970" width="13.85546875" bestFit="1" customWidth="1"/>
    <col min="8971" max="8971" width="14" bestFit="1" customWidth="1"/>
    <col min="8972" max="8972" width="13.85546875" bestFit="1" customWidth="1"/>
    <col min="8973" max="8973" width="12.5703125" bestFit="1" customWidth="1"/>
    <col min="8974" max="8974" width="14.7109375" customWidth="1"/>
    <col min="9217" max="9217" width="47.42578125" bestFit="1" customWidth="1"/>
    <col min="9218" max="9218" width="15.42578125" bestFit="1" customWidth="1"/>
    <col min="9219" max="9219" width="13.7109375" customWidth="1"/>
    <col min="9220" max="9220" width="13.85546875" customWidth="1"/>
    <col min="9221" max="9221" width="14.140625" bestFit="1" customWidth="1"/>
    <col min="9222" max="9222" width="14" bestFit="1" customWidth="1"/>
    <col min="9223" max="9223" width="14.140625" bestFit="1" customWidth="1"/>
    <col min="9224" max="9224" width="15" bestFit="1" customWidth="1"/>
    <col min="9225" max="9225" width="14" bestFit="1" customWidth="1"/>
    <col min="9226" max="9226" width="13.85546875" bestFit="1" customWidth="1"/>
    <col min="9227" max="9227" width="14" bestFit="1" customWidth="1"/>
    <col min="9228" max="9228" width="13.85546875" bestFit="1" customWidth="1"/>
    <col min="9229" max="9229" width="12.5703125" bestFit="1" customWidth="1"/>
    <col min="9230" max="9230" width="14.7109375" customWidth="1"/>
    <col min="9473" max="9473" width="47.42578125" bestFit="1" customWidth="1"/>
    <col min="9474" max="9474" width="15.42578125" bestFit="1" customWidth="1"/>
    <col min="9475" max="9475" width="13.7109375" customWidth="1"/>
    <col min="9476" max="9476" width="13.85546875" customWidth="1"/>
    <col min="9477" max="9477" width="14.140625" bestFit="1" customWidth="1"/>
    <col min="9478" max="9478" width="14" bestFit="1" customWidth="1"/>
    <col min="9479" max="9479" width="14.140625" bestFit="1" customWidth="1"/>
    <col min="9480" max="9480" width="15" bestFit="1" customWidth="1"/>
    <col min="9481" max="9481" width="14" bestFit="1" customWidth="1"/>
    <col min="9482" max="9482" width="13.85546875" bestFit="1" customWidth="1"/>
    <col min="9483" max="9483" width="14" bestFit="1" customWidth="1"/>
    <col min="9484" max="9484" width="13.85546875" bestFit="1" customWidth="1"/>
    <col min="9485" max="9485" width="12.5703125" bestFit="1" customWidth="1"/>
    <col min="9486" max="9486" width="14.7109375" customWidth="1"/>
    <col min="9729" max="9729" width="47.42578125" bestFit="1" customWidth="1"/>
    <col min="9730" max="9730" width="15.42578125" bestFit="1" customWidth="1"/>
    <col min="9731" max="9731" width="13.7109375" customWidth="1"/>
    <col min="9732" max="9732" width="13.85546875" customWidth="1"/>
    <col min="9733" max="9733" width="14.140625" bestFit="1" customWidth="1"/>
    <col min="9734" max="9734" width="14" bestFit="1" customWidth="1"/>
    <col min="9735" max="9735" width="14.140625" bestFit="1" customWidth="1"/>
    <col min="9736" max="9736" width="15" bestFit="1" customWidth="1"/>
    <col min="9737" max="9737" width="14" bestFit="1" customWidth="1"/>
    <col min="9738" max="9738" width="13.85546875" bestFit="1" customWidth="1"/>
    <col min="9739" max="9739" width="14" bestFit="1" customWidth="1"/>
    <col min="9740" max="9740" width="13.85546875" bestFit="1" customWidth="1"/>
    <col min="9741" max="9741" width="12.5703125" bestFit="1" customWidth="1"/>
    <col min="9742" max="9742" width="14.7109375" customWidth="1"/>
    <col min="9985" max="9985" width="47.42578125" bestFit="1" customWidth="1"/>
    <col min="9986" max="9986" width="15.42578125" bestFit="1" customWidth="1"/>
    <col min="9987" max="9987" width="13.7109375" customWidth="1"/>
    <col min="9988" max="9988" width="13.85546875" customWidth="1"/>
    <col min="9989" max="9989" width="14.140625" bestFit="1" customWidth="1"/>
    <col min="9990" max="9990" width="14" bestFit="1" customWidth="1"/>
    <col min="9991" max="9991" width="14.140625" bestFit="1" customWidth="1"/>
    <col min="9992" max="9992" width="15" bestFit="1" customWidth="1"/>
    <col min="9993" max="9993" width="14" bestFit="1" customWidth="1"/>
    <col min="9994" max="9994" width="13.85546875" bestFit="1" customWidth="1"/>
    <col min="9995" max="9995" width="14" bestFit="1" customWidth="1"/>
    <col min="9996" max="9996" width="13.85546875" bestFit="1" customWidth="1"/>
    <col min="9997" max="9997" width="12.5703125" bestFit="1" customWidth="1"/>
    <col min="9998" max="9998" width="14.7109375" customWidth="1"/>
    <col min="10241" max="10241" width="47.42578125" bestFit="1" customWidth="1"/>
    <col min="10242" max="10242" width="15.42578125" bestFit="1" customWidth="1"/>
    <col min="10243" max="10243" width="13.7109375" customWidth="1"/>
    <col min="10244" max="10244" width="13.85546875" customWidth="1"/>
    <col min="10245" max="10245" width="14.140625" bestFit="1" customWidth="1"/>
    <col min="10246" max="10246" width="14" bestFit="1" customWidth="1"/>
    <col min="10247" max="10247" width="14.140625" bestFit="1" customWidth="1"/>
    <col min="10248" max="10248" width="15" bestFit="1" customWidth="1"/>
    <col min="10249" max="10249" width="14" bestFit="1" customWidth="1"/>
    <col min="10250" max="10250" width="13.85546875" bestFit="1" customWidth="1"/>
    <col min="10251" max="10251" width="14" bestFit="1" customWidth="1"/>
    <col min="10252" max="10252" width="13.85546875" bestFit="1" customWidth="1"/>
    <col min="10253" max="10253" width="12.5703125" bestFit="1" customWidth="1"/>
    <col min="10254" max="10254" width="14.7109375" customWidth="1"/>
    <col min="10497" max="10497" width="47.42578125" bestFit="1" customWidth="1"/>
    <col min="10498" max="10498" width="15.42578125" bestFit="1" customWidth="1"/>
    <col min="10499" max="10499" width="13.7109375" customWidth="1"/>
    <col min="10500" max="10500" width="13.85546875" customWidth="1"/>
    <col min="10501" max="10501" width="14.140625" bestFit="1" customWidth="1"/>
    <col min="10502" max="10502" width="14" bestFit="1" customWidth="1"/>
    <col min="10503" max="10503" width="14.140625" bestFit="1" customWidth="1"/>
    <col min="10504" max="10504" width="15" bestFit="1" customWidth="1"/>
    <col min="10505" max="10505" width="14" bestFit="1" customWidth="1"/>
    <col min="10506" max="10506" width="13.85546875" bestFit="1" customWidth="1"/>
    <col min="10507" max="10507" width="14" bestFit="1" customWidth="1"/>
    <col min="10508" max="10508" width="13.85546875" bestFit="1" customWidth="1"/>
    <col min="10509" max="10509" width="12.5703125" bestFit="1" customWidth="1"/>
    <col min="10510" max="10510" width="14.7109375" customWidth="1"/>
    <col min="10753" max="10753" width="47.42578125" bestFit="1" customWidth="1"/>
    <col min="10754" max="10754" width="15.42578125" bestFit="1" customWidth="1"/>
    <col min="10755" max="10755" width="13.7109375" customWidth="1"/>
    <col min="10756" max="10756" width="13.85546875" customWidth="1"/>
    <col min="10757" max="10757" width="14.140625" bestFit="1" customWidth="1"/>
    <col min="10758" max="10758" width="14" bestFit="1" customWidth="1"/>
    <col min="10759" max="10759" width="14.140625" bestFit="1" customWidth="1"/>
    <col min="10760" max="10760" width="15" bestFit="1" customWidth="1"/>
    <col min="10761" max="10761" width="14" bestFit="1" customWidth="1"/>
    <col min="10762" max="10762" width="13.85546875" bestFit="1" customWidth="1"/>
    <col min="10763" max="10763" width="14" bestFit="1" customWidth="1"/>
    <col min="10764" max="10764" width="13.85546875" bestFit="1" customWidth="1"/>
    <col min="10765" max="10765" width="12.5703125" bestFit="1" customWidth="1"/>
    <col min="10766" max="10766" width="14.7109375" customWidth="1"/>
    <col min="11009" max="11009" width="47.42578125" bestFit="1" customWidth="1"/>
    <col min="11010" max="11010" width="15.42578125" bestFit="1" customWidth="1"/>
    <col min="11011" max="11011" width="13.7109375" customWidth="1"/>
    <col min="11012" max="11012" width="13.85546875" customWidth="1"/>
    <col min="11013" max="11013" width="14.140625" bestFit="1" customWidth="1"/>
    <col min="11014" max="11014" width="14" bestFit="1" customWidth="1"/>
    <col min="11015" max="11015" width="14.140625" bestFit="1" customWidth="1"/>
    <col min="11016" max="11016" width="15" bestFit="1" customWidth="1"/>
    <col min="11017" max="11017" width="14" bestFit="1" customWidth="1"/>
    <col min="11018" max="11018" width="13.85546875" bestFit="1" customWidth="1"/>
    <col min="11019" max="11019" width="14" bestFit="1" customWidth="1"/>
    <col min="11020" max="11020" width="13.85546875" bestFit="1" customWidth="1"/>
    <col min="11021" max="11021" width="12.5703125" bestFit="1" customWidth="1"/>
    <col min="11022" max="11022" width="14.7109375" customWidth="1"/>
    <col min="11265" max="11265" width="47.42578125" bestFit="1" customWidth="1"/>
    <col min="11266" max="11266" width="15.42578125" bestFit="1" customWidth="1"/>
    <col min="11267" max="11267" width="13.7109375" customWidth="1"/>
    <col min="11268" max="11268" width="13.85546875" customWidth="1"/>
    <col min="11269" max="11269" width="14.140625" bestFit="1" customWidth="1"/>
    <col min="11270" max="11270" width="14" bestFit="1" customWidth="1"/>
    <col min="11271" max="11271" width="14.140625" bestFit="1" customWidth="1"/>
    <col min="11272" max="11272" width="15" bestFit="1" customWidth="1"/>
    <col min="11273" max="11273" width="14" bestFit="1" customWidth="1"/>
    <col min="11274" max="11274" width="13.85546875" bestFit="1" customWidth="1"/>
    <col min="11275" max="11275" width="14" bestFit="1" customWidth="1"/>
    <col min="11276" max="11276" width="13.85546875" bestFit="1" customWidth="1"/>
    <col min="11277" max="11277" width="12.5703125" bestFit="1" customWidth="1"/>
    <col min="11278" max="11278" width="14.7109375" customWidth="1"/>
    <col min="11521" max="11521" width="47.42578125" bestFit="1" customWidth="1"/>
    <col min="11522" max="11522" width="15.42578125" bestFit="1" customWidth="1"/>
    <col min="11523" max="11523" width="13.7109375" customWidth="1"/>
    <col min="11524" max="11524" width="13.85546875" customWidth="1"/>
    <col min="11525" max="11525" width="14.140625" bestFit="1" customWidth="1"/>
    <col min="11526" max="11526" width="14" bestFit="1" customWidth="1"/>
    <col min="11527" max="11527" width="14.140625" bestFit="1" customWidth="1"/>
    <col min="11528" max="11528" width="15" bestFit="1" customWidth="1"/>
    <col min="11529" max="11529" width="14" bestFit="1" customWidth="1"/>
    <col min="11530" max="11530" width="13.85546875" bestFit="1" customWidth="1"/>
    <col min="11531" max="11531" width="14" bestFit="1" customWidth="1"/>
    <col min="11532" max="11532" width="13.85546875" bestFit="1" customWidth="1"/>
    <col min="11533" max="11533" width="12.5703125" bestFit="1" customWidth="1"/>
    <col min="11534" max="11534" width="14.7109375" customWidth="1"/>
    <col min="11777" max="11777" width="47.42578125" bestFit="1" customWidth="1"/>
    <col min="11778" max="11778" width="15.42578125" bestFit="1" customWidth="1"/>
    <col min="11779" max="11779" width="13.7109375" customWidth="1"/>
    <col min="11780" max="11780" width="13.85546875" customWidth="1"/>
    <col min="11781" max="11781" width="14.140625" bestFit="1" customWidth="1"/>
    <col min="11782" max="11782" width="14" bestFit="1" customWidth="1"/>
    <col min="11783" max="11783" width="14.140625" bestFit="1" customWidth="1"/>
    <col min="11784" max="11784" width="15" bestFit="1" customWidth="1"/>
    <col min="11785" max="11785" width="14" bestFit="1" customWidth="1"/>
    <col min="11786" max="11786" width="13.85546875" bestFit="1" customWidth="1"/>
    <col min="11787" max="11787" width="14" bestFit="1" customWidth="1"/>
    <col min="11788" max="11788" width="13.85546875" bestFit="1" customWidth="1"/>
    <col min="11789" max="11789" width="12.5703125" bestFit="1" customWidth="1"/>
    <col min="11790" max="11790" width="14.7109375" customWidth="1"/>
    <col min="12033" max="12033" width="47.42578125" bestFit="1" customWidth="1"/>
    <col min="12034" max="12034" width="15.42578125" bestFit="1" customWidth="1"/>
    <col min="12035" max="12035" width="13.7109375" customWidth="1"/>
    <col min="12036" max="12036" width="13.85546875" customWidth="1"/>
    <col min="12037" max="12037" width="14.140625" bestFit="1" customWidth="1"/>
    <col min="12038" max="12038" width="14" bestFit="1" customWidth="1"/>
    <col min="12039" max="12039" width="14.140625" bestFit="1" customWidth="1"/>
    <col min="12040" max="12040" width="15" bestFit="1" customWidth="1"/>
    <col min="12041" max="12041" width="14" bestFit="1" customWidth="1"/>
    <col min="12042" max="12042" width="13.85546875" bestFit="1" customWidth="1"/>
    <col min="12043" max="12043" width="14" bestFit="1" customWidth="1"/>
    <col min="12044" max="12044" width="13.85546875" bestFit="1" customWidth="1"/>
    <col min="12045" max="12045" width="12.5703125" bestFit="1" customWidth="1"/>
    <col min="12046" max="12046" width="14.7109375" customWidth="1"/>
    <col min="12289" max="12289" width="47.42578125" bestFit="1" customWidth="1"/>
    <col min="12290" max="12290" width="15.42578125" bestFit="1" customWidth="1"/>
    <col min="12291" max="12291" width="13.7109375" customWidth="1"/>
    <col min="12292" max="12292" width="13.85546875" customWidth="1"/>
    <col min="12293" max="12293" width="14.140625" bestFit="1" customWidth="1"/>
    <col min="12294" max="12294" width="14" bestFit="1" customWidth="1"/>
    <col min="12295" max="12295" width="14.140625" bestFit="1" customWidth="1"/>
    <col min="12296" max="12296" width="15" bestFit="1" customWidth="1"/>
    <col min="12297" max="12297" width="14" bestFit="1" customWidth="1"/>
    <col min="12298" max="12298" width="13.85546875" bestFit="1" customWidth="1"/>
    <col min="12299" max="12299" width="14" bestFit="1" customWidth="1"/>
    <col min="12300" max="12300" width="13.85546875" bestFit="1" customWidth="1"/>
    <col min="12301" max="12301" width="12.5703125" bestFit="1" customWidth="1"/>
    <col min="12302" max="12302" width="14.7109375" customWidth="1"/>
    <col min="12545" max="12545" width="47.42578125" bestFit="1" customWidth="1"/>
    <col min="12546" max="12546" width="15.42578125" bestFit="1" customWidth="1"/>
    <col min="12547" max="12547" width="13.7109375" customWidth="1"/>
    <col min="12548" max="12548" width="13.85546875" customWidth="1"/>
    <col min="12549" max="12549" width="14.140625" bestFit="1" customWidth="1"/>
    <col min="12550" max="12550" width="14" bestFit="1" customWidth="1"/>
    <col min="12551" max="12551" width="14.140625" bestFit="1" customWidth="1"/>
    <col min="12552" max="12552" width="15" bestFit="1" customWidth="1"/>
    <col min="12553" max="12553" width="14" bestFit="1" customWidth="1"/>
    <col min="12554" max="12554" width="13.85546875" bestFit="1" customWidth="1"/>
    <col min="12555" max="12555" width="14" bestFit="1" customWidth="1"/>
    <col min="12556" max="12556" width="13.85546875" bestFit="1" customWidth="1"/>
    <col min="12557" max="12557" width="12.5703125" bestFit="1" customWidth="1"/>
    <col min="12558" max="12558" width="14.7109375" customWidth="1"/>
    <col min="12801" max="12801" width="47.42578125" bestFit="1" customWidth="1"/>
    <col min="12802" max="12802" width="15.42578125" bestFit="1" customWidth="1"/>
    <col min="12803" max="12803" width="13.7109375" customWidth="1"/>
    <col min="12804" max="12804" width="13.85546875" customWidth="1"/>
    <col min="12805" max="12805" width="14.140625" bestFit="1" customWidth="1"/>
    <col min="12806" max="12806" width="14" bestFit="1" customWidth="1"/>
    <col min="12807" max="12807" width="14.140625" bestFit="1" customWidth="1"/>
    <col min="12808" max="12808" width="15" bestFit="1" customWidth="1"/>
    <col min="12809" max="12809" width="14" bestFit="1" customWidth="1"/>
    <col min="12810" max="12810" width="13.85546875" bestFit="1" customWidth="1"/>
    <col min="12811" max="12811" width="14" bestFit="1" customWidth="1"/>
    <col min="12812" max="12812" width="13.85546875" bestFit="1" customWidth="1"/>
    <col min="12813" max="12813" width="12.5703125" bestFit="1" customWidth="1"/>
    <col min="12814" max="12814" width="14.7109375" customWidth="1"/>
    <col min="13057" max="13057" width="47.42578125" bestFit="1" customWidth="1"/>
    <col min="13058" max="13058" width="15.42578125" bestFit="1" customWidth="1"/>
    <col min="13059" max="13059" width="13.7109375" customWidth="1"/>
    <col min="13060" max="13060" width="13.85546875" customWidth="1"/>
    <col min="13061" max="13061" width="14.140625" bestFit="1" customWidth="1"/>
    <col min="13062" max="13062" width="14" bestFit="1" customWidth="1"/>
    <col min="13063" max="13063" width="14.140625" bestFit="1" customWidth="1"/>
    <col min="13064" max="13064" width="15" bestFit="1" customWidth="1"/>
    <col min="13065" max="13065" width="14" bestFit="1" customWidth="1"/>
    <col min="13066" max="13066" width="13.85546875" bestFit="1" customWidth="1"/>
    <col min="13067" max="13067" width="14" bestFit="1" customWidth="1"/>
    <col min="13068" max="13068" width="13.85546875" bestFit="1" customWidth="1"/>
    <col min="13069" max="13069" width="12.5703125" bestFit="1" customWidth="1"/>
    <col min="13070" max="13070" width="14.7109375" customWidth="1"/>
    <col min="13313" max="13313" width="47.42578125" bestFit="1" customWidth="1"/>
    <col min="13314" max="13314" width="15.42578125" bestFit="1" customWidth="1"/>
    <col min="13315" max="13315" width="13.7109375" customWidth="1"/>
    <col min="13316" max="13316" width="13.85546875" customWidth="1"/>
    <col min="13317" max="13317" width="14.140625" bestFit="1" customWidth="1"/>
    <col min="13318" max="13318" width="14" bestFit="1" customWidth="1"/>
    <col min="13319" max="13319" width="14.140625" bestFit="1" customWidth="1"/>
    <col min="13320" max="13320" width="15" bestFit="1" customWidth="1"/>
    <col min="13321" max="13321" width="14" bestFit="1" customWidth="1"/>
    <col min="13322" max="13322" width="13.85546875" bestFit="1" customWidth="1"/>
    <col min="13323" max="13323" width="14" bestFit="1" customWidth="1"/>
    <col min="13324" max="13324" width="13.85546875" bestFit="1" customWidth="1"/>
    <col min="13325" max="13325" width="12.5703125" bestFit="1" customWidth="1"/>
    <col min="13326" max="13326" width="14.7109375" customWidth="1"/>
    <col min="13569" max="13569" width="47.42578125" bestFit="1" customWidth="1"/>
    <col min="13570" max="13570" width="15.42578125" bestFit="1" customWidth="1"/>
    <col min="13571" max="13571" width="13.7109375" customWidth="1"/>
    <col min="13572" max="13572" width="13.85546875" customWidth="1"/>
    <col min="13573" max="13573" width="14.140625" bestFit="1" customWidth="1"/>
    <col min="13574" max="13574" width="14" bestFit="1" customWidth="1"/>
    <col min="13575" max="13575" width="14.140625" bestFit="1" customWidth="1"/>
    <col min="13576" max="13576" width="15" bestFit="1" customWidth="1"/>
    <col min="13577" max="13577" width="14" bestFit="1" customWidth="1"/>
    <col min="13578" max="13578" width="13.85546875" bestFit="1" customWidth="1"/>
    <col min="13579" max="13579" width="14" bestFit="1" customWidth="1"/>
    <col min="13580" max="13580" width="13.85546875" bestFit="1" customWidth="1"/>
    <col min="13581" max="13581" width="12.5703125" bestFit="1" customWidth="1"/>
    <col min="13582" max="13582" width="14.7109375" customWidth="1"/>
    <col min="13825" max="13825" width="47.42578125" bestFit="1" customWidth="1"/>
    <col min="13826" max="13826" width="15.42578125" bestFit="1" customWidth="1"/>
    <col min="13827" max="13827" width="13.7109375" customWidth="1"/>
    <col min="13828" max="13828" width="13.85546875" customWidth="1"/>
    <col min="13829" max="13829" width="14.140625" bestFit="1" customWidth="1"/>
    <col min="13830" max="13830" width="14" bestFit="1" customWidth="1"/>
    <col min="13831" max="13831" width="14.140625" bestFit="1" customWidth="1"/>
    <col min="13832" max="13832" width="15" bestFit="1" customWidth="1"/>
    <col min="13833" max="13833" width="14" bestFit="1" customWidth="1"/>
    <col min="13834" max="13834" width="13.85546875" bestFit="1" customWidth="1"/>
    <col min="13835" max="13835" width="14" bestFit="1" customWidth="1"/>
    <col min="13836" max="13836" width="13.85546875" bestFit="1" customWidth="1"/>
    <col min="13837" max="13837" width="12.5703125" bestFit="1" customWidth="1"/>
    <col min="13838" max="13838" width="14.7109375" customWidth="1"/>
    <col min="14081" max="14081" width="47.42578125" bestFit="1" customWidth="1"/>
    <col min="14082" max="14082" width="15.42578125" bestFit="1" customWidth="1"/>
    <col min="14083" max="14083" width="13.7109375" customWidth="1"/>
    <col min="14084" max="14084" width="13.85546875" customWidth="1"/>
    <col min="14085" max="14085" width="14.140625" bestFit="1" customWidth="1"/>
    <col min="14086" max="14086" width="14" bestFit="1" customWidth="1"/>
    <col min="14087" max="14087" width="14.140625" bestFit="1" customWidth="1"/>
    <col min="14088" max="14088" width="15" bestFit="1" customWidth="1"/>
    <col min="14089" max="14089" width="14" bestFit="1" customWidth="1"/>
    <col min="14090" max="14090" width="13.85546875" bestFit="1" customWidth="1"/>
    <col min="14091" max="14091" width="14" bestFit="1" customWidth="1"/>
    <col min="14092" max="14092" width="13.85546875" bestFit="1" customWidth="1"/>
    <col min="14093" max="14093" width="12.5703125" bestFit="1" customWidth="1"/>
    <col min="14094" max="14094" width="14.7109375" customWidth="1"/>
    <col min="14337" max="14337" width="47.42578125" bestFit="1" customWidth="1"/>
    <col min="14338" max="14338" width="15.42578125" bestFit="1" customWidth="1"/>
    <col min="14339" max="14339" width="13.7109375" customWidth="1"/>
    <col min="14340" max="14340" width="13.85546875" customWidth="1"/>
    <col min="14341" max="14341" width="14.140625" bestFit="1" customWidth="1"/>
    <col min="14342" max="14342" width="14" bestFit="1" customWidth="1"/>
    <col min="14343" max="14343" width="14.140625" bestFit="1" customWidth="1"/>
    <col min="14344" max="14344" width="15" bestFit="1" customWidth="1"/>
    <col min="14345" max="14345" width="14" bestFit="1" customWidth="1"/>
    <col min="14346" max="14346" width="13.85546875" bestFit="1" customWidth="1"/>
    <col min="14347" max="14347" width="14" bestFit="1" customWidth="1"/>
    <col min="14348" max="14348" width="13.85546875" bestFit="1" customWidth="1"/>
    <col min="14349" max="14349" width="12.5703125" bestFit="1" customWidth="1"/>
    <col min="14350" max="14350" width="14.7109375" customWidth="1"/>
    <col min="14593" max="14593" width="47.42578125" bestFit="1" customWidth="1"/>
    <col min="14594" max="14594" width="15.42578125" bestFit="1" customWidth="1"/>
    <col min="14595" max="14595" width="13.7109375" customWidth="1"/>
    <col min="14596" max="14596" width="13.85546875" customWidth="1"/>
    <col min="14597" max="14597" width="14.140625" bestFit="1" customWidth="1"/>
    <col min="14598" max="14598" width="14" bestFit="1" customWidth="1"/>
    <col min="14599" max="14599" width="14.140625" bestFit="1" customWidth="1"/>
    <col min="14600" max="14600" width="15" bestFit="1" customWidth="1"/>
    <col min="14601" max="14601" width="14" bestFit="1" customWidth="1"/>
    <col min="14602" max="14602" width="13.85546875" bestFit="1" customWidth="1"/>
    <col min="14603" max="14603" width="14" bestFit="1" customWidth="1"/>
    <col min="14604" max="14604" width="13.85546875" bestFit="1" customWidth="1"/>
    <col min="14605" max="14605" width="12.5703125" bestFit="1" customWidth="1"/>
    <col min="14606" max="14606" width="14.7109375" customWidth="1"/>
    <col min="14849" max="14849" width="47.42578125" bestFit="1" customWidth="1"/>
    <col min="14850" max="14850" width="15.42578125" bestFit="1" customWidth="1"/>
    <col min="14851" max="14851" width="13.7109375" customWidth="1"/>
    <col min="14852" max="14852" width="13.85546875" customWidth="1"/>
    <col min="14853" max="14853" width="14.140625" bestFit="1" customWidth="1"/>
    <col min="14854" max="14854" width="14" bestFit="1" customWidth="1"/>
    <col min="14855" max="14855" width="14.140625" bestFit="1" customWidth="1"/>
    <col min="14856" max="14856" width="15" bestFit="1" customWidth="1"/>
    <col min="14857" max="14857" width="14" bestFit="1" customWidth="1"/>
    <col min="14858" max="14858" width="13.85546875" bestFit="1" customWidth="1"/>
    <col min="14859" max="14859" width="14" bestFit="1" customWidth="1"/>
    <col min="14860" max="14860" width="13.85546875" bestFit="1" customWidth="1"/>
    <col min="14861" max="14861" width="12.5703125" bestFit="1" customWidth="1"/>
    <col min="14862" max="14862" width="14.7109375" customWidth="1"/>
    <col min="15105" max="15105" width="47.42578125" bestFit="1" customWidth="1"/>
    <col min="15106" max="15106" width="15.42578125" bestFit="1" customWidth="1"/>
    <col min="15107" max="15107" width="13.7109375" customWidth="1"/>
    <col min="15108" max="15108" width="13.85546875" customWidth="1"/>
    <col min="15109" max="15109" width="14.140625" bestFit="1" customWidth="1"/>
    <col min="15110" max="15110" width="14" bestFit="1" customWidth="1"/>
    <col min="15111" max="15111" width="14.140625" bestFit="1" customWidth="1"/>
    <col min="15112" max="15112" width="15" bestFit="1" customWidth="1"/>
    <col min="15113" max="15113" width="14" bestFit="1" customWidth="1"/>
    <col min="15114" max="15114" width="13.85546875" bestFit="1" customWidth="1"/>
    <col min="15115" max="15115" width="14" bestFit="1" customWidth="1"/>
    <col min="15116" max="15116" width="13.85546875" bestFit="1" customWidth="1"/>
    <col min="15117" max="15117" width="12.5703125" bestFit="1" customWidth="1"/>
    <col min="15118" max="15118" width="14.7109375" customWidth="1"/>
    <col min="15361" max="15361" width="47.42578125" bestFit="1" customWidth="1"/>
    <col min="15362" max="15362" width="15.42578125" bestFit="1" customWidth="1"/>
    <col min="15363" max="15363" width="13.7109375" customWidth="1"/>
    <col min="15364" max="15364" width="13.85546875" customWidth="1"/>
    <col min="15365" max="15365" width="14.140625" bestFit="1" customWidth="1"/>
    <col min="15366" max="15366" width="14" bestFit="1" customWidth="1"/>
    <col min="15367" max="15367" width="14.140625" bestFit="1" customWidth="1"/>
    <col min="15368" max="15368" width="15" bestFit="1" customWidth="1"/>
    <col min="15369" max="15369" width="14" bestFit="1" customWidth="1"/>
    <col min="15370" max="15370" width="13.85546875" bestFit="1" customWidth="1"/>
    <col min="15371" max="15371" width="14" bestFit="1" customWidth="1"/>
    <col min="15372" max="15372" width="13.85546875" bestFit="1" customWidth="1"/>
    <col min="15373" max="15373" width="12.5703125" bestFit="1" customWidth="1"/>
    <col min="15374" max="15374" width="14.7109375" customWidth="1"/>
    <col min="15617" max="15617" width="47.42578125" bestFit="1" customWidth="1"/>
    <col min="15618" max="15618" width="15.42578125" bestFit="1" customWidth="1"/>
    <col min="15619" max="15619" width="13.7109375" customWidth="1"/>
    <col min="15620" max="15620" width="13.85546875" customWidth="1"/>
    <col min="15621" max="15621" width="14.140625" bestFit="1" customWidth="1"/>
    <col min="15622" max="15622" width="14" bestFit="1" customWidth="1"/>
    <col min="15623" max="15623" width="14.140625" bestFit="1" customWidth="1"/>
    <col min="15624" max="15624" width="15" bestFit="1" customWidth="1"/>
    <col min="15625" max="15625" width="14" bestFit="1" customWidth="1"/>
    <col min="15626" max="15626" width="13.85546875" bestFit="1" customWidth="1"/>
    <col min="15627" max="15627" width="14" bestFit="1" customWidth="1"/>
    <col min="15628" max="15628" width="13.85546875" bestFit="1" customWidth="1"/>
    <col min="15629" max="15629" width="12.5703125" bestFit="1" customWidth="1"/>
    <col min="15630" max="15630" width="14.7109375" customWidth="1"/>
    <col min="15873" max="15873" width="47.42578125" bestFit="1" customWidth="1"/>
    <col min="15874" max="15874" width="15.42578125" bestFit="1" customWidth="1"/>
    <col min="15875" max="15875" width="13.7109375" customWidth="1"/>
    <col min="15876" max="15876" width="13.85546875" customWidth="1"/>
    <col min="15877" max="15877" width="14.140625" bestFit="1" customWidth="1"/>
    <col min="15878" max="15878" width="14" bestFit="1" customWidth="1"/>
    <col min="15879" max="15879" width="14.140625" bestFit="1" customWidth="1"/>
    <col min="15880" max="15880" width="15" bestFit="1" customWidth="1"/>
    <col min="15881" max="15881" width="14" bestFit="1" customWidth="1"/>
    <col min="15882" max="15882" width="13.85546875" bestFit="1" customWidth="1"/>
    <col min="15883" max="15883" width="14" bestFit="1" customWidth="1"/>
    <col min="15884" max="15884" width="13.85546875" bestFit="1" customWidth="1"/>
    <col min="15885" max="15885" width="12.5703125" bestFit="1" customWidth="1"/>
    <col min="15886" max="15886" width="14.7109375" customWidth="1"/>
    <col min="16129" max="16129" width="47.42578125" bestFit="1" customWidth="1"/>
    <col min="16130" max="16130" width="15.42578125" bestFit="1" customWidth="1"/>
    <col min="16131" max="16131" width="13.7109375" customWidth="1"/>
    <col min="16132" max="16132" width="13.85546875" customWidth="1"/>
    <col min="16133" max="16133" width="14.140625" bestFit="1" customWidth="1"/>
    <col min="16134" max="16134" width="14" bestFit="1" customWidth="1"/>
    <col min="16135" max="16135" width="14.140625" bestFit="1" customWidth="1"/>
    <col min="16136" max="16136" width="15" bestFit="1" customWidth="1"/>
    <col min="16137" max="16137" width="14" bestFit="1" customWidth="1"/>
    <col min="16138" max="16138" width="13.85546875" bestFit="1" customWidth="1"/>
    <col min="16139" max="16139" width="14" bestFit="1" customWidth="1"/>
    <col min="16140" max="16140" width="13.85546875" bestFit="1" customWidth="1"/>
    <col min="16141" max="16141" width="12.5703125" bestFit="1" customWidth="1"/>
    <col min="16142" max="16142" width="14.7109375" customWidth="1"/>
  </cols>
  <sheetData>
    <row r="2" spans="1:18" ht="15.75" x14ac:dyDescent="0.25">
      <c r="A2" s="15" t="s">
        <v>29</v>
      </c>
      <c r="B2" s="16"/>
      <c r="C2" s="17"/>
      <c r="D2" s="17"/>
      <c r="E2" s="17"/>
      <c r="F2" s="17"/>
      <c r="G2" s="17"/>
    </row>
    <row r="3" spans="1:18" ht="15.75" x14ac:dyDescent="0.25">
      <c r="A3" s="18" t="s">
        <v>30</v>
      </c>
      <c r="B3" s="19">
        <v>88477073.5</v>
      </c>
      <c r="C3" s="17"/>
      <c r="D3" s="17"/>
      <c r="E3" s="17"/>
      <c r="F3" s="17"/>
      <c r="G3" s="17"/>
    </row>
    <row r="4" spans="1:18" ht="15.75" x14ac:dyDescent="0.25">
      <c r="A4" s="18" t="s">
        <v>31</v>
      </c>
      <c r="B4" s="19">
        <v>88477073.5</v>
      </c>
      <c r="C4" s="17"/>
      <c r="D4" s="17"/>
      <c r="E4" s="17"/>
      <c r="F4" s="17"/>
      <c r="G4" s="17"/>
    </row>
    <row r="5" spans="1:18" ht="15.75" x14ac:dyDescent="0.25">
      <c r="A5" s="18" t="s">
        <v>32</v>
      </c>
      <c r="B5" s="19">
        <v>37891243</v>
      </c>
      <c r="C5" s="17" t="s">
        <v>33</v>
      </c>
      <c r="D5" s="17" t="s">
        <v>34</v>
      </c>
      <c r="E5" s="17"/>
      <c r="F5" s="17"/>
      <c r="G5" s="17"/>
    </row>
    <row r="6" spans="1:18" ht="15.75" x14ac:dyDescent="0.25">
      <c r="A6" s="18" t="s">
        <v>35</v>
      </c>
      <c r="B6" s="19">
        <v>16682323</v>
      </c>
      <c r="C6" s="20">
        <v>0</v>
      </c>
      <c r="D6" s="17"/>
      <c r="E6" s="17"/>
      <c r="F6" s="17"/>
      <c r="G6" s="17"/>
    </row>
    <row r="7" spans="1:18" ht="15.75" x14ac:dyDescent="0.25">
      <c r="A7" s="18" t="s">
        <v>36</v>
      </c>
      <c r="B7" s="19">
        <v>-176954147</v>
      </c>
      <c r="C7" s="17"/>
      <c r="D7" s="17"/>
      <c r="E7" s="17"/>
      <c r="F7" s="17"/>
      <c r="G7" s="17"/>
    </row>
    <row r="8" spans="1:18" ht="15.75" x14ac:dyDescent="0.25">
      <c r="A8" s="21" t="s">
        <v>37</v>
      </c>
      <c r="B8" s="19">
        <v>54573566</v>
      </c>
      <c r="C8" s="20">
        <v>54573566</v>
      </c>
      <c r="D8" s="17"/>
      <c r="E8" s="17"/>
      <c r="F8" s="17"/>
      <c r="G8" s="17"/>
    </row>
    <row r="9" spans="1:18" x14ac:dyDescent="0.25">
      <c r="A9" s="17"/>
      <c r="B9" s="17"/>
      <c r="C9" s="17"/>
      <c r="D9" s="17"/>
      <c r="E9" s="17"/>
      <c r="F9" s="17"/>
      <c r="G9" s="17"/>
    </row>
    <row r="10" spans="1:18" x14ac:dyDescent="0.25">
      <c r="A10" s="17"/>
      <c r="B10" s="17"/>
      <c r="C10" s="17"/>
      <c r="D10" s="17"/>
      <c r="E10" s="17"/>
      <c r="F10" s="17"/>
      <c r="G10" s="17"/>
    </row>
    <row r="11" spans="1:18" x14ac:dyDescent="0.25">
      <c r="A11" s="17"/>
      <c r="B11" s="17"/>
      <c r="C11" s="17"/>
      <c r="D11" s="17"/>
      <c r="E11" s="17"/>
      <c r="F11" s="17"/>
      <c r="G11" s="17"/>
    </row>
    <row r="12" spans="1:18" x14ac:dyDescent="0.25">
      <c r="A12" s="17"/>
      <c r="B12" s="17" t="s">
        <v>38</v>
      </c>
      <c r="C12" s="17"/>
      <c r="D12" s="17"/>
      <c r="E12" s="22"/>
      <c r="F12" s="22"/>
      <c r="G12" s="22"/>
      <c r="H12" s="22"/>
      <c r="I12" s="22"/>
      <c r="J12" s="22">
        <v>10000000</v>
      </c>
      <c r="K12" s="22">
        <v>10000000</v>
      </c>
      <c r="L12" s="22">
        <v>10000000</v>
      </c>
      <c r="M12" s="22">
        <v>10000000</v>
      </c>
      <c r="N12" s="22">
        <v>10000000</v>
      </c>
      <c r="O12" s="22">
        <v>10000000</v>
      </c>
      <c r="P12" s="22">
        <v>10000000</v>
      </c>
      <c r="Q12" s="22">
        <v>10000000</v>
      </c>
      <c r="R12" s="22">
        <v>10000000</v>
      </c>
    </row>
    <row r="13" spans="1:18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x14ac:dyDescent="0.25">
      <c r="A14" s="23" t="s">
        <v>39</v>
      </c>
      <c r="B14" s="23"/>
      <c r="C14" s="24">
        <v>2015</v>
      </c>
      <c r="D14" s="24">
        <v>2016</v>
      </c>
      <c r="E14" s="24">
        <v>2017</v>
      </c>
      <c r="F14" s="24">
        <v>2018</v>
      </c>
      <c r="G14" s="24">
        <v>2019</v>
      </c>
      <c r="H14" s="24">
        <v>2020</v>
      </c>
      <c r="I14" s="24">
        <v>2021</v>
      </c>
      <c r="J14" s="24">
        <v>2022</v>
      </c>
      <c r="K14" s="24">
        <v>2023</v>
      </c>
      <c r="L14" s="24">
        <v>2024</v>
      </c>
      <c r="M14" s="24">
        <v>2025</v>
      </c>
      <c r="N14" s="24">
        <v>2026</v>
      </c>
      <c r="O14" s="24">
        <v>2027</v>
      </c>
      <c r="P14" s="24">
        <v>2028</v>
      </c>
      <c r="Q14" s="24">
        <v>2029</v>
      </c>
      <c r="R14" s="24">
        <v>2030</v>
      </c>
    </row>
    <row r="15" spans="1:18" x14ac:dyDescent="0.25">
      <c r="A15" s="17"/>
      <c r="B15" s="17"/>
      <c r="C15" s="17"/>
      <c r="D15" s="17"/>
      <c r="E15" s="17"/>
      <c r="F15" s="17"/>
      <c r="G15" s="17"/>
    </row>
    <row r="16" spans="1:18" x14ac:dyDescent="0.25">
      <c r="A16" s="17" t="s">
        <v>40</v>
      </c>
      <c r="B16" s="25" t="s">
        <v>41</v>
      </c>
      <c r="C16" s="26">
        <v>2709283.0615942031</v>
      </c>
      <c r="D16" s="26">
        <v>9674976.6304347832</v>
      </c>
      <c r="E16" s="26">
        <v>19674976.630434781</v>
      </c>
      <c r="F16" s="26">
        <v>30825056</v>
      </c>
      <c r="G16" s="26">
        <v>52494596</v>
      </c>
      <c r="H16" s="26">
        <v>66488825</v>
      </c>
      <c r="I16" s="26">
        <v>79009227</v>
      </c>
      <c r="J16" s="26">
        <v>89009227</v>
      </c>
      <c r="K16" s="26">
        <v>99009227</v>
      </c>
      <c r="L16" s="26">
        <v>109009227</v>
      </c>
      <c r="M16" s="26">
        <v>119009227</v>
      </c>
      <c r="N16" s="26">
        <v>129009227</v>
      </c>
      <c r="O16" s="26">
        <v>139009227</v>
      </c>
      <c r="P16" s="26">
        <v>149009227</v>
      </c>
      <c r="Q16" s="26">
        <v>159009227</v>
      </c>
      <c r="R16" s="26">
        <v>169009227</v>
      </c>
    </row>
    <row r="17" spans="1:18" x14ac:dyDescent="0.25">
      <c r="A17" s="17"/>
      <c r="B17" s="25" t="s">
        <v>42</v>
      </c>
      <c r="C17" s="26">
        <v>2709283.0615942031</v>
      </c>
      <c r="D17" s="26">
        <v>9831626.3586956523</v>
      </c>
      <c r="E17" s="26">
        <v>19831626.358695652</v>
      </c>
      <c r="F17" s="26">
        <v>30655056</v>
      </c>
      <c r="G17" s="26">
        <v>52494596</v>
      </c>
      <c r="H17" s="26">
        <v>66488825</v>
      </c>
      <c r="I17" s="26">
        <v>76052705</v>
      </c>
      <c r="J17" s="26">
        <v>86052705</v>
      </c>
      <c r="K17" s="26">
        <v>96052705</v>
      </c>
      <c r="L17" s="26">
        <v>106052705</v>
      </c>
      <c r="M17" s="26">
        <v>116052705</v>
      </c>
      <c r="N17" s="26">
        <v>126052705</v>
      </c>
      <c r="O17" s="26">
        <v>136052705</v>
      </c>
      <c r="P17" s="26">
        <v>146052705</v>
      </c>
      <c r="Q17" s="26">
        <v>156052705</v>
      </c>
      <c r="R17" s="26">
        <v>166052705</v>
      </c>
    </row>
    <row r="18" spans="1:18" x14ac:dyDescent="0.25">
      <c r="A18" s="17"/>
      <c r="B18" s="1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x14ac:dyDescent="0.25">
      <c r="A19" s="17" t="s">
        <v>43</v>
      </c>
      <c r="B19" s="17"/>
      <c r="C19" s="26">
        <v>5418566.1231884062</v>
      </c>
      <c r="D19" s="26">
        <v>19506602.989130437</v>
      </c>
      <c r="E19" s="26">
        <v>39506602.989130437</v>
      </c>
      <c r="F19" s="26">
        <v>61480112</v>
      </c>
      <c r="G19" s="26">
        <v>104989192</v>
      </c>
      <c r="H19" s="26">
        <v>132977650</v>
      </c>
      <c r="I19" s="26">
        <v>155061932</v>
      </c>
      <c r="J19" s="26">
        <v>175061932</v>
      </c>
      <c r="K19" s="26">
        <v>195061932</v>
      </c>
      <c r="L19" s="26">
        <v>215061932</v>
      </c>
      <c r="M19" s="26">
        <v>235061932</v>
      </c>
      <c r="N19" s="26">
        <v>255061932</v>
      </c>
      <c r="O19" s="26">
        <v>275061932</v>
      </c>
      <c r="P19" s="26">
        <v>295061932</v>
      </c>
      <c r="Q19" s="26">
        <v>315061932</v>
      </c>
      <c r="R19" s="26">
        <v>335061932</v>
      </c>
    </row>
    <row r="20" spans="1:18" x14ac:dyDescent="0.25">
      <c r="A20" s="17" t="s">
        <v>44</v>
      </c>
      <c r="B20" s="17"/>
      <c r="C20" s="26">
        <v>690550.83333333302</v>
      </c>
      <c r="D20" s="26">
        <v>3647303.9666666668</v>
      </c>
      <c r="E20" s="26">
        <v>11977775.577333299</v>
      </c>
      <c r="F20" s="26">
        <v>19455428</v>
      </c>
      <c r="G20" s="26">
        <v>27381900</v>
      </c>
      <c r="H20" s="26">
        <v>34410732.845333397</v>
      </c>
      <c r="I20" s="26">
        <v>36869958</v>
      </c>
      <c r="J20" s="26">
        <v>49366037.690666802</v>
      </c>
      <c r="K20" s="26">
        <v>56843690.113333501</v>
      </c>
      <c r="L20" s="26">
        <v>64321342.5360002</v>
      </c>
      <c r="M20" s="26">
        <v>71798994.958666906</v>
      </c>
      <c r="N20" s="26">
        <v>79276647.381333604</v>
      </c>
      <c r="O20" s="26">
        <v>86754299.804000303</v>
      </c>
      <c r="P20" s="26">
        <v>94231952.226667002</v>
      </c>
      <c r="Q20" s="26">
        <v>101709604.649334</v>
      </c>
      <c r="R20" s="26">
        <v>109187257.072</v>
      </c>
    </row>
    <row r="21" spans="1:18" x14ac:dyDescent="0.25">
      <c r="A21" s="17" t="s">
        <v>45</v>
      </c>
      <c r="B21" s="17"/>
      <c r="C21" s="27">
        <v>6109116.9565217393</v>
      </c>
      <c r="D21" s="27">
        <v>23153906.955797106</v>
      </c>
      <c r="E21" s="27">
        <v>51484378.566463739</v>
      </c>
      <c r="F21" s="27">
        <v>80935540</v>
      </c>
      <c r="G21" s="27">
        <v>132371092</v>
      </c>
      <c r="H21" s="27">
        <v>167388382.8453334</v>
      </c>
      <c r="I21" s="27">
        <v>191931890</v>
      </c>
      <c r="J21" s="27">
        <v>224427969.69066679</v>
      </c>
      <c r="K21" s="27">
        <v>251905622.11333349</v>
      </c>
      <c r="L21" s="27">
        <v>279383274.53600019</v>
      </c>
      <c r="M21" s="27">
        <v>306860926.95866692</v>
      </c>
      <c r="N21" s="27">
        <v>334338579.38133359</v>
      </c>
      <c r="O21" s="27">
        <v>361816231.80400032</v>
      </c>
      <c r="P21" s="27">
        <v>389293884.22666699</v>
      </c>
      <c r="Q21" s="27">
        <v>416771536.64933401</v>
      </c>
      <c r="R21" s="27">
        <v>444249189.07200003</v>
      </c>
    </row>
    <row r="22" spans="1:18" x14ac:dyDescent="0.25">
      <c r="A22" s="17"/>
      <c r="B22" s="17"/>
      <c r="C22" s="26"/>
      <c r="D22" s="26"/>
      <c r="E22" s="26"/>
      <c r="F22" s="26"/>
      <c r="G22" s="26"/>
    </row>
    <row r="23" spans="1:18" x14ac:dyDescent="0.25">
      <c r="A23" s="17"/>
      <c r="B23" s="17"/>
      <c r="C23" s="26"/>
      <c r="D23" s="26"/>
      <c r="E23" s="26"/>
      <c r="F23" s="26"/>
      <c r="G23" s="26"/>
    </row>
    <row r="24" spans="1:18" x14ac:dyDescent="0.25">
      <c r="A24" s="17"/>
      <c r="B24" s="17"/>
      <c r="C24" s="17"/>
      <c r="D24" s="17"/>
      <c r="E24" s="17"/>
      <c r="F24" s="17"/>
      <c r="G24" s="17"/>
    </row>
    <row r="25" spans="1:18" x14ac:dyDescent="0.25">
      <c r="A25" s="23" t="s">
        <v>46</v>
      </c>
      <c r="B25" s="23"/>
      <c r="C25" s="24">
        <v>2015</v>
      </c>
      <c r="D25" s="24">
        <v>2016</v>
      </c>
      <c r="E25" s="24">
        <v>2017</v>
      </c>
      <c r="F25" s="24">
        <v>2018</v>
      </c>
      <c r="G25" s="24">
        <v>2019</v>
      </c>
      <c r="H25" s="24">
        <v>2020</v>
      </c>
      <c r="I25" s="24">
        <v>2021</v>
      </c>
      <c r="J25" s="24">
        <v>2022</v>
      </c>
      <c r="K25" s="24">
        <v>2023</v>
      </c>
      <c r="L25" s="24">
        <v>2024</v>
      </c>
      <c r="M25" s="24">
        <v>2025</v>
      </c>
      <c r="N25" s="24">
        <v>2026</v>
      </c>
      <c r="O25" s="24">
        <v>2027</v>
      </c>
      <c r="P25" s="24">
        <v>2028</v>
      </c>
      <c r="Q25" s="24">
        <v>2029</v>
      </c>
      <c r="R25" s="24">
        <v>2030</v>
      </c>
    </row>
    <row r="26" spans="1:18" x14ac:dyDescent="0.25">
      <c r="A26" s="17"/>
      <c r="B26" s="17"/>
      <c r="C26" s="17"/>
      <c r="D26" s="17"/>
      <c r="E26" s="17"/>
      <c r="F26" s="17"/>
      <c r="G26" s="17"/>
    </row>
    <row r="27" spans="1:18" x14ac:dyDescent="0.25">
      <c r="A27" s="17" t="s">
        <v>47</v>
      </c>
      <c r="B27" s="17" t="s">
        <v>41</v>
      </c>
      <c r="C27" s="28">
        <v>88477073.5</v>
      </c>
      <c r="D27" s="28">
        <v>87021236.303254426</v>
      </c>
      <c r="E27" s="28">
        <v>84809309.465754434</v>
      </c>
      <c r="F27" s="28">
        <v>82597382.628254429</v>
      </c>
      <c r="G27" s="28">
        <v>80385455.790754423</v>
      </c>
      <c r="H27" s="28">
        <v>78173528.953254506</v>
      </c>
      <c r="I27" s="28">
        <v>75961602.115754396</v>
      </c>
      <c r="J27" s="28">
        <v>73749675.278254494</v>
      </c>
      <c r="K27" s="28">
        <v>71537748.440754503</v>
      </c>
      <c r="L27" s="28">
        <v>69325821.603254497</v>
      </c>
      <c r="M27" s="28">
        <v>67113894.765754506</v>
      </c>
      <c r="N27" s="28">
        <v>64901967.9282545</v>
      </c>
      <c r="O27" s="28">
        <v>62690041.090754502</v>
      </c>
      <c r="P27" s="28">
        <v>60478114.253254503</v>
      </c>
      <c r="Q27" s="28">
        <v>58266187.415754497</v>
      </c>
      <c r="R27" s="28">
        <v>58266187.415754497</v>
      </c>
    </row>
    <row r="28" spans="1:18" x14ac:dyDescent="0.25">
      <c r="A28" s="17"/>
      <c r="B28" s="17" t="s">
        <v>42</v>
      </c>
      <c r="C28" s="28">
        <v>88477073.5</v>
      </c>
      <c r="D28" s="28">
        <v>88477073.5</v>
      </c>
      <c r="E28" s="28">
        <v>88477073.5</v>
      </c>
      <c r="F28" s="28">
        <v>88477073.5</v>
      </c>
      <c r="G28" s="28">
        <v>88477073.5</v>
      </c>
      <c r="H28" s="28">
        <v>88477073.5</v>
      </c>
      <c r="I28" s="28">
        <v>88477073.5</v>
      </c>
      <c r="J28" s="28">
        <v>88477073.5</v>
      </c>
      <c r="K28" s="28">
        <v>88477073.5</v>
      </c>
      <c r="L28" s="28">
        <v>88477073.5</v>
      </c>
      <c r="M28" s="28">
        <v>88477073.5</v>
      </c>
      <c r="N28" s="28">
        <v>88477073.5</v>
      </c>
      <c r="O28" s="28">
        <v>88477073.5</v>
      </c>
      <c r="P28" s="28">
        <v>88477073.5</v>
      </c>
      <c r="Q28" s="28">
        <v>88477073.5</v>
      </c>
      <c r="R28" s="28">
        <v>88477073.5</v>
      </c>
    </row>
    <row r="29" spans="1:18" x14ac:dyDescent="0.25">
      <c r="A29" s="17"/>
      <c r="B29" s="17" t="s">
        <v>48</v>
      </c>
      <c r="C29" s="28">
        <v>3480849452.130177</v>
      </c>
      <c r="D29" s="28">
        <v>3392372378.630177</v>
      </c>
      <c r="E29" s="28">
        <v>3303895305.130177</v>
      </c>
      <c r="F29" s="28">
        <v>3215418231.630177</v>
      </c>
      <c r="G29" s="28">
        <v>3126941158.130177</v>
      </c>
      <c r="H29" s="28">
        <v>3038464084.6301799</v>
      </c>
      <c r="I29" s="28">
        <v>2949987011.1301799</v>
      </c>
      <c r="J29" s="28">
        <v>2861509937.6301799</v>
      </c>
      <c r="K29" s="28">
        <v>2773032864.1301799</v>
      </c>
      <c r="L29" s="28">
        <v>2684555790.6301799</v>
      </c>
      <c r="M29" s="28">
        <v>2596078717.1301799</v>
      </c>
      <c r="N29" s="28">
        <v>2507601643.6301799</v>
      </c>
      <c r="O29" s="28">
        <v>2419124570.1301799</v>
      </c>
      <c r="P29" s="28">
        <v>2330647496.6301799</v>
      </c>
      <c r="Q29" s="28">
        <v>2242170423.1301799</v>
      </c>
      <c r="R29" s="28">
        <v>2153693349.6301799</v>
      </c>
    </row>
    <row r="30" spans="1:18" x14ac:dyDescent="0.25">
      <c r="A30" s="17"/>
      <c r="B30" s="17"/>
      <c r="C30" s="28"/>
      <c r="D30" s="28"/>
      <c r="E30" s="28"/>
      <c r="F30" s="28"/>
      <c r="G30" s="28"/>
    </row>
    <row r="31" spans="1:18" x14ac:dyDescent="0.25">
      <c r="A31" s="17" t="s">
        <v>49</v>
      </c>
      <c r="B31" s="17"/>
      <c r="C31" s="28">
        <v>176954147</v>
      </c>
      <c r="D31" s="28">
        <v>175498309.80325443</v>
      </c>
      <c r="E31" s="28">
        <v>173286382.96575445</v>
      </c>
      <c r="F31" s="28">
        <v>171074456.12825441</v>
      </c>
      <c r="G31" s="28">
        <v>168862529.29075444</v>
      </c>
      <c r="H31" s="28">
        <v>166650602.453255</v>
      </c>
      <c r="I31" s="28">
        <v>164438675.61575499</v>
      </c>
      <c r="J31" s="28">
        <v>162226748.77825499</v>
      </c>
      <c r="K31" s="28">
        <v>160014821.94075501</v>
      </c>
      <c r="L31" s="28">
        <v>157802895.103255</v>
      </c>
      <c r="M31" s="28">
        <v>155590968.265755</v>
      </c>
      <c r="N31" s="28">
        <v>153379041.42825499</v>
      </c>
      <c r="O31" s="28">
        <v>151167114.59075499</v>
      </c>
      <c r="P31" s="28">
        <v>148955187.75325501</v>
      </c>
      <c r="Q31" s="28">
        <v>146743260.915755</v>
      </c>
      <c r="R31" s="28">
        <v>144531334.078255</v>
      </c>
    </row>
    <row r="32" spans="1:18" x14ac:dyDescent="0.25">
      <c r="A32" s="17" t="s">
        <v>50</v>
      </c>
      <c r="B32" s="17"/>
      <c r="C32" s="28">
        <v>54573566</v>
      </c>
      <c r="D32" s="28">
        <v>54573566</v>
      </c>
      <c r="E32" s="28">
        <v>54573566</v>
      </c>
      <c r="F32" s="28">
        <v>54573566</v>
      </c>
      <c r="G32" s="28">
        <v>54573566</v>
      </c>
      <c r="H32" s="28">
        <v>54573566</v>
      </c>
      <c r="I32" s="28">
        <v>54573566</v>
      </c>
      <c r="J32" s="28">
        <v>54573566</v>
      </c>
      <c r="K32" s="28">
        <v>54573566</v>
      </c>
      <c r="L32" s="28">
        <v>54573566</v>
      </c>
      <c r="M32" s="28">
        <v>54573566</v>
      </c>
      <c r="N32" s="28">
        <v>54573566</v>
      </c>
      <c r="O32" s="28">
        <v>54573566</v>
      </c>
      <c r="P32" s="28">
        <v>54573566</v>
      </c>
      <c r="Q32" s="28">
        <v>54573566</v>
      </c>
      <c r="R32" s="28">
        <v>54573566</v>
      </c>
    </row>
    <row r="33" spans="1:22" x14ac:dyDescent="0.25">
      <c r="A33" s="17" t="s">
        <v>51</v>
      </c>
      <c r="B33" s="17"/>
      <c r="C33" s="27">
        <v>231527713</v>
      </c>
      <c r="D33" s="27">
        <v>230071875.80325443</v>
      </c>
      <c r="E33" s="27">
        <v>227859948.96575445</v>
      </c>
      <c r="F33" s="27">
        <v>225648022.12825441</v>
      </c>
      <c r="G33" s="27">
        <v>223436095.29075444</v>
      </c>
      <c r="H33" s="27">
        <v>221224168.453255</v>
      </c>
      <c r="I33" s="27">
        <v>219012241.61575499</v>
      </c>
      <c r="J33" s="27">
        <v>216800314.77825499</v>
      </c>
      <c r="K33" s="27">
        <v>214588387.94075501</v>
      </c>
      <c r="L33" s="27">
        <v>212376461.103255</v>
      </c>
      <c r="M33" s="27">
        <v>210164534.265755</v>
      </c>
      <c r="N33" s="27">
        <v>207952607.42825499</v>
      </c>
      <c r="O33" s="27">
        <v>205740680.59075499</v>
      </c>
      <c r="P33" s="27">
        <v>203528753.75325501</v>
      </c>
      <c r="Q33" s="27">
        <v>201316826.915755</v>
      </c>
      <c r="R33" s="27">
        <v>199104900.078255</v>
      </c>
    </row>
    <row r="34" spans="1:22" x14ac:dyDescent="0.25">
      <c r="A34" s="17"/>
      <c r="B34" s="17"/>
      <c r="C34" s="28"/>
      <c r="D34" s="28"/>
      <c r="E34" s="28"/>
      <c r="F34" s="28"/>
      <c r="G34" s="28"/>
    </row>
    <row r="35" spans="1:22" x14ac:dyDescent="0.25">
      <c r="A35" s="17"/>
      <c r="B35" s="17"/>
      <c r="C35" s="28"/>
      <c r="D35" s="28"/>
      <c r="E35" s="28"/>
      <c r="F35" s="28"/>
      <c r="G35" s="28"/>
    </row>
    <row r="36" spans="1:22" x14ac:dyDescent="0.25">
      <c r="A36" s="17" t="s">
        <v>52</v>
      </c>
      <c r="B36" s="17"/>
      <c r="C36" s="28"/>
      <c r="D36" s="28"/>
      <c r="E36" s="28"/>
      <c r="F36" s="28">
        <v>53208745</v>
      </c>
      <c r="G36" s="28">
        <v>53208745</v>
      </c>
      <c r="H36" s="28">
        <v>53208745</v>
      </c>
      <c r="I36" s="28">
        <v>53208745</v>
      </c>
      <c r="J36" s="28">
        <v>53208745</v>
      </c>
      <c r="K36" s="28">
        <v>53208745</v>
      </c>
      <c r="L36" s="28">
        <v>53208745</v>
      </c>
      <c r="M36" s="28">
        <v>53208745</v>
      </c>
      <c r="N36" s="28">
        <v>53208745</v>
      </c>
      <c r="O36" s="28">
        <v>53208745</v>
      </c>
      <c r="P36" s="28">
        <v>53208745</v>
      </c>
      <c r="Q36" s="28">
        <v>53208745</v>
      </c>
      <c r="R36" s="28">
        <v>53208745</v>
      </c>
    </row>
    <row r="37" spans="1:22" x14ac:dyDescent="0.25">
      <c r="A37" s="17"/>
      <c r="B37" s="17"/>
      <c r="C37" s="28"/>
      <c r="D37" s="28"/>
      <c r="E37" s="28"/>
      <c r="F37" s="28"/>
      <c r="G37" s="28"/>
    </row>
    <row r="38" spans="1:22" x14ac:dyDescent="0.25">
      <c r="A38" s="27" t="s">
        <v>53</v>
      </c>
      <c r="B38" s="27"/>
      <c r="C38" s="27"/>
      <c r="D38" s="27"/>
      <c r="E38" s="27"/>
      <c r="F38" s="27">
        <v>359792307.12825441</v>
      </c>
      <c r="G38" s="27">
        <v>409015932.29075444</v>
      </c>
      <c r="H38" s="27">
        <v>441821296.2985884</v>
      </c>
      <c r="I38" s="27">
        <v>464152876.61575496</v>
      </c>
      <c r="J38" s="27">
        <v>494437029.46892178</v>
      </c>
      <c r="K38" s="27">
        <v>519702755.05408847</v>
      </c>
      <c r="L38" s="27">
        <v>544968480.63925517</v>
      </c>
      <c r="M38" s="27">
        <v>570234206.22442198</v>
      </c>
      <c r="N38" s="27">
        <v>595499931.80958855</v>
      </c>
      <c r="O38" s="27">
        <v>620765657.39475536</v>
      </c>
      <c r="P38" s="27">
        <v>646031382.97992206</v>
      </c>
      <c r="Q38" s="27">
        <v>671297108.56508899</v>
      </c>
      <c r="R38" s="27">
        <v>696562834.15025496</v>
      </c>
    </row>
    <row r="41" spans="1:22" x14ac:dyDescent="0.25">
      <c r="E41" s="29">
        <f>E20+E32</f>
        <v>66551341.577333301</v>
      </c>
      <c r="F41" s="29">
        <f>F20+F32</f>
        <v>74028994</v>
      </c>
      <c r="G41" s="29">
        <f t="shared" ref="G41:V41" si="0">G20+G32</f>
        <v>81955466</v>
      </c>
      <c r="H41" s="29">
        <f t="shared" si="0"/>
        <v>88984298.845333397</v>
      </c>
      <c r="I41" s="29">
        <f>I20+I32</f>
        <v>91443524</v>
      </c>
      <c r="J41" s="29">
        <f t="shared" si="0"/>
        <v>103939603.69066679</v>
      </c>
      <c r="K41" s="29">
        <f t="shared" si="0"/>
        <v>111417256.11333349</v>
      </c>
      <c r="L41" s="29">
        <f t="shared" si="0"/>
        <v>118894908.53600019</v>
      </c>
      <c r="M41" s="29">
        <f t="shared" si="0"/>
        <v>126372560.95866691</v>
      </c>
      <c r="N41" s="29">
        <f t="shared" si="0"/>
        <v>133850213.3813336</v>
      </c>
      <c r="O41" s="29">
        <f t="shared" si="0"/>
        <v>141327865.80400032</v>
      </c>
      <c r="P41" s="29">
        <f t="shared" si="0"/>
        <v>148805518.22666699</v>
      </c>
      <c r="Q41" s="29">
        <f t="shared" si="0"/>
        <v>156283170.64933401</v>
      </c>
      <c r="R41" s="29">
        <f t="shared" si="0"/>
        <v>163760823.072</v>
      </c>
      <c r="S41" s="29">
        <f t="shared" si="0"/>
        <v>0</v>
      </c>
      <c r="T41" s="29">
        <f t="shared" si="0"/>
        <v>0</v>
      </c>
      <c r="U41" s="29">
        <f t="shared" si="0"/>
        <v>0</v>
      </c>
      <c r="V41" s="29">
        <f t="shared" si="0"/>
        <v>0</v>
      </c>
    </row>
    <row r="44" spans="1:22" x14ac:dyDescent="0.25">
      <c r="F44" s="29">
        <f>F41-E41</f>
        <v>7477652.4226666987</v>
      </c>
      <c r="G44" s="29">
        <f>G41-F41</f>
        <v>7926472</v>
      </c>
      <c r="H44" s="29">
        <f>H41-G41</f>
        <v>7028832.8453333974</v>
      </c>
      <c r="I44" s="29">
        <f t="shared" ref="I44:R44" si="1">I41-H41</f>
        <v>2459225.1546666026</v>
      </c>
      <c r="J44" s="29">
        <f>J41-I41</f>
        <v>12496079.690666795</v>
      </c>
      <c r="K44" s="29">
        <f>K41-J41</f>
        <v>7477652.4226666987</v>
      </c>
      <c r="L44" s="29">
        <f t="shared" si="1"/>
        <v>7477652.4226666987</v>
      </c>
      <c r="M44" s="29">
        <f t="shared" si="1"/>
        <v>7477652.4226667136</v>
      </c>
      <c r="N44" s="29">
        <f>N41-M41</f>
        <v>7477652.4226666987</v>
      </c>
      <c r="O44" s="29">
        <f t="shared" si="1"/>
        <v>7477652.4226667136</v>
      </c>
      <c r="P44" s="29">
        <f t="shared" si="1"/>
        <v>7477652.4226666689</v>
      </c>
      <c r="Q44" s="29">
        <f t="shared" si="1"/>
        <v>7477652.4226670265</v>
      </c>
      <c r="R44" s="29">
        <f t="shared" si="1"/>
        <v>7477652.4226659834</v>
      </c>
    </row>
    <row r="45" spans="1:22" x14ac:dyDescent="0.25">
      <c r="J45" s="29">
        <f>J44/310</f>
        <v>40309.934486021921</v>
      </c>
    </row>
    <row r="46" spans="1:22" x14ac:dyDescent="0.25">
      <c r="A46" s="30" t="s">
        <v>54</v>
      </c>
      <c r="B46" s="30">
        <v>24120</v>
      </c>
      <c r="E46">
        <v>29138000</v>
      </c>
      <c r="F46" s="29"/>
    </row>
    <row r="47" spans="1:22" x14ac:dyDescent="0.25">
      <c r="A47" s="31" t="s">
        <v>55</v>
      </c>
      <c r="B47" s="31">
        <v>200</v>
      </c>
      <c r="C47" s="32"/>
      <c r="D47" s="32"/>
      <c r="E47" s="32"/>
      <c r="F47" s="33">
        <v>2651000</v>
      </c>
      <c r="G47" s="33">
        <v>5168000</v>
      </c>
      <c r="H47" s="33">
        <v>6603000</v>
      </c>
      <c r="I47" s="33">
        <v>7952000</v>
      </c>
      <c r="J47" s="33">
        <f>J45*B47</f>
        <v>8061986.8972043842</v>
      </c>
      <c r="K47" s="33">
        <f>$B$46*$B$47</f>
        <v>4824000</v>
      </c>
      <c r="L47" s="33">
        <f t="shared" ref="L47:R47" si="2">$B$46*$B$47</f>
        <v>4824000</v>
      </c>
      <c r="M47" s="33">
        <f t="shared" si="2"/>
        <v>4824000</v>
      </c>
      <c r="N47" s="33">
        <f t="shared" si="2"/>
        <v>4824000</v>
      </c>
      <c r="O47" s="33">
        <f t="shared" si="2"/>
        <v>4824000</v>
      </c>
      <c r="P47" s="33">
        <f t="shared" si="2"/>
        <v>4824000</v>
      </c>
      <c r="Q47" s="33">
        <f t="shared" si="2"/>
        <v>4824000</v>
      </c>
      <c r="R47" s="33">
        <f t="shared" si="2"/>
        <v>4824000</v>
      </c>
    </row>
    <row r="48" spans="1:22" x14ac:dyDescent="0.25"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x14ac:dyDescent="0.25">
      <c r="A49" s="31" t="s">
        <v>56</v>
      </c>
      <c r="B49" s="31">
        <v>258</v>
      </c>
      <c r="C49" s="32"/>
      <c r="D49" s="32"/>
      <c r="E49" s="32"/>
      <c r="F49" s="33">
        <v>3133000</v>
      </c>
      <c r="G49" s="33">
        <v>6059000</v>
      </c>
      <c r="H49" s="33">
        <v>8012000</v>
      </c>
      <c r="I49" s="33">
        <v>9168000</v>
      </c>
      <c r="J49" s="33">
        <f>J45*B49</f>
        <v>10399963.097393656</v>
      </c>
      <c r="K49" s="33">
        <f>$B$46*$B$49</f>
        <v>6222960</v>
      </c>
      <c r="L49" s="33">
        <f t="shared" ref="L49:R49" si="3">$B$46*$B$49</f>
        <v>6222960</v>
      </c>
      <c r="M49" s="33">
        <f t="shared" si="3"/>
        <v>6222960</v>
      </c>
      <c r="N49" s="33">
        <f t="shared" si="3"/>
        <v>6222960</v>
      </c>
      <c r="O49" s="33">
        <f t="shared" si="3"/>
        <v>6222960</v>
      </c>
      <c r="P49" s="33">
        <f t="shared" si="3"/>
        <v>6222960</v>
      </c>
      <c r="Q49" s="33">
        <f t="shared" si="3"/>
        <v>6222960</v>
      </c>
      <c r="R49" s="33">
        <f t="shared" si="3"/>
        <v>6222960</v>
      </c>
    </row>
    <row r="52" spans="1:18" x14ac:dyDescent="0.25">
      <c r="F52" s="29">
        <f>F44+F47+F49</f>
        <v>13261652.422666699</v>
      </c>
      <c r="G52" s="29">
        <f t="shared" ref="G52:R52" si="4">G44+G47+G49</f>
        <v>19153472</v>
      </c>
      <c r="H52" s="29">
        <f t="shared" si="4"/>
        <v>21643832.845333397</v>
      </c>
      <c r="I52" s="29">
        <f t="shared" si="4"/>
        <v>19579225.154666603</v>
      </c>
      <c r="J52" s="29">
        <f t="shared" si="4"/>
        <v>30958029.685264833</v>
      </c>
      <c r="K52" s="29">
        <f t="shared" si="4"/>
        <v>18524612.422666699</v>
      </c>
      <c r="L52" s="29">
        <f t="shared" si="4"/>
        <v>18524612.422666699</v>
      </c>
      <c r="M52" s="29">
        <f t="shared" si="4"/>
        <v>18524612.422666714</v>
      </c>
      <c r="N52" s="29">
        <f t="shared" si="4"/>
        <v>18524612.422666699</v>
      </c>
      <c r="O52" s="29">
        <f t="shared" si="4"/>
        <v>18524612.422666714</v>
      </c>
      <c r="P52" s="29">
        <f t="shared" si="4"/>
        <v>18524612.422666669</v>
      </c>
      <c r="Q52" s="29">
        <f t="shared" si="4"/>
        <v>18524612.422667027</v>
      </c>
      <c r="R52" s="29">
        <f t="shared" si="4"/>
        <v>18524612.422665983</v>
      </c>
    </row>
    <row r="53" spans="1:18" x14ac:dyDescent="0.25">
      <c r="A53" s="17" t="s">
        <v>57</v>
      </c>
      <c r="B53" s="17"/>
      <c r="C53" s="26">
        <v>45779000</v>
      </c>
      <c r="D53" s="26">
        <v>46694580</v>
      </c>
      <c r="E53" s="17"/>
      <c r="F53" s="20">
        <f>F52/1000</f>
        <v>13261.652422666699</v>
      </c>
      <c r="G53" s="20">
        <f t="shared" ref="G53:R53" si="5">G52/1000</f>
        <v>19153.472000000002</v>
      </c>
      <c r="H53" s="20">
        <f t="shared" si="5"/>
        <v>21643.832845333396</v>
      </c>
      <c r="I53" s="20">
        <f t="shared" si="5"/>
        <v>19579.225154666601</v>
      </c>
      <c r="J53" s="20">
        <f t="shared" si="5"/>
        <v>30958.029685264832</v>
      </c>
      <c r="K53" s="20">
        <f t="shared" si="5"/>
        <v>18524.612422666698</v>
      </c>
      <c r="L53" s="20">
        <f t="shared" si="5"/>
        <v>18524.612422666698</v>
      </c>
      <c r="M53" s="20">
        <f t="shared" si="5"/>
        <v>18524.612422666713</v>
      </c>
      <c r="N53" s="20">
        <f t="shared" si="5"/>
        <v>18524.612422666698</v>
      </c>
      <c r="O53" s="20">
        <f t="shared" si="5"/>
        <v>18524.612422666713</v>
      </c>
      <c r="P53" s="20">
        <f t="shared" si="5"/>
        <v>18524.612422666669</v>
      </c>
      <c r="Q53" s="20">
        <f t="shared" si="5"/>
        <v>18524.612422667025</v>
      </c>
      <c r="R53" s="20">
        <f t="shared" si="5"/>
        <v>18524.612422665985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873c22b5-d9c6-4504-9387-9f35bed6d1db" ContentTypeId="0x010100F64EA7E100B04C5D9E78BEF38CE22BA9002A1BED58D4E64C618B07802BEB0BAD1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andnes kommune dokument" ma:contentTypeID="0x010100F64EA7E100B04C5D9E78BEF38CE22BA9002A1BED58D4E64C618B07802BEB0BAD1000E8D0EA02B52B8A46A5CC77B8619D8877" ma:contentTypeVersion="0" ma:contentTypeDescription="Opprett nytt dokument" ma:contentTypeScope="" ma:versionID="74a1c92af14e858bea364f7a3f882d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2500873ed525c1cf306a41cba81e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7772AF-25F7-416B-92E7-ABCD159D1F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0B19FE-9707-4926-90B1-F04D39945C0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3A8DF66-D496-404F-ABFB-4BDF2F527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8B9DC6A-2065-49EA-ACAC-B8A030D3239B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2</vt:i4>
      </vt:variant>
    </vt:vector>
  </HeadingPairs>
  <TitlesOfParts>
    <vt:vector size="8" baseType="lpstr">
      <vt:lpstr>Forutsetninger drift</vt:lpstr>
      <vt:lpstr>Forutsetninger investering</vt:lpstr>
      <vt:lpstr>Øk oversikt 2017-2030</vt:lpstr>
      <vt:lpstr>Øk oversikt 2017-2021</vt:lpstr>
      <vt:lpstr>Gjeldende tiltaksliste</vt:lpstr>
      <vt:lpstr>Internhusleie</vt:lpstr>
      <vt:lpstr>'Gjeldende tiltaksliste'!Print_Area</vt:lpstr>
      <vt:lpstr>'Gjeldende tiltaksliste'!Utskriftsområde</vt:lpstr>
    </vt:vector>
  </TitlesOfParts>
  <Company>Sandnes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Rustøen, Linn Christin</dc:creator>
  <cp:lastModifiedBy>Rustøen, Linn Christin</cp:lastModifiedBy>
  <cp:lastPrinted>2017-10-06T14:50:31Z</cp:lastPrinted>
  <dcterms:created xsi:type="dcterms:W3CDTF">2017-10-04T07:13:21Z</dcterms:created>
  <dcterms:modified xsi:type="dcterms:W3CDTF">2017-10-24T06:34:53Z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0x010100F64EA7E100B04C5D9E78BEF38CE22BA9002A1BED58D4E64C618B07802BEB0BAD1000E8D0EA02B52B8A46A5CC77B8619D8877</vt:lpwstr>
  </property>
</Properties>
</file>