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srapport2015/Shared Documents/Årsoppgjør 2018/3. Økonomisk resultat/"/>
    </mc:Choice>
  </mc:AlternateContent>
  <xr:revisionPtr revIDLastSave="3" documentId="13_ncr:1_{1FF50CAB-683A-4BE7-8C1B-7FAC633C1ADE}" xr6:coauthVersionLast="41" xr6:coauthVersionMax="41" xr10:uidLastSave="{9BD39F11-668E-4F7B-8EAC-2DF967CCACF5}"/>
  <bookViews>
    <workbookView xWindow="-120" yWindow="-120" windowWidth="51840" windowHeight="21240" tabRatio="671" xr2:uid="{00000000-000D-0000-FFFF-FFFF00000000}"/>
  </bookViews>
  <sheets>
    <sheet name="Konsern" sheetId="2" r:id="rId1"/>
    <sheet name="Sandnes havn KF" sheetId="8" r:id="rId2"/>
    <sheet name="Sandnes bykasse" sheetId="1" r:id="rId3"/>
    <sheet name="Sandnes eiendomsselskap KF" sheetId="3" r:id="rId4"/>
    <sheet name="Sandnes parkering KF" sheetId="4" r:id="rId5"/>
    <sheet name="Sandnes kunst- og kulturhus KF" sheetId="5" r:id="rId6"/>
    <sheet name="Sandnes tomteselskap KF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3" i="2" l="1"/>
  <c r="L158" i="2"/>
  <c r="X15" i="2"/>
  <c r="D126" i="2" l="1"/>
  <c r="X129" i="2"/>
  <c r="Q129" i="2"/>
  <c r="C129" i="2"/>
  <c r="L153" i="2"/>
  <c r="D119" i="2"/>
  <c r="D21" i="2"/>
  <c r="F8" i="2"/>
  <c r="D8" i="2"/>
  <c r="D31" i="2"/>
  <c r="L57" i="2" l="1"/>
  <c r="N57" i="2"/>
  <c r="L43" i="2"/>
  <c r="D30" i="2"/>
  <c r="L35" i="2"/>
  <c r="L20" i="2"/>
  <c r="K20" i="2"/>
  <c r="K77" i="2"/>
  <c r="K30" i="2"/>
  <c r="N133" i="2"/>
  <c r="N126" i="2"/>
  <c r="M77" i="2"/>
  <c r="M70" i="2"/>
  <c r="N20" i="2"/>
  <c r="I77" i="2" l="1"/>
  <c r="I20" i="2"/>
  <c r="D77" i="6"/>
  <c r="E77" i="6"/>
  <c r="D32" i="6"/>
  <c r="H32" i="6"/>
  <c r="H20" i="6"/>
  <c r="H18" i="6"/>
  <c r="F20" i="6"/>
  <c r="D31" i="8" l="1"/>
  <c r="E31" i="8"/>
  <c r="C31" i="8"/>
  <c r="W8" i="2" l="1"/>
  <c r="W6" i="2"/>
  <c r="E126" i="2" l="1"/>
  <c r="R126" i="2" s="1"/>
  <c r="E125" i="2"/>
  <c r="L133" i="2"/>
  <c r="I18" i="6"/>
  <c r="J18" i="6" s="1"/>
  <c r="K18" i="6" s="1"/>
  <c r="C15" i="8"/>
  <c r="G139" i="2"/>
  <c r="S139" i="2" s="1"/>
  <c r="G157" i="2"/>
  <c r="G142" i="2"/>
  <c r="S142" i="2" s="1"/>
  <c r="G126" i="2"/>
  <c r="S126" i="2" s="1"/>
  <c r="D25" i="2"/>
  <c r="T20" i="2"/>
  <c r="T77" i="2"/>
  <c r="W126" i="2"/>
  <c r="W131" i="2" s="1"/>
  <c r="X131" i="2" s="1"/>
  <c r="L154" i="2"/>
  <c r="K150" i="2"/>
  <c r="U150" i="2" s="1"/>
  <c r="W153" i="2"/>
  <c r="K157" i="2"/>
  <c r="U157" i="2" s="1"/>
  <c r="W30" i="2"/>
  <c r="D15" i="2"/>
  <c r="K51" i="2"/>
  <c r="U51" i="2" s="1"/>
  <c r="U55" i="2" s="1"/>
  <c r="K35" i="2"/>
  <c r="U35" i="2" s="1"/>
  <c r="J17" i="6"/>
  <c r="K17" i="6" s="1"/>
  <c r="L19" i="6" s="1"/>
  <c r="E85" i="6"/>
  <c r="E69" i="6"/>
  <c r="E59" i="6"/>
  <c r="E52" i="6"/>
  <c r="D52" i="6"/>
  <c r="H37" i="6"/>
  <c r="H22" i="6"/>
  <c r="H13" i="6"/>
  <c r="E22" i="6"/>
  <c r="D37" i="6"/>
  <c r="K23" i="2"/>
  <c r="U23" i="2" s="1"/>
  <c r="D13" i="6"/>
  <c r="D159" i="2"/>
  <c r="D161" i="2" s="1"/>
  <c r="F105" i="2"/>
  <c r="W35" i="2"/>
  <c r="F38" i="2"/>
  <c r="D11" i="2"/>
  <c r="F22" i="2"/>
  <c r="W22" i="2"/>
  <c r="E158" i="2"/>
  <c r="R158" i="2" s="1"/>
  <c r="N119" i="2"/>
  <c r="W20" i="2"/>
  <c r="W11" i="2"/>
  <c r="V144" i="2"/>
  <c r="U144" i="2"/>
  <c r="V143" i="2"/>
  <c r="U143" i="2"/>
  <c r="V128" i="2"/>
  <c r="U128" i="2"/>
  <c r="T128" i="2"/>
  <c r="S128" i="2"/>
  <c r="R128" i="2"/>
  <c r="W144" i="2"/>
  <c r="W143" i="2"/>
  <c r="W128" i="2"/>
  <c r="W127" i="2"/>
  <c r="W119" i="2"/>
  <c r="W116" i="2"/>
  <c r="U119" i="2"/>
  <c r="X104" i="2"/>
  <c r="X94" i="2"/>
  <c r="X92" i="2"/>
  <c r="X84" i="2"/>
  <c r="X83" i="2"/>
  <c r="X74" i="2"/>
  <c r="X73" i="2"/>
  <c r="X56" i="2"/>
  <c r="X50" i="2"/>
  <c r="X44" i="2"/>
  <c r="X41" i="2"/>
  <c r="X39" i="2"/>
  <c r="X33" i="2"/>
  <c r="X29" i="2"/>
  <c r="X28" i="2"/>
  <c r="X26" i="2"/>
  <c r="W54" i="2"/>
  <c r="W53" i="2"/>
  <c r="W52" i="2"/>
  <c r="W51" i="2"/>
  <c r="W48" i="2"/>
  <c r="W47" i="2"/>
  <c r="W46" i="2"/>
  <c r="W49" i="2" s="1"/>
  <c r="W42" i="2"/>
  <c r="W37" i="2"/>
  <c r="W36" i="2"/>
  <c r="W34" i="2"/>
  <c r="W24" i="2"/>
  <c r="W23" i="2"/>
  <c r="W19" i="2"/>
  <c r="W18" i="2"/>
  <c r="W17" i="2"/>
  <c r="W16" i="2"/>
  <c r="W14" i="2"/>
  <c r="W13" i="2"/>
  <c r="W12" i="2"/>
  <c r="W10" i="2"/>
  <c r="W7" i="2"/>
  <c r="R34" i="2"/>
  <c r="C128" i="2"/>
  <c r="Q128" i="2"/>
  <c r="M102" i="2"/>
  <c r="V102" i="2" s="1"/>
  <c r="M98" i="2"/>
  <c r="V98" i="2" s="1"/>
  <c r="M89" i="2"/>
  <c r="V89" i="2" s="1"/>
  <c r="M51" i="2"/>
  <c r="V51" i="2" s="1"/>
  <c r="M53" i="2"/>
  <c r="M126" i="2"/>
  <c r="V126" i="2" s="1"/>
  <c r="C76" i="8"/>
  <c r="M130" i="2"/>
  <c r="V130" i="2" s="1"/>
  <c r="D98" i="8"/>
  <c r="C98" i="8"/>
  <c r="D88" i="8"/>
  <c r="C88" i="8"/>
  <c r="D84" i="8"/>
  <c r="C84" i="8"/>
  <c r="D76" i="8"/>
  <c r="D77" i="8" s="1"/>
  <c r="D68" i="8"/>
  <c r="C68" i="8"/>
  <c r="C48" i="8"/>
  <c r="E55" i="8"/>
  <c r="D55" i="8"/>
  <c r="C55" i="8"/>
  <c r="E48" i="8"/>
  <c r="D48" i="8"/>
  <c r="E22" i="8"/>
  <c r="D22" i="8"/>
  <c r="C22" i="8"/>
  <c r="E15" i="8"/>
  <c r="D15" i="8"/>
  <c r="E7" i="8"/>
  <c r="D7" i="8"/>
  <c r="D17" i="8" s="1"/>
  <c r="C7" i="8"/>
  <c r="M7" i="2" s="1"/>
  <c r="X123" i="2"/>
  <c r="X124" i="2"/>
  <c r="X132" i="2"/>
  <c r="X134" i="2"/>
  <c r="X135" i="2"/>
  <c r="X136" i="2"/>
  <c r="X137" i="2"/>
  <c r="X148" i="2"/>
  <c r="X149" i="2"/>
  <c r="X155" i="2"/>
  <c r="X156" i="2"/>
  <c r="X160" i="2"/>
  <c r="X162" i="2"/>
  <c r="X163" i="2"/>
  <c r="M157" i="2"/>
  <c r="V157" i="2" s="1"/>
  <c r="M158" i="2"/>
  <c r="H161" i="2"/>
  <c r="J161" i="2"/>
  <c r="M150" i="2"/>
  <c r="V150" i="2" s="1"/>
  <c r="M145" i="2"/>
  <c r="V145" i="2" s="1"/>
  <c r="M142" i="2"/>
  <c r="M138" i="2"/>
  <c r="V138" i="2" s="1"/>
  <c r="M125" i="2"/>
  <c r="V125" i="2"/>
  <c r="M127" i="2"/>
  <c r="V127" i="2" s="1"/>
  <c r="M121" i="2"/>
  <c r="V121" i="2" s="1"/>
  <c r="M120" i="2"/>
  <c r="V120" i="2" s="1"/>
  <c r="M119" i="2"/>
  <c r="V119" i="2" s="1"/>
  <c r="M117" i="2"/>
  <c r="V117" i="2" s="1"/>
  <c r="M116" i="2"/>
  <c r="M82" i="2"/>
  <c r="M65" i="2"/>
  <c r="M72" i="2" s="1"/>
  <c r="M46" i="2"/>
  <c r="V46" i="2" s="1"/>
  <c r="V49" i="2" s="1"/>
  <c r="M42" i="2"/>
  <c r="V42" i="2" s="1"/>
  <c r="M35" i="2"/>
  <c r="V35" i="2" s="1"/>
  <c r="M30" i="2"/>
  <c r="V30" i="2" s="1"/>
  <c r="V32" i="2" s="1"/>
  <c r="M23" i="2"/>
  <c r="V23" i="2" s="1"/>
  <c r="M20" i="2"/>
  <c r="V20" i="2" s="1"/>
  <c r="M18" i="2"/>
  <c r="V18" i="2" s="1"/>
  <c r="M19" i="2"/>
  <c r="V19" i="2" s="1"/>
  <c r="K152" i="2"/>
  <c r="U152" i="2" s="1"/>
  <c r="K145" i="2"/>
  <c r="U145" i="2" s="1"/>
  <c r="K130" i="2"/>
  <c r="U130" i="2" s="1"/>
  <c r="K125" i="2"/>
  <c r="U125" i="2" s="1"/>
  <c r="K121" i="2"/>
  <c r="U121" i="2" s="1"/>
  <c r="K120" i="2"/>
  <c r="U120" i="2"/>
  <c r="K118" i="2"/>
  <c r="U118" i="2" s="1"/>
  <c r="K117" i="2"/>
  <c r="U117" i="2" s="1"/>
  <c r="K65" i="2"/>
  <c r="U65" i="2" s="1"/>
  <c r="K76" i="2"/>
  <c r="U76" i="2" s="1"/>
  <c r="K75" i="2"/>
  <c r="U75" i="2" s="1"/>
  <c r="K32" i="2"/>
  <c r="E37" i="6"/>
  <c r="G32" i="6"/>
  <c r="E32" i="6"/>
  <c r="F31" i="6"/>
  <c r="F36" i="6" s="1"/>
  <c r="G21" i="6"/>
  <c r="F17" i="6"/>
  <c r="F21" i="6" s="1"/>
  <c r="F23" i="6" s="1"/>
  <c r="F39" i="6" s="1"/>
  <c r="G13" i="6"/>
  <c r="F13" i="6"/>
  <c r="E13" i="6"/>
  <c r="E24" i="6"/>
  <c r="E39" i="6" s="1"/>
  <c r="I165" i="2"/>
  <c r="T165" i="2"/>
  <c r="I164" i="2"/>
  <c r="T164" i="2" s="1"/>
  <c r="I158" i="2"/>
  <c r="T158" i="2"/>
  <c r="I157" i="2"/>
  <c r="T157" i="2" s="1"/>
  <c r="I152" i="2"/>
  <c r="T152" i="2" s="1"/>
  <c r="I153" i="2"/>
  <c r="T153" i="2" s="1"/>
  <c r="I151" i="2"/>
  <c r="T151" i="2" s="1"/>
  <c r="I150" i="2"/>
  <c r="T150" i="2" s="1"/>
  <c r="I146" i="2"/>
  <c r="T146" i="2" s="1"/>
  <c r="I145" i="2"/>
  <c r="T145" i="2" s="1"/>
  <c r="I139" i="2"/>
  <c r="T139" i="2" s="1"/>
  <c r="I140" i="2"/>
  <c r="T140" i="2"/>
  <c r="I141" i="2"/>
  <c r="T141" i="2" s="1"/>
  <c r="I142" i="2"/>
  <c r="T142" i="2"/>
  <c r="I143" i="2"/>
  <c r="T143" i="2" s="1"/>
  <c r="I144" i="2"/>
  <c r="T144" i="2"/>
  <c r="I138" i="2"/>
  <c r="I147" i="2" s="1"/>
  <c r="I130" i="2"/>
  <c r="T130" i="2"/>
  <c r="I126" i="2"/>
  <c r="T126" i="2" s="1"/>
  <c r="I127" i="2"/>
  <c r="T127" i="2"/>
  <c r="I125" i="2"/>
  <c r="T125" i="2" s="1"/>
  <c r="I117" i="2"/>
  <c r="T117" i="2"/>
  <c r="I118" i="2"/>
  <c r="T118" i="2" s="1"/>
  <c r="I119" i="2"/>
  <c r="T119" i="2"/>
  <c r="I120" i="2"/>
  <c r="T120" i="2" s="1"/>
  <c r="I121" i="2"/>
  <c r="T121" i="2" s="1"/>
  <c r="I116" i="2"/>
  <c r="T116" i="2" s="1"/>
  <c r="I96" i="2"/>
  <c r="T96" i="2" s="1"/>
  <c r="I97" i="2"/>
  <c r="T97" i="2" s="1"/>
  <c r="I98" i="2"/>
  <c r="T98" i="2"/>
  <c r="I99" i="2"/>
  <c r="T99" i="2" s="1"/>
  <c r="I100" i="2"/>
  <c r="T100" i="2" s="1"/>
  <c r="I101" i="2"/>
  <c r="T101" i="2" s="1"/>
  <c r="I102" i="2"/>
  <c r="T102" i="2"/>
  <c r="I103" i="2"/>
  <c r="T103" i="2" s="1"/>
  <c r="I95" i="2"/>
  <c r="T95" i="2"/>
  <c r="I86" i="2"/>
  <c r="T86" i="2" s="1"/>
  <c r="I87" i="2"/>
  <c r="T87" i="2"/>
  <c r="I88" i="2"/>
  <c r="T88" i="2" s="1"/>
  <c r="T89" i="2"/>
  <c r="I90" i="2"/>
  <c r="T90" i="2" s="1"/>
  <c r="I85" i="2"/>
  <c r="T85" i="2" s="1"/>
  <c r="I76" i="2"/>
  <c r="T76" i="2" s="1"/>
  <c r="I78" i="2"/>
  <c r="I79" i="2"/>
  <c r="T79" i="2"/>
  <c r="I80" i="2"/>
  <c r="T80" i="2" s="1"/>
  <c r="I81" i="2"/>
  <c r="T81" i="2" s="1"/>
  <c r="I75" i="2"/>
  <c r="T75" i="2" s="1"/>
  <c r="I66" i="2"/>
  <c r="T66" i="2" s="1"/>
  <c r="I67" i="2"/>
  <c r="T67" i="2" s="1"/>
  <c r="I68" i="2"/>
  <c r="T68" i="2"/>
  <c r="I69" i="2"/>
  <c r="T69" i="2" s="1"/>
  <c r="I70" i="2"/>
  <c r="T70" i="2"/>
  <c r="I71" i="2"/>
  <c r="T71" i="2" s="1"/>
  <c r="I65" i="2"/>
  <c r="T65" i="2" s="1"/>
  <c r="I52" i="2"/>
  <c r="I53" i="2"/>
  <c r="T53" i="2"/>
  <c r="I54" i="2"/>
  <c r="T54" i="2" s="1"/>
  <c r="I51" i="2"/>
  <c r="T51" i="2"/>
  <c r="I47" i="2"/>
  <c r="I48" i="2"/>
  <c r="T48" i="2" s="1"/>
  <c r="I46" i="2"/>
  <c r="T46" i="2" s="1"/>
  <c r="I42" i="2"/>
  <c r="T42" i="2" s="1"/>
  <c r="I37" i="2"/>
  <c r="T37" i="2" s="1"/>
  <c r="I36" i="2"/>
  <c r="T36" i="2"/>
  <c r="I35" i="2"/>
  <c r="I31" i="2"/>
  <c r="I30" i="2"/>
  <c r="I32" i="2" s="1"/>
  <c r="I19" i="2"/>
  <c r="T19" i="2" s="1"/>
  <c r="I21" i="2"/>
  <c r="T21" i="2" s="1"/>
  <c r="I22" i="2"/>
  <c r="T22" i="2"/>
  <c r="I23" i="2"/>
  <c r="T23" i="2" s="1"/>
  <c r="I24" i="2"/>
  <c r="T24" i="2"/>
  <c r="I18" i="2"/>
  <c r="I25" i="2" s="1"/>
  <c r="I7" i="2"/>
  <c r="T7" i="2"/>
  <c r="I8" i="2"/>
  <c r="T8" i="2" s="1"/>
  <c r="I9" i="2"/>
  <c r="I10" i="2"/>
  <c r="T10" i="2"/>
  <c r="I11" i="2"/>
  <c r="T11" i="2" s="1"/>
  <c r="I12" i="2"/>
  <c r="T12" i="2"/>
  <c r="I13" i="2"/>
  <c r="T13" i="2" s="1"/>
  <c r="I14" i="2"/>
  <c r="T14" i="2"/>
  <c r="I6" i="2"/>
  <c r="T6" i="2" s="1"/>
  <c r="G165" i="2"/>
  <c r="S165" i="2" s="1"/>
  <c r="G164" i="2"/>
  <c r="S164" i="2" s="1"/>
  <c r="G158" i="2"/>
  <c r="G152" i="2"/>
  <c r="G153" i="2"/>
  <c r="S153" i="2" s="1"/>
  <c r="G151" i="2"/>
  <c r="S151" i="2"/>
  <c r="G150" i="2"/>
  <c r="S150" i="2" s="1"/>
  <c r="G146" i="2"/>
  <c r="S146" i="2" s="1"/>
  <c r="G145" i="2"/>
  <c r="S145" i="2" s="1"/>
  <c r="G140" i="2"/>
  <c r="S140" i="2"/>
  <c r="G141" i="2"/>
  <c r="S141" i="2"/>
  <c r="G143" i="2"/>
  <c r="S143" i="2"/>
  <c r="G144" i="2"/>
  <c r="S144" i="2"/>
  <c r="G130" i="2"/>
  <c r="S130" i="2"/>
  <c r="G127" i="2"/>
  <c r="S127" i="2"/>
  <c r="G117" i="2"/>
  <c r="S117" i="2" s="1"/>
  <c r="S122" i="2" s="1"/>
  <c r="G118" i="2"/>
  <c r="S118" i="2" s="1"/>
  <c r="G119" i="2"/>
  <c r="S119" i="2"/>
  <c r="G120" i="2"/>
  <c r="S120" i="2" s="1"/>
  <c r="G121" i="2"/>
  <c r="G116" i="2"/>
  <c r="G96" i="2"/>
  <c r="S96" i="2" s="1"/>
  <c r="G97" i="2"/>
  <c r="S97" i="2"/>
  <c r="G98" i="2"/>
  <c r="S98" i="2" s="1"/>
  <c r="G99" i="2"/>
  <c r="S99" i="2" s="1"/>
  <c r="G100" i="2"/>
  <c r="G101" i="2"/>
  <c r="S101" i="2" s="1"/>
  <c r="G102" i="2"/>
  <c r="S102" i="2" s="1"/>
  <c r="G103" i="2"/>
  <c r="S103" i="2"/>
  <c r="G95" i="2"/>
  <c r="S95" i="2" s="1"/>
  <c r="G86" i="2"/>
  <c r="S86" i="2" s="1"/>
  <c r="G87" i="2"/>
  <c r="S87" i="2" s="1"/>
  <c r="G88" i="2"/>
  <c r="S88" i="2" s="1"/>
  <c r="G89" i="2"/>
  <c r="S89" i="2" s="1"/>
  <c r="G90" i="2"/>
  <c r="S90" i="2"/>
  <c r="G85" i="2"/>
  <c r="S85" i="2" s="1"/>
  <c r="G76" i="2"/>
  <c r="S76" i="2"/>
  <c r="G77" i="2"/>
  <c r="S77" i="2" s="1"/>
  <c r="G78" i="2"/>
  <c r="S78" i="2" s="1"/>
  <c r="G79" i="2"/>
  <c r="S79" i="2" s="1"/>
  <c r="G80" i="2"/>
  <c r="S80" i="2" s="1"/>
  <c r="G81" i="2"/>
  <c r="G75" i="2"/>
  <c r="S75" i="2"/>
  <c r="G66" i="2"/>
  <c r="G67" i="2"/>
  <c r="S67" i="2" s="1"/>
  <c r="G68" i="2"/>
  <c r="S68" i="2" s="1"/>
  <c r="G69" i="2"/>
  <c r="S69" i="2"/>
  <c r="G70" i="2"/>
  <c r="S70" i="2" s="1"/>
  <c r="G71" i="2"/>
  <c r="S71" i="2"/>
  <c r="G65" i="2"/>
  <c r="S65" i="2" s="1"/>
  <c r="G52" i="2"/>
  <c r="S52" i="2"/>
  <c r="G53" i="2"/>
  <c r="S53" i="2" s="1"/>
  <c r="G54" i="2"/>
  <c r="S54" i="2" s="1"/>
  <c r="G51" i="2"/>
  <c r="S51" i="2" s="1"/>
  <c r="G47" i="2"/>
  <c r="S47" i="2"/>
  <c r="G48" i="2"/>
  <c r="S48" i="2" s="1"/>
  <c r="G46" i="2"/>
  <c r="S46" i="2" s="1"/>
  <c r="G42" i="2"/>
  <c r="S42" i="2" s="1"/>
  <c r="G37" i="2"/>
  <c r="S37" i="2" s="1"/>
  <c r="G36" i="2"/>
  <c r="G35" i="2"/>
  <c r="G38" i="2" s="1"/>
  <c r="S35" i="2"/>
  <c r="G31" i="2"/>
  <c r="G30" i="2"/>
  <c r="G19" i="2"/>
  <c r="S19" i="2"/>
  <c r="G20" i="2"/>
  <c r="G21" i="2"/>
  <c r="S21" i="2"/>
  <c r="G22" i="2"/>
  <c r="S22" i="2" s="1"/>
  <c r="G23" i="2"/>
  <c r="S23" i="2" s="1"/>
  <c r="G24" i="2"/>
  <c r="S24" i="2" s="1"/>
  <c r="G18" i="2"/>
  <c r="S18" i="2"/>
  <c r="G14" i="2"/>
  <c r="S14" i="2" s="1"/>
  <c r="G7" i="2"/>
  <c r="S7" i="2" s="1"/>
  <c r="G8" i="2"/>
  <c r="S8" i="2" s="1"/>
  <c r="G9" i="2"/>
  <c r="S9" i="2" s="1"/>
  <c r="G10" i="2"/>
  <c r="S10" i="2" s="1"/>
  <c r="G11" i="2"/>
  <c r="S11" i="2" s="1"/>
  <c r="G12" i="2"/>
  <c r="S12" i="2"/>
  <c r="G13" i="2"/>
  <c r="S13" i="2" s="1"/>
  <c r="G6" i="2"/>
  <c r="E165" i="2"/>
  <c r="R165" i="2"/>
  <c r="E164" i="2"/>
  <c r="R164" i="2" s="1"/>
  <c r="E157" i="2"/>
  <c r="R157" i="2"/>
  <c r="E153" i="2"/>
  <c r="R153" i="2" s="1"/>
  <c r="E151" i="2"/>
  <c r="E152" i="2"/>
  <c r="R152" i="2" s="1"/>
  <c r="E150" i="2"/>
  <c r="E146" i="2"/>
  <c r="R146" i="2" s="1"/>
  <c r="E145" i="2"/>
  <c r="R145" i="2" s="1"/>
  <c r="E139" i="2"/>
  <c r="R139" i="2" s="1"/>
  <c r="E140" i="2"/>
  <c r="R140" i="2"/>
  <c r="E141" i="2"/>
  <c r="R141" i="2" s="1"/>
  <c r="E142" i="2"/>
  <c r="R142" i="2" s="1"/>
  <c r="E143" i="2"/>
  <c r="R143" i="2" s="1"/>
  <c r="E144" i="2"/>
  <c r="R144" i="2" s="1"/>
  <c r="E138" i="2"/>
  <c r="R138" i="2" s="1"/>
  <c r="E130" i="2"/>
  <c r="R130" i="2" s="1"/>
  <c r="E127" i="2"/>
  <c r="R127" i="2"/>
  <c r="E117" i="2"/>
  <c r="R117" i="2" s="1"/>
  <c r="E118" i="2"/>
  <c r="R118" i="2" s="1"/>
  <c r="E119" i="2"/>
  <c r="R119" i="2" s="1"/>
  <c r="E120" i="2"/>
  <c r="R120" i="2" s="1"/>
  <c r="E121" i="2"/>
  <c r="R121" i="2" s="1"/>
  <c r="E116" i="2"/>
  <c r="R116" i="2" s="1"/>
  <c r="E96" i="2"/>
  <c r="R96" i="2"/>
  <c r="E97" i="2"/>
  <c r="R97" i="2" s="1"/>
  <c r="E98" i="2"/>
  <c r="R98" i="2"/>
  <c r="E99" i="2"/>
  <c r="R99" i="2" s="1"/>
  <c r="E100" i="2"/>
  <c r="R100" i="2" s="1"/>
  <c r="E101" i="2"/>
  <c r="R101" i="2" s="1"/>
  <c r="E102" i="2"/>
  <c r="E103" i="2"/>
  <c r="R103" i="2" s="1"/>
  <c r="E95" i="2"/>
  <c r="R95" i="2" s="1"/>
  <c r="E86" i="2"/>
  <c r="R86" i="2" s="1"/>
  <c r="E87" i="2"/>
  <c r="R87" i="2" s="1"/>
  <c r="E88" i="2"/>
  <c r="R88" i="2" s="1"/>
  <c r="E89" i="2"/>
  <c r="R89" i="2"/>
  <c r="E90" i="2"/>
  <c r="R90" i="2" s="1"/>
  <c r="E85" i="2"/>
  <c r="R85" i="2" s="1"/>
  <c r="E76" i="2"/>
  <c r="R76" i="2" s="1"/>
  <c r="E77" i="2"/>
  <c r="R77" i="2" s="1"/>
  <c r="E78" i="2"/>
  <c r="R78" i="2" s="1"/>
  <c r="E79" i="2"/>
  <c r="R79" i="2" s="1"/>
  <c r="E80" i="2"/>
  <c r="R80" i="2" s="1"/>
  <c r="E81" i="2"/>
  <c r="R81" i="2"/>
  <c r="E75" i="2"/>
  <c r="R75" i="2" s="1"/>
  <c r="E66" i="2"/>
  <c r="R66" i="2"/>
  <c r="E67" i="2"/>
  <c r="E68" i="2"/>
  <c r="R68" i="2" s="1"/>
  <c r="E69" i="2"/>
  <c r="R69" i="2" s="1"/>
  <c r="E70" i="2"/>
  <c r="R70" i="2" s="1"/>
  <c r="E71" i="2"/>
  <c r="R71" i="2" s="1"/>
  <c r="E65" i="2"/>
  <c r="E52" i="2"/>
  <c r="R52" i="2" s="1"/>
  <c r="E53" i="2"/>
  <c r="R53" i="2" s="1"/>
  <c r="E54" i="2"/>
  <c r="R54" i="2" s="1"/>
  <c r="E51" i="2"/>
  <c r="R51" i="2" s="1"/>
  <c r="E47" i="2"/>
  <c r="R47" i="2" s="1"/>
  <c r="E48" i="2"/>
  <c r="E46" i="2"/>
  <c r="R46" i="2" s="1"/>
  <c r="E42" i="2"/>
  <c r="R42" i="2" s="1"/>
  <c r="E37" i="2"/>
  <c r="R37" i="2"/>
  <c r="E36" i="2"/>
  <c r="R36" i="2" s="1"/>
  <c r="E35" i="2"/>
  <c r="R35" i="2"/>
  <c r="E31" i="2"/>
  <c r="E32" i="2" s="1"/>
  <c r="E30" i="2"/>
  <c r="R30" i="2" s="1"/>
  <c r="R32" i="2" s="1"/>
  <c r="E19" i="2"/>
  <c r="R19" i="2" s="1"/>
  <c r="E20" i="2"/>
  <c r="E21" i="2"/>
  <c r="R21" i="2" s="1"/>
  <c r="E22" i="2"/>
  <c r="R22" i="2" s="1"/>
  <c r="E23" i="2"/>
  <c r="R23" i="2" s="1"/>
  <c r="E24" i="2"/>
  <c r="R24" i="2" s="1"/>
  <c r="E18" i="2"/>
  <c r="R18" i="2" s="1"/>
  <c r="E7" i="2"/>
  <c r="R7" i="2" s="1"/>
  <c r="E8" i="2"/>
  <c r="R8" i="2"/>
  <c r="E9" i="2"/>
  <c r="R9" i="2" s="1"/>
  <c r="E10" i="2"/>
  <c r="R10" i="2"/>
  <c r="E11" i="2"/>
  <c r="R11" i="2" s="1"/>
  <c r="E12" i="2"/>
  <c r="R12" i="2" s="1"/>
  <c r="E13" i="2"/>
  <c r="R13" i="2" s="1"/>
  <c r="E14" i="2"/>
  <c r="R14" i="2" s="1"/>
  <c r="E6" i="2"/>
  <c r="R6" i="2" s="1"/>
  <c r="C165" i="2"/>
  <c r="Q165" i="2" s="1"/>
  <c r="C164" i="2"/>
  <c r="Q164" i="2" s="1"/>
  <c r="F159" i="2"/>
  <c r="C158" i="2"/>
  <c r="Q158" i="2" s="1"/>
  <c r="C157" i="2"/>
  <c r="Q157" i="2" s="1"/>
  <c r="C152" i="2"/>
  <c r="Q152" i="2" s="1"/>
  <c r="C153" i="2"/>
  <c r="Q153" i="2" s="1"/>
  <c r="C151" i="2"/>
  <c r="C150" i="2"/>
  <c r="C146" i="2"/>
  <c r="Q146" i="2" s="1"/>
  <c r="C145" i="2"/>
  <c r="Q145" i="2"/>
  <c r="C143" i="2"/>
  <c r="Q143" i="2" s="1"/>
  <c r="C144" i="2"/>
  <c r="Q144" i="2"/>
  <c r="C139" i="2"/>
  <c r="Q139" i="2" s="1"/>
  <c r="C140" i="2"/>
  <c r="Q140" i="2"/>
  <c r="C141" i="2"/>
  <c r="Q141" i="2" s="1"/>
  <c r="C142" i="2"/>
  <c r="Q142" i="2" s="1"/>
  <c r="C138" i="2"/>
  <c r="Q138" i="2" s="1"/>
  <c r="C130" i="2"/>
  <c r="Q130" i="2" s="1"/>
  <c r="C126" i="2"/>
  <c r="Q126" i="2" s="1"/>
  <c r="C127" i="2"/>
  <c r="Q127" i="2" s="1"/>
  <c r="C125" i="2"/>
  <c r="C117" i="2"/>
  <c r="Q117" i="2"/>
  <c r="C118" i="2"/>
  <c r="Q118" i="2" s="1"/>
  <c r="C119" i="2"/>
  <c r="Q119" i="2"/>
  <c r="C120" i="2"/>
  <c r="Q120" i="2" s="1"/>
  <c r="C121" i="2"/>
  <c r="Q121" i="2" s="1"/>
  <c r="C116" i="2"/>
  <c r="C96" i="2"/>
  <c r="Q96" i="2"/>
  <c r="C97" i="2"/>
  <c r="Q97" i="2" s="1"/>
  <c r="C98" i="2"/>
  <c r="Q98" i="2"/>
  <c r="C99" i="2"/>
  <c r="Q99" i="2" s="1"/>
  <c r="C100" i="2"/>
  <c r="Q100" i="2" s="1"/>
  <c r="C101" i="2"/>
  <c r="Q101" i="2"/>
  <c r="C102" i="2"/>
  <c r="Q102" i="2" s="1"/>
  <c r="C103" i="2"/>
  <c r="Q103" i="2"/>
  <c r="C95" i="2"/>
  <c r="C86" i="2"/>
  <c r="Q86" i="2"/>
  <c r="C87" i="2"/>
  <c r="Q87" i="2" s="1"/>
  <c r="C88" i="2"/>
  <c r="Q88" i="2" s="1"/>
  <c r="C89" i="2"/>
  <c r="Q89" i="2"/>
  <c r="C90" i="2"/>
  <c r="Q90" i="2" s="1"/>
  <c r="C85" i="2"/>
  <c r="Q85" i="2" s="1"/>
  <c r="C76" i="2"/>
  <c r="Q76" i="2" s="1"/>
  <c r="C77" i="2"/>
  <c r="Q77" i="2" s="1"/>
  <c r="C78" i="2"/>
  <c r="Q78" i="2" s="1"/>
  <c r="C79" i="2"/>
  <c r="Q79" i="2" s="1"/>
  <c r="C80" i="2"/>
  <c r="Q80" i="2" s="1"/>
  <c r="C81" i="2"/>
  <c r="Q81" i="2" s="1"/>
  <c r="C75" i="2"/>
  <c r="Q75" i="2" s="1"/>
  <c r="C66" i="2"/>
  <c r="Q66" i="2" s="1"/>
  <c r="C67" i="2"/>
  <c r="Q67" i="2" s="1"/>
  <c r="C68" i="2"/>
  <c r="Q68" i="2" s="1"/>
  <c r="C69" i="2"/>
  <c r="Q69" i="2"/>
  <c r="C70" i="2"/>
  <c r="Q70" i="2" s="1"/>
  <c r="C71" i="2"/>
  <c r="Q71" i="2" s="1"/>
  <c r="C65" i="2"/>
  <c r="Q65" i="2" s="1"/>
  <c r="C52" i="2"/>
  <c r="Q52" i="2" s="1"/>
  <c r="C53" i="2"/>
  <c r="Q53" i="2" s="1"/>
  <c r="C54" i="2"/>
  <c r="Q54" i="2"/>
  <c r="C51" i="2"/>
  <c r="Q51" i="2" s="1"/>
  <c r="C47" i="2"/>
  <c r="Q47" i="2" s="1"/>
  <c r="C48" i="2"/>
  <c r="Q48" i="2" s="1"/>
  <c r="C46" i="2"/>
  <c r="Q46" i="2" s="1"/>
  <c r="C42" i="2"/>
  <c r="Q42" i="2" s="1"/>
  <c r="C37" i="2"/>
  <c r="Q37" i="2" s="1"/>
  <c r="C36" i="2"/>
  <c r="Q36" i="2" s="1"/>
  <c r="C35" i="2"/>
  <c r="Q35" i="2" s="1"/>
  <c r="Q38" i="2" s="1"/>
  <c r="C31" i="2"/>
  <c r="Q31" i="2" s="1"/>
  <c r="C30" i="2"/>
  <c r="Q30" i="2"/>
  <c r="C19" i="2"/>
  <c r="C25" i="2" s="1"/>
  <c r="C20" i="2"/>
  <c r="Q20" i="2" s="1"/>
  <c r="C21" i="2"/>
  <c r="Q21" i="2" s="1"/>
  <c r="C22" i="2"/>
  <c r="Q22" i="2" s="1"/>
  <c r="C23" i="2"/>
  <c r="Q23" i="2" s="1"/>
  <c r="C24" i="2"/>
  <c r="Q24" i="2" s="1"/>
  <c r="C18" i="2"/>
  <c r="Q18" i="2" s="1"/>
  <c r="C7" i="2"/>
  <c r="Q7" i="2" s="1"/>
  <c r="C8" i="2"/>
  <c r="Q8" i="2" s="1"/>
  <c r="C9" i="2"/>
  <c r="Q9" i="2" s="1"/>
  <c r="C10" i="2"/>
  <c r="Q10" i="2" s="1"/>
  <c r="C11" i="2"/>
  <c r="Q11" i="2" s="1"/>
  <c r="C12" i="2"/>
  <c r="C13" i="2"/>
  <c r="Q13" i="2" s="1"/>
  <c r="C14" i="2"/>
  <c r="Q14" i="2" s="1"/>
  <c r="C6" i="2"/>
  <c r="Q6" i="2"/>
  <c r="X6" i="2" s="1"/>
  <c r="Q16" i="2"/>
  <c r="R16" i="2"/>
  <c r="S16" i="2"/>
  <c r="T16" i="2"/>
  <c r="Q17" i="2"/>
  <c r="R17" i="2"/>
  <c r="S17" i="2"/>
  <c r="T17" i="2"/>
  <c r="Q34" i="2"/>
  <c r="S34" i="2"/>
  <c r="T34" i="2"/>
  <c r="Q45" i="2"/>
  <c r="R45" i="2"/>
  <c r="S45" i="2"/>
  <c r="T45" i="2"/>
  <c r="Q62" i="2"/>
  <c r="R62" i="2"/>
  <c r="S62" i="2"/>
  <c r="T62" i="2"/>
  <c r="Q111" i="2"/>
  <c r="R111" i="2"/>
  <c r="S111" i="2"/>
  <c r="T111" i="2"/>
  <c r="V165" i="2"/>
  <c r="U165" i="2"/>
  <c r="V164" i="2"/>
  <c r="U164" i="2"/>
  <c r="S158" i="2"/>
  <c r="V153" i="2"/>
  <c r="V151" i="2"/>
  <c r="U151" i="2"/>
  <c r="R151" i="2"/>
  <c r="N147" i="2"/>
  <c r="L147" i="2"/>
  <c r="F147" i="2"/>
  <c r="W146" i="2"/>
  <c r="V146" i="2"/>
  <c r="U146" i="2"/>
  <c r="W145" i="2"/>
  <c r="U142" i="2"/>
  <c r="V141" i="2"/>
  <c r="U141" i="2"/>
  <c r="V140" i="2"/>
  <c r="U140" i="2"/>
  <c r="V139" i="2"/>
  <c r="U139" i="2"/>
  <c r="U127" i="2"/>
  <c r="U126" i="2"/>
  <c r="F122" i="2"/>
  <c r="F133" i="2"/>
  <c r="W121" i="2"/>
  <c r="W120" i="2"/>
  <c r="W118" i="2"/>
  <c r="V118" i="2"/>
  <c r="W117" i="2"/>
  <c r="X111" i="2"/>
  <c r="W111" i="2"/>
  <c r="V111" i="2"/>
  <c r="U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N105" i="2"/>
  <c r="L105" i="2"/>
  <c r="K105" i="2"/>
  <c r="D105" i="2"/>
  <c r="W103" i="2"/>
  <c r="V103" i="2"/>
  <c r="U103" i="2"/>
  <c r="W102" i="2"/>
  <c r="U102" i="2"/>
  <c r="W101" i="2"/>
  <c r="V101" i="2"/>
  <c r="U101" i="2"/>
  <c r="W100" i="2"/>
  <c r="V100" i="2"/>
  <c r="U100" i="2"/>
  <c r="W99" i="2"/>
  <c r="V99" i="2"/>
  <c r="U99" i="2"/>
  <c r="W98" i="2"/>
  <c r="U98" i="2"/>
  <c r="W97" i="2"/>
  <c r="V97" i="2"/>
  <c r="U97" i="2"/>
  <c r="W96" i="2"/>
  <c r="V96" i="2"/>
  <c r="U96" i="2"/>
  <c r="W95" i="2"/>
  <c r="V95" i="2"/>
  <c r="U95" i="2"/>
  <c r="J93" i="2"/>
  <c r="J106" i="2" s="1"/>
  <c r="H93" i="2"/>
  <c r="H106" i="2"/>
  <c r="N91" i="2"/>
  <c r="L91" i="2"/>
  <c r="K91" i="2"/>
  <c r="F91" i="2"/>
  <c r="F93" i="2" s="1"/>
  <c r="D91" i="2"/>
  <c r="D93" i="2" s="1"/>
  <c r="D106" i="2" s="1"/>
  <c r="W90" i="2"/>
  <c r="V90" i="2"/>
  <c r="U90" i="2"/>
  <c r="W89" i="2"/>
  <c r="U89" i="2"/>
  <c r="W88" i="2"/>
  <c r="V88" i="2"/>
  <c r="U88" i="2"/>
  <c r="W87" i="2"/>
  <c r="V87" i="2"/>
  <c r="U87" i="2"/>
  <c r="W86" i="2"/>
  <c r="V86" i="2"/>
  <c r="U86" i="2"/>
  <c r="W85" i="2"/>
  <c r="V85" i="2"/>
  <c r="U85" i="2"/>
  <c r="N82" i="2"/>
  <c r="L82" i="2"/>
  <c r="L93" i="2"/>
  <c r="L106" i="2" s="1"/>
  <c r="F82" i="2"/>
  <c r="D82" i="2"/>
  <c r="W81" i="2"/>
  <c r="V81" i="2"/>
  <c r="U81" i="2"/>
  <c r="W80" i="2"/>
  <c r="V80" i="2"/>
  <c r="U80" i="2"/>
  <c r="W79" i="2"/>
  <c r="V79" i="2"/>
  <c r="U79" i="2"/>
  <c r="W78" i="2"/>
  <c r="V78" i="2"/>
  <c r="U78" i="2"/>
  <c r="W77" i="2"/>
  <c r="W76" i="2"/>
  <c r="V76" i="2"/>
  <c r="W75" i="2"/>
  <c r="W82" i="2" s="1"/>
  <c r="V75" i="2"/>
  <c r="N72" i="2"/>
  <c r="L72" i="2"/>
  <c r="F72" i="2"/>
  <c r="D72" i="2"/>
  <c r="W71" i="2"/>
  <c r="V71" i="2"/>
  <c r="U71" i="2"/>
  <c r="W70" i="2"/>
  <c r="V70" i="2"/>
  <c r="U70" i="2"/>
  <c r="W69" i="2"/>
  <c r="V69" i="2"/>
  <c r="U69" i="2"/>
  <c r="W68" i="2"/>
  <c r="V68" i="2"/>
  <c r="U68" i="2"/>
  <c r="W67" i="2"/>
  <c r="V67" i="2"/>
  <c r="U67" i="2"/>
  <c r="W66" i="2"/>
  <c r="V66" i="2"/>
  <c r="U66" i="2"/>
  <c r="W65" i="2"/>
  <c r="X62" i="2"/>
  <c r="W62" i="2"/>
  <c r="V62" i="2"/>
  <c r="U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N55" i="2"/>
  <c r="U54" i="2"/>
  <c r="V54" i="2"/>
  <c r="U53" i="2"/>
  <c r="V52" i="2"/>
  <c r="U52" i="2"/>
  <c r="F49" i="2"/>
  <c r="D49" i="2"/>
  <c r="U48" i="2"/>
  <c r="N49" i="2"/>
  <c r="V48" i="2"/>
  <c r="V47" i="2"/>
  <c r="U47" i="2"/>
  <c r="W45" i="2"/>
  <c r="X45" i="2"/>
  <c r="V45" i="2"/>
  <c r="U45" i="2"/>
  <c r="U42" i="2"/>
  <c r="N38" i="2"/>
  <c r="D38" i="2"/>
  <c r="V37" i="2"/>
  <c r="U37" i="2"/>
  <c r="V36" i="2"/>
  <c r="V34" i="2"/>
  <c r="U34" i="2"/>
  <c r="F32" i="2"/>
  <c r="F40" i="2" s="1"/>
  <c r="N32" i="2"/>
  <c r="J25" i="2"/>
  <c r="H25" i="2"/>
  <c r="F25" i="2"/>
  <c r="V24" i="2"/>
  <c r="N25" i="2"/>
  <c r="N27" i="2"/>
  <c r="U24" i="2"/>
  <c r="V22" i="2"/>
  <c r="U22" i="2"/>
  <c r="V21" i="2"/>
  <c r="U21" i="2"/>
  <c r="U19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V8" i="2"/>
  <c r="U8" i="2"/>
  <c r="V6" i="2"/>
  <c r="U6" i="2"/>
  <c r="V152" i="2"/>
  <c r="W164" i="2"/>
  <c r="W165" i="2"/>
  <c r="U46" i="2"/>
  <c r="U49" i="2" s="1"/>
  <c r="K49" i="2"/>
  <c r="Q12" i="2"/>
  <c r="W9" i="2"/>
  <c r="W15" i="2" s="1"/>
  <c r="U36" i="2"/>
  <c r="N154" i="2"/>
  <c r="D154" i="2"/>
  <c r="U9" i="2"/>
  <c r="N15" i="2"/>
  <c r="N159" i="2"/>
  <c r="N161" i="2" s="1"/>
  <c r="L38" i="2"/>
  <c r="L32" i="2"/>
  <c r="L15" i="2"/>
  <c r="L55" i="2"/>
  <c r="W55" i="2" s="1"/>
  <c r="W152" i="2"/>
  <c r="W154" i="2" s="1"/>
  <c r="W151" i="2"/>
  <c r="L25" i="2"/>
  <c r="W141" i="2"/>
  <c r="W140" i="2"/>
  <c r="W142" i="2"/>
  <c r="W130" i="2"/>
  <c r="W139" i="2"/>
  <c r="F154" i="2"/>
  <c r="F161" i="2" s="1"/>
  <c r="W150" i="2"/>
  <c r="D147" i="2"/>
  <c r="W138" i="2"/>
  <c r="W125" i="2"/>
  <c r="L49" i="2"/>
  <c r="D122" i="2"/>
  <c r="Q125" i="2"/>
  <c r="F15" i="2"/>
  <c r="U20" i="2"/>
  <c r="K72" i="2"/>
  <c r="S6" i="2"/>
  <c r="S116" i="2"/>
  <c r="L27" i="2"/>
  <c r="K7" i="2"/>
  <c r="K15" i="2" s="1"/>
  <c r="S121" i="2"/>
  <c r="T30" i="2"/>
  <c r="T32" i="2" s="1"/>
  <c r="Q150" i="2"/>
  <c r="C38" i="2"/>
  <c r="M154" i="2"/>
  <c r="K55" i="2"/>
  <c r="U72" i="2"/>
  <c r="X34" i="2"/>
  <c r="U38" i="2"/>
  <c r="T9" i="2"/>
  <c r="R65" i="2"/>
  <c r="N93" i="2"/>
  <c r="N106" i="2"/>
  <c r="S20" i="2"/>
  <c r="S36" i="2"/>
  <c r="W21" i="2"/>
  <c r="U77" i="2"/>
  <c r="T131" i="2" l="1"/>
  <c r="E25" i="2"/>
  <c r="T15" i="2"/>
  <c r="C91" i="2"/>
  <c r="W72" i="2"/>
  <c r="X17" i="2"/>
  <c r="Q72" i="2"/>
  <c r="E159" i="2"/>
  <c r="S49" i="2"/>
  <c r="S91" i="2"/>
  <c r="S38" i="2"/>
  <c r="I122" i="2"/>
  <c r="Q19" i="2"/>
  <c r="I154" i="2"/>
  <c r="I161" i="2" s="1"/>
  <c r="X140" i="2"/>
  <c r="U91" i="2"/>
  <c r="U105" i="2"/>
  <c r="R38" i="2"/>
  <c r="V91" i="2"/>
  <c r="G91" i="2"/>
  <c r="I131" i="2"/>
  <c r="I159" i="2"/>
  <c r="W122" i="2"/>
  <c r="W133" i="2" s="1"/>
  <c r="X16" i="2"/>
  <c r="Q159" i="2"/>
  <c r="R122" i="2"/>
  <c r="T18" i="2"/>
  <c r="T25" i="2" s="1"/>
  <c r="T27" i="2" s="1"/>
  <c r="T43" i="2" s="1"/>
  <c r="T72" i="2"/>
  <c r="X69" i="2"/>
  <c r="T138" i="2"/>
  <c r="T147" i="2" s="1"/>
  <c r="M55" i="2"/>
  <c r="F106" i="2"/>
  <c r="D27" i="2"/>
  <c r="F27" i="2"/>
  <c r="F43" i="2" s="1"/>
  <c r="F57" i="2" s="1"/>
  <c r="L40" i="2"/>
  <c r="N40" i="2"/>
  <c r="N43" i="2" s="1"/>
  <c r="G23" i="6"/>
  <c r="G39" i="6" s="1"/>
  <c r="U30" i="2"/>
  <c r="U32" i="2" s="1"/>
  <c r="U40" i="2" s="1"/>
  <c r="K38" i="2"/>
  <c r="K40" i="2" s="1"/>
  <c r="K131" i="2"/>
  <c r="H24" i="6"/>
  <c r="E61" i="6"/>
  <c r="K82" i="2"/>
  <c r="K93" i="2" s="1"/>
  <c r="K106" i="2" s="1"/>
  <c r="U131" i="2"/>
  <c r="H39" i="6"/>
  <c r="U25" i="2"/>
  <c r="F32" i="6"/>
  <c r="K25" i="2"/>
  <c r="K27" i="2" s="1"/>
  <c r="V7" i="2"/>
  <c r="V15" i="2" s="1"/>
  <c r="V27" i="2" s="1"/>
  <c r="M15" i="2"/>
  <c r="M27" i="2" s="1"/>
  <c r="C77" i="8"/>
  <c r="M91" i="2"/>
  <c r="V65" i="2"/>
  <c r="V72" i="2" s="1"/>
  <c r="M122" i="2"/>
  <c r="C17" i="8"/>
  <c r="C25" i="8" s="1"/>
  <c r="C32" i="8" s="1"/>
  <c r="E17" i="8"/>
  <c r="E25" i="8" s="1"/>
  <c r="E32" i="8" s="1"/>
  <c r="M32" i="2"/>
  <c r="D25" i="8"/>
  <c r="D32" i="8" s="1"/>
  <c r="D99" i="8"/>
  <c r="M159" i="2"/>
  <c r="M147" i="2"/>
  <c r="M131" i="2"/>
  <c r="M133" i="2" s="1"/>
  <c r="V25" i="2"/>
  <c r="V158" i="2"/>
  <c r="V159" i="2" s="1"/>
  <c r="M105" i="2"/>
  <c r="V142" i="2"/>
  <c r="X142" i="2" s="1"/>
  <c r="V77" i="2"/>
  <c r="V82" i="2" s="1"/>
  <c r="M38" i="2"/>
  <c r="M40" i="2"/>
  <c r="M25" i="2"/>
  <c r="T91" i="2"/>
  <c r="T154" i="2"/>
  <c r="X24" i="2"/>
  <c r="X139" i="2"/>
  <c r="I105" i="2"/>
  <c r="I72" i="2"/>
  <c r="X143" i="2"/>
  <c r="X96" i="2"/>
  <c r="X120" i="2"/>
  <c r="X9" i="2"/>
  <c r="X144" i="2"/>
  <c r="I91" i="2"/>
  <c r="S55" i="2"/>
  <c r="X99" i="2"/>
  <c r="X12" i="2"/>
  <c r="X146" i="2"/>
  <c r="S25" i="2"/>
  <c r="G55" i="2"/>
  <c r="S15" i="2"/>
  <c r="S27" i="2" s="1"/>
  <c r="X90" i="2"/>
  <c r="X68" i="2"/>
  <c r="R15" i="2"/>
  <c r="R40" i="2"/>
  <c r="X36" i="2"/>
  <c r="X119" i="2"/>
  <c r="X23" i="2"/>
  <c r="E55" i="2"/>
  <c r="E122" i="2"/>
  <c r="R20" i="2"/>
  <c r="R25" i="2" s="1"/>
  <c r="X11" i="2"/>
  <c r="X8" i="2"/>
  <c r="X85" i="2"/>
  <c r="X117" i="2"/>
  <c r="E15" i="2"/>
  <c r="E27" i="2" s="1"/>
  <c r="E43" i="2" s="1"/>
  <c r="X51" i="2"/>
  <c r="X76" i="2"/>
  <c r="X10" i="2"/>
  <c r="X164" i="2"/>
  <c r="R55" i="2"/>
  <c r="Q49" i="2"/>
  <c r="X46" i="2"/>
  <c r="Q147" i="2"/>
  <c r="C122" i="2"/>
  <c r="X21" i="2"/>
  <c r="X42" i="2"/>
  <c r="X130" i="2"/>
  <c r="C72" i="2"/>
  <c r="C131" i="2"/>
  <c r="X165" i="2"/>
  <c r="X79" i="2"/>
  <c r="X127" i="2"/>
  <c r="X141" i="2"/>
  <c r="X101" i="2"/>
  <c r="Q55" i="2"/>
  <c r="C32" i="2"/>
  <c r="X14" i="2"/>
  <c r="C49" i="2"/>
  <c r="C55" i="2"/>
  <c r="Q91" i="2"/>
  <c r="C159" i="2"/>
  <c r="X75" i="2"/>
  <c r="U82" i="2"/>
  <c r="U93" i="2" s="1"/>
  <c r="U106" i="2" s="1"/>
  <c r="X77" i="2"/>
  <c r="W91" i="2"/>
  <c r="W93" i="2" s="1"/>
  <c r="X87" i="2"/>
  <c r="Q95" i="2"/>
  <c r="C105" i="2"/>
  <c r="Q151" i="2"/>
  <c r="Q154" i="2" s="1"/>
  <c r="C154" i="2"/>
  <c r="X145" i="2"/>
  <c r="V154" i="2"/>
  <c r="X19" i="2"/>
  <c r="G125" i="2"/>
  <c r="D59" i="6"/>
  <c r="D61" i="6" s="1"/>
  <c r="K116" i="2"/>
  <c r="E131" i="2"/>
  <c r="R125" i="2"/>
  <c r="R131" i="2" s="1"/>
  <c r="R133" i="2" s="1"/>
  <c r="X121" i="2"/>
  <c r="X89" i="2"/>
  <c r="E91" i="2"/>
  <c r="E82" i="2"/>
  <c r="Q131" i="2"/>
  <c r="X71" i="2"/>
  <c r="V105" i="2"/>
  <c r="X13" i="2"/>
  <c r="W31" i="2"/>
  <c r="D32" i="2"/>
  <c r="D40" i="2" s="1"/>
  <c r="D43" i="2" s="1"/>
  <c r="D57" i="2" s="1"/>
  <c r="K158" i="2"/>
  <c r="D85" i="6"/>
  <c r="W157" i="2"/>
  <c r="L159" i="2"/>
  <c r="L161" i="2" s="1"/>
  <c r="I133" i="2"/>
  <c r="C147" i="2"/>
  <c r="C161" i="2" s="1"/>
  <c r="C40" i="2"/>
  <c r="X103" i="2"/>
  <c r="Q15" i="2"/>
  <c r="X118" i="2"/>
  <c r="R67" i="2"/>
  <c r="E72" i="2"/>
  <c r="R147" i="2"/>
  <c r="R150" i="2"/>
  <c r="E154" i="2"/>
  <c r="G15" i="2"/>
  <c r="G25" i="2"/>
  <c r="S81" i="2"/>
  <c r="G82" i="2"/>
  <c r="S100" i="2"/>
  <c r="X100" i="2" s="1"/>
  <c r="G105" i="2"/>
  <c r="I55" i="2"/>
  <c r="T52" i="2"/>
  <c r="T55" i="2" s="1"/>
  <c r="T122" i="2"/>
  <c r="T133" i="2" s="1"/>
  <c r="S157" i="2"/>
  <c r="S159" i="2" s="1"/>
  <c r="G159" i="2"/>
  <c r="W147" i="2"/>
  <c r="X86" i="2"/>
  <c r="E38" i="2"/>
  <c r="E40" i="2" s="1"/>
  <c r="R82" i="2"/>
  <c r="U7" i="2"/>
  <c r="W105" i="2"/>
  <c r="Q25" i="2"/>
  <c r="X18" i="2"/>
  <c r="X22" i="2"/>
  <c r="X37" i="2"/>
  <c r="Q82" i="2"/>
  <c r="X80" i="2"/>
  <c r="X88" i="2"/>
  <c r="X98" i="2"/>
  <c r="E49" i="2"/>
  <c r="R48" i="2"/>
  <c r="X48" i="2" s="1"/>
  <c r="R91" i="2"/>
  <c r="R102" i="2"/>
  <c r="R105" i="2" s="1"/>
  <c r="E105" i="2"/>
  <c r="R159" i="2"/>
  <c r="S152" i="2"/>
  <c r="X152" i="2" s="1"/>
  <c r="G154" i="2"/>
  <c r="I38" i="2"/>
  <c r="I40" i="2" s="1"/>
  <c r="T35" i="2"/>
  <c r="T38" i="2" s="1"/>
  <c r="T40" i="2" s="1"/>
  <c r="T105" i="2"/>
  <c r="V131" i="2"/>
  <c r="X97" i="2"/>
  <c r="C15" i="2"/>
  <c r="C27" i="2" s="1"/>
  <c r="C43" i="2" s="1"/>
  <c r="C57" i="2" s="1"/>
  <c r="X54" i="2"/>
  <c r="X70" i="2"/>
  <c r="Q116" i="2"/>
  <c r="Q122" i="2" s="1"/>
  <c r="S30" i="2"/>
  <c r="G32" i="2"/>
  <c r="G40" i="2" s="1"/>
  <c r="S66" i="2"/>
  <c r="G72" i="2"/>
  <c r="G122" i="2"/>
  <c r="T47" i="2"/>
  <c r="I49" i="2"/>
  <c r="T78" i="2"/>
  <c r="X78" i="2" s="1"/>
  <c r="I82" i="2"/>
  <c r="I93" i="2" s="1"/>
  <c r="I106" i="2" s="1"/>
  <c r="M49" i="2"/>
  <c r="V53" i="2"/>
  <c r="X53" i="2" s="1"/>
  <c r="V116" i="2"/>
  <c r="V122" i="2" s="1"/>
  <c r="V38" i="2"/>
  <c r="V40" i="2" s="1"/>
  <c r="Q32" i="2"/>
  <c r="Q40" i="2" s="1"/>
  <c r="X65" i="2"/>
  <c r="C82" i="2"/>
  <c r="M93" i="2"/>
  <c r="M106" i="2" s="1"/>
  <c r="X128" i="2"/>
  <c r="E88" i="6"/>
  <c r="W38" i="2"/>
  <c r="K153" i="2"/>
  <c r="U153" i="2" s="1"/>
  <c r="X153" i="2" s="1"/>
  <c r="X126" i="2"/>
  <c r="G138" i="2"/>
  <c r="W25" i="2"/>
  <c r="D22" i="6"/>
  <c r="D24" i="6" s="1"/>
  <c r="D39" i="6" s="1"/>
  <c r="G49" i="2"/>
  <c r="E147" i="2"/>
  <c r="I15" i="2"/>
  <c r="D131" i="2"/>
  <c r="D133" i="2" s="1"/>
  <c r="T159" i="2"/>
  <c r="T161" i="2" s="1"/>
  <c r="C99" i="8"/>
  <c r="W158" i="2"/>
  <c r="X158" i="2" s="1"/>
  <c r="C133" i="2" l="1"/>
  <c r="X35" i="2"/>
  <c r="Q133" i="2"/>
  <c r="E57" i="2"/>
  <c r="C58" i="2" s="1"/>
  <c r="Q161" i="2"/>
  <c r="R27" i="2"/>
  <c r="R43" i="2" s="1"/>
  <c r="X102" i="2"/>
  <c r="X20" i="2"/>
  <c r="E133" i="2"/>
  <c r="M161" i="2"/>
  <c r="V93" i="2"/>
  <c r="V106" i="2" s="1"/>
  <c r="K43" i="2"/>
  <c r="K57" i="2" s="1"/>
  <c r="V43" i="2"/>
  <c r="X38" i="2"/>
  <c r="V147" i="2"/>
  <c r="V161" i="2" s="1"/>
  <c r="V55" i="2"/>
  <c r="X55" i="2" s="1"/>
  <c r="M43" i="2"/>
  <c r="M57" i="2" s="1"/>
  <c r="I27" i="2"/>
  <c r="I43" i="2" s="1"/>
  <c r="I57" i="2" s="1"/>
  <c r="X52" i="2"/>
  <c r="T82" i="2"/>
  <c r="T93" i="2" s="1"/>
  <c r="T106" i="2" s="1"/>
  <c r="G27" i="2"/>
  <c r="X25" i="2"/>
  <c r="X151" i="2"/>
  <c r="C93" i="2"/>
  <c r="C106" i="2" s="1"/>
  <c r="S32" i="2"/>
  <c r="S40" i="2" s="1"/>
  <c r="S43" i="2" s="1"/>
  <c r="S57" i="2" s="1"/>
  <c r="X30" i="2"/>
  <c r="G131" i="2"/>
  <c r="G133" i="2" s="1"/>
  <c r="S125" i="2"/>
  <c r="S131" i="2" s="1"/>
  <c r="S133" i="2" s="1"/>
  <c r="X91" i="2"/>
  <c r="V133" i="2"/>
  <c r="G93" i="2"/>
  <c r="G106" i="2" s="1"/>
  <c r="S154" i="2"/>
  <c r="U15" i="2"/>
  <c r="U27" i="2" s="1"/>
  <c r="U43" i="2" s="1"/>
  <c r="U57" i="2" s="1"/>
  <c r="X7" i="2"/>
  <c r="W27" i="2"/>
  <c r="S105" i="2"/>
  <c r="X81" i="2"/>
  <c r="S82" i="2"/>
  <c r="R154" i="2"/>
  <c r="R161" i="2" s="1"/>
  <c r="X150" i="2"/>
  <c r="X95" i="2"/>
  <c r="Q105" i="2"/>
  <c r="U158" i="2"/>
  <c r="U159" i="2" s="1"/>
  <c r="K159" i="2"/>
  <c r="W106" i="2"/>
  <c r="K138" i="2"/>
  <c r="D69" i="6"/>
  <c r="D88" i="6" s="1"/>
  <c r="S72" i="2"/>
  <c r="X66" i="2"/>
  <c r="R49" i="2"/>
  <c r="R57" i="2" s="1"/>
  <c r="Q27" i="2"/>
  <c r="Q43" i="2" s="1"/>
  <c r="Q57" i="2" s="1"/>
  <c r="K154" i="2"/>
  <c r="W159" i="2"/>
  <c r="X159" i="2" s="1"/>
  <c r="X157" i="2"/>
  <c r="K122" i="2"/>
  <c r="K133" i="2" s="1"/>
  <c r="U116" i="2"/>
  <c r="U154" i="2"/>
  <c r="Q93" i="2"/>
  <c r="X67" i="2"/>
  <c r="R72" i="2"/>
  <c r="E161" i="2"/>
  <c r="S138" i="2"/>
  <c r="G147" i="2"/>
  <c r="G161" i="2" s="1"/>
  <c r="T49" i="2"/>
  <c r="T57" i="2" s="1"/>
  <c r="X47" i="2"/>
  <c r="G43" i="2"/>
  <c r="G57" i="2" s="1"/>
  <c r="E93" i="2"/>
  <c r="E106" i="2" s="1"/>
  <c r="X31" i="2"/>
  <c r="W32" i="2"/>
  <c r="X82" i="2" l="1"/>
  <c r="V57" i="2"/>
  <c r="W161" i="2"/>
  <c r="X125" i="2"/>
  <c r="X105" i="2"/>
  <c r="Q106" i="2"/>
  <c r="X154" i="2"/>
  <c r="S147" i="2"/>
  <c r="X27" i="2"/>
  <c r="W40" i="2"/>
  <c r="X40" i="2" s="1"/>
  <c r="X32" i="2"/>
  <c r="R93" i="2"/>
  <c r="R106" i="2" s="1"/>
  <c r="X72" i="2"/>
  <c r="U122" i="2"/>
  <c r="X116" i="2"/>
  <c r="X49" i="2"/>
  <c r="S93" i="2"/>
  <c r="S106" i="2" s="1"/>
  <c r="U138" i="2"/>
  <c r="U147" i="2" s="1"/>
  <c r="U161" i="2" s="1"/>
  <c r="K147" i="2"/>
  <c r="K161" i="2" s="1"/>
  <c r="W43" i="2" l="1"/>
  <c r="X43" i="2" s="1"/>
  <c r="X106" i="2"/>
  <c r="S161" i="2"/>
  <c r="X161" i="2" s="1"/>
  <c r="X147" i="2"/>
  <c r="X93" i="2"/>
  <c r="U133" i="2"/>
  <c r="X133" i="2" s="1"/>
  <c r="X122" i="2"/>
  <c r="X138" i="2"/>
  <c r="W57" i="2" l="1"/>
  <c r="X5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Levang, Øyvind</author>
    <author>Sødermann, Ragnhild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416 fra Havn
8560  fra tomteselskapet
421 fra parkering
76828  fra eiendom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kr 5,257 husleie kulturhuset
Resten internhusleie og driftstilskudd bykasse</t>
        </r>
      </text>
    </comment>
    <comment ref="D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Fra parkering (2832)
Utbytte eiendom (
5280)</t>
        </r>
      </text>
    </comment>
    <comment ref="J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Tilskudd fra kommunen</t>
        </r>
      </text>
    </comment>
    <comment ref="L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8 560 Kjøp fra bykassen</t>
        </r>
      </text>
    </comment>
    <comment ref="N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Renhold
</t>
        </r>
      </text>
    </comment>
    <comment ref="D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Inernhusleie og driftstilskudd</t>
        </r>
      </text>
    </comment>
    <comment ref="F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Renhold, drift, vedlikehold mot byggdrift</t>
        </r>
      </text>
    </comment>
    <comment ref="H21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Vedlikehold av parkeringsplasser av bydrift</t>
        </r>
      </text>
    </comment>
    <comment ref="J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Internhusleie fra eiendom KF
</t>
        </r>
      </text>
    </comment>
    <comment ref="D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17.287 mill kulturhus</t>
        </r>
      </text>
    </comment>
    <comment ref="F2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Utbytte mot bykasse</t>
        </r>
      </text>
    </comment>
    <comment ref="H22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kr 1,1 mil er utbytte til kommunen restterende ca. 1,7 mill er leie av gategrunn som betales til bymiljø</t>
        </r>
      </text>
    </comment>
    <comment ref="K23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avskrivning og nedskrivning</t>
        </r>
      </text>
    </comment>
    <comment ref="D3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116 788 renter fra eiendom
4,222  fra tomteselskap</t>
        </r>
      </text>
    </comment>
    <comment ref="N3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Renteinntekt lån til tomteselskap
</t>
        </r>
      </text>
    </comment>
    <comment ref="D3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Avdrag fra eiendoms ansvarlige lån</t>
        </r>
      </text>
    </comment>
    <comment ref="F3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Renter ansvarlig lån</t>
        </r>
      </text>
    </comment>
    <comment ref="L3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Renteutgifter lån havnen (162) og kommunen (4.214)</t>
        </r>
      </text>
    </comment>
    <comment ref="F3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Avdrag ansvarlig lån</t>
        </r>
      </text>
    </comment>
    <comment ref="J70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Investeringstilskudd fra kommunen</t>
        </r>
      </text>
    </comment>
    <comment ref="D7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Investeringstilskudd kulturhuset</t>
        </r>
      </text>
    </comment>
    <comment ref="D11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99.669 tomteselskap
5,619 eiendom</t>
        </r>
      </text>
    </comment>
    <comment ref="H11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Mot bykassen
</t>
        </r>
      </text>
    </comment>
    <comment ref="N11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Utlån tomteselskap</t>
        </r>
      </text>
    </comment>
    <comment ref="D126" authorId="1" shapeId="0" xr:uid="{00000000-0006-0000-0000-00001A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kr. 117 er fordring til havnen
kr. 24,8 er tomteselskapet
kr 480 eiendom</t>
        </r>
      </text>
    </comment>
    <comment ref="N126" authorId="1" shapeId="0" xr:uid="{00000000-0006-0000-0000-00001B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renter sandnes tomteselskap (556)
</t>
        </r>
      </text>
    </comment>
    <comment ref="L152" authorId="1" shapeId="0" xr:uid="{00000000-0006-0000-0000-00001C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Skyldes ulik saldo lån til sanfdnes havn</t>
        </r>
      </text>
    </comment>
    <comment ref="D15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Lån sandnes parkering</t>
        </r>
      </text>
    </comment>
    <comment ref="F15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Ansvarlig lån mot bykasse</t>
        </r>
      </text>
    </comment>
    <comment ref="L15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93,158 havnen
99.669 kommunen</t>
        </r>
      </text>
    </comment>
    <comment ref="L157" authorId="1" shapeId="0" xr:uid="{00000000-0006-0000-0000-000020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Skyldes ulik saldo fordring til sanfdnes havn</t>
        </r>
      </text>
    </comment>
    <comment ref="D158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eiendom (28.313)</t>
        </r>
      </text>
    </comment>
    <comment ref="F158" authorId="1" shapeId="0" xr:uid="{00000000-0006-0000-0000-000022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bykassen 480</t>
        </r>
      </text>
    </comment>
    <comment ref="L158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>Sødermann, Ragnhild:</t>
        </r>
        <r>
          <rPr>
            <sz val="8"/>
            <color indexed="81"/>
            <rFont val="Tahoma"/>
            <family val="2"/>
          </rPr>
          <t xml:space="preserve">
Bykassen 24 826</t>
        </r>
      </text>
    </comment>
    <comment ref="N158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Levang, Øyvind:</t>
        </r>
        <r>
          <rPr>
            <sz val="9"/>
            <color indexed="81"/>
            <rFont val="Tahoma"/>
            <family val="2"/>
          </rPr>
          <t xml:space="preserve">
Lån bykassen</t>
        </r>
      </text>
    </comment>
  </commentList>
</comments>
</file>

<file path=xl/sharedStrings.xml><?xml version="1.0" encoding="utf-8"?>
<sst xmlns="http://schemas.openxmlformats.org/spreadsheetml/2006/main" count="1001" uniqueCount="272">
  <si>
    <t>Konsernregnskap</t>
  </si>
  <si>
    <t>Hovedoversikt driftsregnskap</t>
  </si>
  <si>
    <t>Eliminering art</t>
  </si>
  <si>
    <t>Sandnes kommune</t>
  </si>
  <si>
    <t>Eliminering kommune</t>
  </si>
  <si>
    <t>Sandnes eiendomsselskap KF</t>
  </si>
  <si>
    <t>Eliminering SE</t>
  </si>
  <si>
    <t>Sandnes parkering KF</t>
  </si>
  <si>
    <t>Eliminering SP</t>
  </si>
  <si>
    <t>Eliminering SKK</t>
  </si>
  <si>
    <t>Sandnes tomteselskap KF</t>
  </si>
  <si>
    <t>Eliminering ST</t>
  </si>
  <si>
    <t>Sandnes havn KF</t>
  </si>
  <si>
    <t>Eliminering SH</t>
  </si>
  <si>
    <t>Sandnes kunst- og kulturhus KF</t>
  </si>
  <si>
    <t>Eliminering</t>
  </si>
  <si>
    <t>Sum konsern</t>
  </si>
  <si>
    <t>Driftsinntekter</t>
  </si>
  <si>
    <t>Økonomiske oversikter</t>
  </si>
  <si>
    <t>Brukerbetalinger</t>
  </si>
  <si>
    <t>Økonomisk oversikt - drift</t>
  </si>
  <si>
    <t>Regnskap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</si>
  <si>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</si>
  <si>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</si>
  <si>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</si>
  <si>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</si>
  <si>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</si>
  <si>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</si>
  <si>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</si>
  <si>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Andre direkte og indirekte skatter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</si>
  <si>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</si>
  <si>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</si>
  <si>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</si>
  <si>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</si>
  <si>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</si>
  <si>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</si>
  <si>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</si>
  <si>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</si>
  <si>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</si>
  <si>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</si>
  <si>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</si>
  <si>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</si>
  <si>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</si>
  <si>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</si>
  <si>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</si>
  <si>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</si>
  <si>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</si>
  <si>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</si>
  <si>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</si>
  <si>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</si>
  <si>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</si>
  <si>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</si>
  <si>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</si>
  <si>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</si>
  <si>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</si>
  <si>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</si>
  <si>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</si>
  <si>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</si>
  <si>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</si>
  <si>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</si>
  <si>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</si>
  <si>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</si>
  <si>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</si>
  <si>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</si>
  <si>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</si>
  <si>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mer/mindreforbruk</t>
  </si>
  <si>
    <t>Økonomisk oversikt - investering</t>
  </si>
  <si>
    <t>Inntekter</t>
  </si>
  <si>
    <t>Salg av driftsmidler og fast eiendom</t>
  </si>
  <si>
    <t>Andre salgsinntekter</t>
  </si>
  <si>
    <t>Kompensasjon for merverdiavgift</t>
  </si>
  <si>
    <t>Statlige overføringer</t>
  </si>
  <si>
    <t>Hovedoversikt investeringsregnskap</t>
  </si>
  <si>
    <t>Sum inntekter</t>
  </si>
  <si>
    <t>Utgifter</t>
  </si>
  <si>
    <t>Renteutgifter og omkostninger</t>
  </si>
  <si>
    <t>Sum utgifter</t>
  </si>
  <si>
    <t>Finanstransaksjoner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</si>
  <si>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</si>
  <si>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</si>
  <si>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</si>
  <si>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</si>
  <si>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</si>
  <si>
    <t>Finansieringsbehov</t>
  </si>
  <si>
    <t>Dekket slik:</t>
  </si>
  <si>
    <t>Bruk av lån</t>
  </si>
  <si>
    <t>Salg av aksjer og andeler</t>
  </si>
  <si>
    <t>Overført fra driftsregnskapet</t>
  </si>
  <si>
    <t>Bruk av tidligere års udisponert</t>
  </si>
  <si>
    <t>Bruk av bundne driftsfond</t>
  </si>
  <si>
    <t>Bruk av ubundne investeringsfond</t>
  </si>
  <si>
    <t>Bruk av bundne investeringsfond</t>
  </si>
  <si>
    <t>Sum finansiering</t>
  </si>
  <si>
    <t>Udekket/udisponert</t>
  </si>
  <si>
    <t>Oversikt - balanse</t>
  </si>
  <si>
    <t>EIENDELER</t>
  </si>
  <si>
    <t>Overført fra driftsbudsjettet</t>
  </si>
  <si>
    <t>Anleggsmidler</t>
  </si>
  <si>
    <t>Herav:</t>
  </si>
  <si>
    <t>Faste eiendommer og anlegg</t>
  </si>
  <si>
    <t>Utstyr, maskiner og transportmidler</t>
  </si>
  <si>
    <t>Konserninterne langsiktige fordringer</t>
  </si>
  <si>
    <t>Aksjer og andeler</t>
  </si>
  <si>
    <t>Pensjonsmidler</t>
  </si>
  <si>
    <t>Omløpsmidler</t>
  </si>
  <si>
    <t>Kortsiktige fordringer</t>
  </si>
  <si>
    <t>Konterninterne kortsiktige fordringer</t>
  </si>
  <si>
    <t>Premieavvik</t>
  </si>
  <si>
    <t>Hovedoversikt balanseregnskap</t>
  </si>
  <si>
    <t>Noter</t>
  </si>
  <si>
    <t>Sertifikater</t>
  </si>
  <si>
    <t>Obligasjoner</t>
  </si>
  <si>
    <t>Derivater</t>
  </si>
  <si>
    <t>Kasse, postgiro, bankinnskudd</t>
  </si>
  <si>
    <t>SUM EIENDELER</t>
  </si>
  <si>
    <t>EGENKAPITAL OG GJELD</t>
  </si>
  <si>
    <t>Egenkapital</t>
  </si>
  <si>
    <t>Disposisjonsfond</t>
  </si>
  <si>
    <t>Sum anleggsmidler</t>
  </si>
  <si>
    <t>Bundne driftsfond</t>
  </si>
  <si>
    <t>Ubundne investeringsfond</t>
  </si>
  <si>
    <t>Bundne investeringsfond</t>
  </si>
  <si>
    <t>Regnskapsmessig mindreforbruk</t>
  </si>
  <si>
    <t>Konserninterne kortsiktige fordringer</t>
  </si>
  <si>
    <t>Regnskapsmessig merforbruk</t>
  </si>
  <si>
    <t>Udisponert i inv.regnskap</t>
  </si>
  <si>
    <t>Udekket i inv.regnskap</t>
  </si>
  <si>
    <t>Sum omløpsmidler</t>
  </si>
  <si>
    <t>Kapitalkonto</t>
  </si>
  <si>
    <t>Endring i regnskapsprinsipp som påvirker AK Drift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</si>
  <si>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</si>
  <si>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</si>
  <si>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</si>
  <si>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</si>
  <si>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</si>
  <si>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</si>
  <si>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</si>
  <si>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Kortsiktig gjeld</t>
  </si>
  <si>
    <t>Kassekredittlån</t>
  </si>
  <si>
    <t>Endring i regnskapsprinsipp</t>
  </si>
  <si>
    <t>Annen kortsiktig gjeld</t>
  </si>
  <si>
    <t>Sum egenkapital</t>
  </si>
  <si>
    <t>Konsernintern kortsiktig gjeld</t>
  </si>
  <si>
    <t>SUM EGENKAPITAL OG GJELD</t>
  </si>
  <si>
    <t>MEMORIAKONTI</t>
  </si>
  <si>
    <t>Memoriakonto</t>
  </si>
  <si>
    <t>Sum langsiktig gjeld</t>
  </si>
  <si>
    <t>Ubrukte lånemidler</t>
  </si>
  <si>
    <t>Ubrukte konserninterne lånemidler</t>
  </si>
  <si>
    <t>Andre memoriakonti</t>
  </si>
  <si>
    <t>Motkonto for memoriakontiene</t>
  </si>
  <si>
    <t>Sum kortsiktig gjeld</t>
  </si>
  <si>
    <t>Reg. budsjett</t>
  </si>
  <si>
    <t>Oppr.budsjet</t>
  </si>
  <si>
    <t>Regnskap i fjor</t>
  </si>
  <si>
    <t>SANDNES TOMTESELSKAP KF</t>
  </si>
  <si>
    <t>RESULTATREGNSKAP</t>
  </si>
  <si>
    <t xml:space="preserve">Regnskap </t>
  </si>
  <si>
    <t>Budsjett</t>
  </si>
  <si>
    <t xml:space="preserve"> Regnskap </t>
  </si>
  <si>
    <t>31.12.06</t>
  </si>
  <si>
    <t>31.12.05</t>
  </si>
  <si>
    <t>Driftsinntekt</t>
  </si>
  <si>
    <t>Salgsinntekter</t>
  </si>
  <si>
    <t xml:space="preserve">Annen driftsinntekt  </t>
  </si>
  <si>
    <t>Sum driftsinntekt</t>
  </si>
  <si>
    <t>Driftskostnad</t>
  </si>
  <si>
    <t>Lønnskostnad</t>
  </si>
  <si>
    <t>Kostnader solgte tomter</t>
  </si>
  <si>
    <t>Annen driftskostnad</t>
  </si>
  <si>
    <t xml:space="preserve">Sum driftskostnad </t>
  </si>
  <si>
    <t>Driftsresultat</t>
  </si>
  <si>
    <t>Finansposter</t>
  </si>
  <si>
    <t>Renteinntekt</t>
  </si>
  <si>
    <t>Utbytte</t>
  </si>
  <si>
    <t>Rentekostnad</t>
  </si>
  <si>
    <t>Sum finansposter</t>
  </si>
  <si>
    <t>Utbytte/overføring Sandnes kommune</t>
  </si>
  <si>
    <t>Aktivering av renter</t>
  </si>
  <si>
    <t xml:space="preserve">Overskudd </t>
  </si>
  <si>
    <t>Balanse 31.12 2016</t>
  </si>
  <si>
    <t>ANLEGGSMIDLER</t>
  </si>
  <si>
    <t>Inventar, bil</t>
  </si>
  <si>
    <t xml:space="preserve">Aksjer </t>
  </si>
  <si>
    <t xml:space="preserve">Ansvarlige lån </t>
  </si>
  <si>
    <t>OMLØPSMIDLER</t>
  </si>
  <si>
    <t>Tomter</t>
  </si>
  <si>
    <t>Kundefordringer</t>
  </si>
  <si>
    <t>Andre fordringer</t>
  </si>
  <si>
    <t>Bankinnskudd, kontanter og lignende</t>
  </si>
  <si>
    <t>EGENKAPITAL</t>
  </si>
  <si>
    <t>Innskutt egenkapital</t>
  </si>
  <si>
    <t>Opptjent egenkapital</t>
  </si>
  <si>
    <t>LANGSIKTIG GJELD</t>
  </si>
  <si>
    <t>Avsetninger</t>
  </si>
  <si>
    <t>Annen langsiktig gjeld</t>
  </si>
  <si>
    <t>Lån Sandnes havn KF</t>
  </si>
  <si>
    <t>Ansvarlig lån Sandnes kommune</t>
  </si>
  <si>
    <t>KORTSIKTIG GJELD</t>
  </si>
  <si>
    <t>Leverandørgjeld</t>
  </si>
  <si>
    <t>Gjeld Sandnes kommune, Havnen KF</t>
  </si>
  <si>
    <t>Forskudd solgte tomter</t>
  </si>
  <si>
    <t>SANDNES HAVN KF</t>
  </si>
  <si>
    <t>Havneavgifter/vederlag</t>
  </si>
  <si>
    <t>Leieinntekter</t>
  </si>
  <si>
    <t>Vederlag og andre inntekter</t>
  </si>
  <si>
    <t>Lønnsutgifter inkl. sosiale kostn.</t>
  </si>
  <si>
    <t>Pensjonsavvik inkl. arb.giv.avg</t>
  </si>
  <si>
    <t>Utstyr og vedlikeholdutgifter</t>
  </si>
  <si>
    <t>Kjøp av varer og tjenester</t>
  </si>
  <si>
    <t>Renteinntekter</t>
  </si>
  <si>
    <t>Renteinntekter av solgt eiendom</t>
  </si>
  <si>
    <t>Renteutgifter/gebyrer</t>
  </si>
  <si>
    <t>Ordinært resultat</t>
  </si>
  <si>
    <t>Interne finansieringstransaksjoner</t>
  </si>
  <si>
    <t xml:space="preserve">Tidligere års overskudd </t>
  </si>
  <si>
    <t>Bruk av fond</t>
  </si>
  <si>
    <t>Avsatt til fond</t>
  </si>
  <si>
    <t xml:space="preserve">Overført til investeringsregnskapet </t>
  </si>
  <si>
    <t>Regnskapsmessig resultat</t>
  </si>
  <si>
    <t>Investeringer</t>
  </si>
  <si>
    <t>Avsatt til investeringsfond</t>
  </si>
  <si>
    <t>Sum investeringer/avsetninger</t>
  </si>
  <si>
    <t>Finansiering</t>
  </si>
  <si>
    <t>BALANSEREGNSKAP</t>
  </si>
  <si>
    <t>Faste eiendommer</t>
  </si>
  <si>
    <t>Maskiner og utstyr</t>
  </si>
  <si>
    <t>Aksjer i Sandnes Havneterminal AS</t>
  </si>
  <si>
    <t>Egenkapital Sandnes Komm. P.K</t>
  </si>
  <si>
    <t>Pensjonsmidler 31.12</t>
  </si>
  <si>
    <t>Utlån Sandnes Tomteselskap</t>
  </si>
  <si>
    <t>Premiavvik pensjon</t>
  </si>
  <si>
    <t>Premieavvik pensjon arb.giv.avgift</t>
  </si>
  <si>
    <t>Renter utlån Sandnes Tomteselskap</t>
  </si>
  <si>
    <t>Debitorer</t>
  </si>
  <si>
    <t>Bankinnskudd/kasse</t>
  </si>
  <si>
    <t>GJELD OG EGENKAPITAL</t>
  </si>
  <si>
    <t>Regnskapsmessig årsoverskudd</t>
  </si>
  <si>
    <t xml:space="preserve">Kapitalkonto </t>
  </si>
  <si>
    <t>Pensjonsforpliktelse pr. 31.12</t>
  </si>
  <si>
    <t>Arb.giv avg. Netto pensj.forpl</t>
  </si>
  <si>
    <t>Gjeld til kommunekassen</t>
  </si>
  <si>
    <t>Leverandører</t>
  </si>
  <si>
    <t>Skattefogden 6 termin</t>
  </si>
  <si>
    <t>Avsatte feriepenger</t>
  </si>
  <si>
    <t>Skattetrekk</t>
  </si>
  <si>
    <t>Arbeidsgiveravgift</t>
  </si>
  <si>
    <t>SUM GJELD OG EGENKAPITAL</t>
  </si>
  <si>
    <t>Tusen kroner</t>
  </si>
  <si>
    <t>Regnskap 2017</t>
  </si>
  <si>
    <t>Budsjett 2017</t>
  </si>
  <si>
    <t xml:space="preserve"> Regnskap 2016</t>
  </si>
  <si>
    <t>Sandnes Eiendom leie i Str.gt 147</t>
  </si>
  <si>
    <t>2 og 4</t>
  </si>
  <si>
    <t>31.12.2017</t>
  </si>
  <si>
    <t>Nedskrivning</t>
  </si>
  <si>
    <t>Annen finanskostnad (Nedskrivning aksjer+avsetning)</t>
  </si>
  <si>
    <t>Skyldig offentlige avgifter (skattetrekk, AGA, feriepenger)</t>
  </si>
  <si>
    <t>Avskrivninger/nedskrivning</t>
  </si>
  <si>
    <t>D+F+H+J+L+N</t>
  </si>
  <si>
    <t>Sum(P:U)-V</t>
  </si>
  <si>
    <t>Tall per 26.03.2018</t>
  </si>
  <si>
    <t>Regnskap 2018</t>
  </si>
  <si>
    <t>DRIFTSREGNSKAP 2018</t>
  </si>
  <si>
    <t>Budsjett 2018</t>
  </si>
  <si>
    <t>INVESTERINGSREGNSKAP / BUDSJETT ÅR 2018</t>
  </si>
  <si>
    <t>Tilskudd reparasjon av kaikran</t>
  </si>
  <si>
    <t>Inntekt salg av eiendom</t>
  </si>
  <si>
    <t>Periodisering av kostnader</t>
  </si>
  <si>
    <t>31.12.2018</t>
  </si>
  <si>
    <t>2018</t>
  </si>
  <si>
    <t>Gevinst salg aksjer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</si>
</sst>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0.0\ %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1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90">
    <xf numFmtId="0" fontId="0" fillId="0" borderId="0" xfId="0"/>
    <xf numFmtId="165" fontId="17" fillId="0" borderId="0" xfId="1" applyNumberFormat="1"/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0" fillId="0" borderId="0" xfId="0" applyNumberFormat="1"/>
    <xf numFmtId="165" fontId="18" fillId="2" borderId="1" xfId="1" applyNumberFormat="1" applyFont="1" applyFill="1" applyBorder="1" applyAlignment="1">
      <alignment vertical="center"/>
    </xf>
    <xf numFmtId="165" fontId="17" fillId="0" borderId="1" xfId="1" applyNumberFormat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165" fontId="18" fillId="2" borderId="2" xfId="1" applyNumberFormat="1" applyFont="1" applyFill="1" applyBorder="1" applyAlignment="1">
      <alignment vertical="center"/>
    </xf>
    <xf numFmtId="165" fontId="22" fillId="0" borderId="2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5" fontId="20" fillId="0" borderId="3" xfId="0" applyNumberFormat="1" applyFont="1" applyBorder="1" applyAlignment="1">
      <alignment vertical="center"/>
    </xf>
    <xf numFmtId="165" fontId="18" fillId="2" borderId="3" xfId="1" applyNumberFormat="1" applyFont="1" applyFill="1" applyBorder="1" applyAlignment="1">
      <alignment vertical="center"/>
    </xf>
    <xf numFmtId="165" fontId="17" fillId="0" borderId="3" xfId="1" applyNumberFormat="1" applyBorder="1" applyAlignment="1">
      <alignment vertical="center"/>
    </xf>
    <xf numFmtId="0" fontId="0" fillId="0" borderId="3" xfId="0" applyBorder="1" applyAlignment="1">
      <alignment vertical="center"/>
    </xf>
    <xf numFmtId="165" fontId="18" fillId="2" borderId="3" xfId="0" applyNumberFormat="1" applyFon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19" fillId="2" borderId="3" xfId="1" applyNumberFormat="1" applyFont="1" applyFill="1" applyBorder="1" applyAlignment="1">
      <alignment vertical="center"/>
    </xf>
    <xf numFmtId="165" fontId="20" fillId="0" borderId="3" xfId="1" applyNumberFormat="1" applyFont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165" fontId="19" fillId="2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vertical="center"/>
    </xf>
    <xf numFmtId="0" fontId="20" fillId="0" borderId="0" xfId="0" applyFont="1"/>
    <xf numFmtId="0" fontId="0" fillId="0" borderId="2" xfId="0" applyBorder="1" applyAlignment="1">
      <alignment vertical="center"/>
    </xf>
    <xf numFmtId="165" fontId="19" fillId="2" borderId="1" xfId="1" applyNumberFormat="1" applyFont="1" applyFill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66" fontId="17" fillId="0" borderId="0" xfId="1" applyNumberFormat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0" fontId="2" fillId="0" borderId="4" xfId="0" applyFont="1" applyBorder="1"/>
    <xf numFmtId="0" fontId="0" fillId="0" borderId="4" xfId="0" applyBorder="1"/>
    <xf numFmtId="166" fontId="17" fillId="0" borderId="4" xfId="1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49" fontId="0" fillId="0" borderId="0" xfId="0" applyNumberFormat="1"/>
    <xf numFmtId="166" fontId="17" fillId="0" borderId="0" xfId="1" applyNumberFormat="1"/>
    <xf numFmtId="0" fontId="4" fillId="0" borderId="0" xfId="0" applyFont="1"/>
    <xf numFmtId="166" fontId="2" fillId="0" borderId="0" xfId="1" applyNumberFormat="1" applyFont="1" applyAlignment="1">
      <alignment horizontal="right"/>
    </xf>
    <xf numFmtId="0" fontId="0" fillId="0" borderId="4" xfId="0" applyBorder="1" applyAlignment="1">
      <alignment horizontal="center"/>
    </xf>
    <xf numFmtId="166" fontId="17" fillId="0" borderId="4" xfId="1" applyNumberFormat="1" applyBorder="1"/>
    <xf numFmtId="166" fontId="2" fillId="0" borderId="4" xfId="1" applyNumberFormat="1" applyFont="1" applyBorder="1" applyAlignment="1">
      <alignment horizontal="right"/>
    </xf>
    <xf numFmtId="0" fontId="4" fillId="0" borderId="4" xfId="0" applyFont="1" applyBorder="1"/>
    <xf numFmtId="166" fontId="4" fillId="0" borderId="4" xfId="1" applyNumberFormat="1" applyFont="1" applyBorder="1" applyAlignment="1">
      <alignment horizontal="right"/>
    </xf>
    <xf numFmtId="166" fontId="4" fillId="0" borderId="6" xfId="1" applyNumberFormat="1" applyFont="1" applyBorder="1" applyAlignment="1">
      <alignment horizontal="right"/>
    </xf>
    <xf numFmtId="166" fontId="0" fillId="0" borderId="0" xfId="0" applyNumberFormat="1"/>
    <xf numFmtId="0" fontId="4" fillId="0" borderId="6" xfId="0" applyFont="1" applyBorder="1"/>
    <xf numFmtId="0" fontId="0" fillId="0" borderId="6" xfId="0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2" fillId="0" borderId="0" xfId="1" applyNumberFormat="1" applyFont="1"/>
    <xf numFmtId="166" fontId="4" fillId="0" borderId="4" xfId="0" applyNumberFormat="1" applyFont="1" applyBorder="1"/>
    <xf numFmtId="166" fontId="4" fillId="0" borderId="7" xfId="0" applyNumberFormat="1" applyFont="1" applyBorder="1"/>
    <xf numFmtId="0" fontId="23" fillId="0" borderId="0" xfId="0" applyFont="1"/>
    <xf numFmtId="0" fontId="7" fillId="0" borderId="0" xfId="0" applyFont="1"/>
    <xf numFmtId="0" fontId="23" fillId="0" borderId="6" xfId="0" applyFont="1" applyBorder="1"/>
    <xf numFmtId="4" fontId="4" fillId="0" borderId="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0" fontId="4" fillId="0" borderId="8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3" fillId="0" borderId="6" xfId="0" applyFont="1" applyBorder="1" applyAlignment="1">
      <alignment horizontal="center"/>
    </xf>
    <xf numFmtId="3" fontId="24" fillId="0" borderId="6" xfId="0" applyNumberFormat="1" applyFont="1" applyBorder="1"/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/>
    <xf numFmtId="0" fontId="23" fillId="0" borderId="8" xfId="0" applyFont="1" applyBorder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0" fontId="8" fillId="0" borderId="0" xfId="0" applyFont="1"/>
    <xf numFmtId="14" fontId="24" fillId="0" borderId="8" xfId="0" applyNumberFormat="1" applyFont="1" applyBorder="1"/>
    <xf numFmtId="0" fontId="3" fillId="0" borderId="0" xfId="0" applyFont="1"/>
    <xf numFmtId="0" fontId="3" fillId="0" borderId="6" xfId="0" applyFont="1" applyBorder="1"/>
    <xf numFmtId="3" fontId="3" fillId="0" borderId="6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3" fontId="23" fillId="0" borderId="6" xfId="0" applyNumberFormat="1" applyFont="1" applyBorder="1"/>
    <xf numFmtId="0" fontId="3" fillId="0" borderId="8" xfId="0" applyFont="1" applyBorder="1"/>
    <xf numFmtId="165" fontId="22" fillId="0" borderId="1" xfId="1" applyNumberFormat="1" applyFont="1" applyBorder="1" applyAlignment="1">
      <alignment vertical="center"/>
    </xf>
    <xf numFmtId="165" fontId="22" fillId="0" borderId="3" xfId="1" applyNumberFormat="1" applyFont="1" applyBorder="1" applyAlignment="1">
      <alignment vertical="center"/>
    </xf>
    <xf numFmtId="0" fontId="25" fillId="3" borderId="0" xfId="0" applyFont="1" applyFill="1"/>
    <xf numFmtId="0" fontId="0" fillId="3" borderId="0" xfId="0" applyFill="1"/>
    <xf numFmtId="165" fontId="17" fillId="3" borderId="0" xfId="1" applyNumberFormat="1" applyFill="1"/>
    <xf numFmtId="165" fontId="0" fillId="3" borderId="0" xfId="0" applyNumberFormat="1" applyFill="1"/>
    <xf numFmtId="167" fontId="17" fillId="0" borderId="0" xfId="2" applyNumberFormat="1"/>
    <xf numFmtId="0" fontId="0" fillId="4" borderId="0" xfId="0" applyFill="1"/>
    <xf numFmtId="0" fontId="26" fillId="0" borderId="6" xfId="0" applyFont="1" applyBorder="1"/>
    <xf numFmtId="3" fontId="26" fillId="0" borderId="8" xfId="0" applyNumberFormat="1" applyFont="1" applyBorder="1"/>
    <xf numFmtId="3" fontId="23" fillId="0" borderId="8" xfId="0" applyNumberFormat="1" applyFont="1" applyBorder="1"/>
    <xf numFmtId="3" fontId="0" fillId="0" borderId="6" xfId="0" applyNumberFormat="1" applyBorder="1"/>
    <xf numFmtId="3" fontId="26" fillId="0" borderId="6" xfId="0" applyNumberFormat="1" applyFont="1" applyBorder="1"/>
    <xf numFmtId="3" fontId="20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27" fillId="0" borderId="11" xfId="0" applyFont="1" applyBorder="1"/>
    <xf numFmtId="0" fontId="2" fillId="0" borderId="12" xfId="0" applyFont="1" applyBorder="1"/>
    <xf numFmtId="3" fontId="4" fillId="0" borderId="13" xfId="0" applyNumberFormat="1" applyFont="1" applyBorder="1"/>
    <xf numFmtId="3" fontId="13" fillId="0" borderId="13" xfId="0" applyNumberFormat="1" applyFont="1" applyBorder="1"/>
    <xf numFmtId="3" fontId="28" fillId="0" borderId="13" xfId="0" applyNumberFormat="1" applyFont="1" applyBorder="1"/>
    <xf numFmtId="3" fontId="4" fillId="0" borderId="14" xfId="0" applyNumberFormat="1" applyFont="1" applyBorder="1"/>
    <xf numFmtId="3" fontId="2" fillId="0" borderId="14" xfId="0" applyNumberFormat="1" applyFont="1" applyBorder="1"/>
    <xf numFmtId="3" fontId="28" fillId="0" borderId="14" xfId="0" applyNumberFormat="1" applyFont="1" applyBorder="1"/>
    <xf numFmtId="3" fontId="23" fillId="0" borderId="14" xfId="0" applyNumberFormat="1" applyFont="1" applyBorder="1"/>
    <xf numFmtId="0" fontId="0" fillId="0" borderId="14" xfId="0" applyBorder="1"/>
    <xf numFmtId="3" fontId="4" fillId="0" borderId="15" xfId="0" applyNumberFormat="1" applyFont="1" applyBorder="1"/>
    <xf numFmtId="3" fontId="2" fillId="0" borderId="15" xfId="0" applyNumberFormat="1" applyFont="1" applyBorder="1"/>
    <xf numFmtId="3" fontId="23" fillId="0" borderId="15" xfId="0" applyNumberFormat="1" applyFont="1" applyBorder="1"/>
    <xf numFmtId="0" fontId="4" fillId="0" borderId="16" xfId="0" applyFont="1" applyBorder="1"/>
    <xf numFmtId="3" fontId="27" fillId="0" borderId="11" xfId="0" applyNumberFormat="1" applyFont="1" applyBorder="1"/>
    <xf numFmtId="3" fontId="4" fillId="0" borderId="17" xfId="0" applyNumberFormat="1" applyFont="1" applyBorder="1"/>
    <xf numFmtId="3" fontId="4" fillId="0" borderId="11" xfId="0" applyNumberFormat="1" applyFont="1" applyBorder="1"/>
    <xf numFmtId="0" fontId="4" fillId="0" borderId="12" xfId="0" applyFont="1" applyBorder="1"/>
    <xf numFmtId="0" fontId="4" fillId="0" borderId="18" xfId="0" applyFont="1" applyBorder="1"/>
    <xf numFmtId="0" fontId="27" fillId="0" borderId="11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3" fillId="0" borderId="14" xfId="0" applyNumberFormat="1" applyFont="1" applyBorder="1"/>
    <xf numFmtId="0" fontId="2" fillId="0" borderId="16" xfId="0" applyFont="1" applyBorder="1"/>
    <xf numFmtId="0" fontId="1" fillId="0" borderId="8" xfId="0" applyFont="1" applyBorder="1"/>
    <xf numFmtId="14" fontId="1" fillId="0" borderId="8" xfId="0" applyNumberFormat="1" applyFont="1" applyBorder="1"/>
    <xf numFmtId="14" fontId="3" fillId="0" borderId="8" xfId="0" applyNumberFormat="1" applyFont="1" applyBorder="1"/>
    <xf numFmtId="16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4" fontId="1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left"/>
    </xf>
    <xf numFmtId="3" fontId="29" fillId="0" borderId="8" xfId="0" applyNumberFormat="1" applyFont="1" applyBorder="1"/>
    <xf numFmtId="49" fontId="0" fillId="0" borderId="4" xfId="0" applyNumberFormat="1" applyBorder="1"/>
    <xf numFmtId="49" fontId="4" fillId="0" borderId="4" xfId="0" applyNumberFormat="1" applyFont="1" applyBorder="1" applyAlignment="1">
      <alignment horizontal="left"/>
    </xf>
    <xf numFmtId="166" fontId="17" fillId="0" borderId="0" xfId="1" applyNumberFormat="1" applyAlignment="1">
      <alignment horizontal="center"/>
    </xf>
    <xf numFmtId="166" fontId="17" fillId="0" borderId="4" xfId="1" applyNumberFormat="1" applyBorder="1" applyAlignment="1">
      <alignment horizontal="center"/>
    </xf>
    <xf numFmtId="166" fontId="4" fillId="0" borderId="4" xfId="1" applyNumberFormat="1" applyFont="1" applyBorder="1"/>
    <xf numFmtId="166" fontId="4" fillId="0" borderId="6" xfId="1" applyNumberFormat="1" applyFont="1" applyBorder="1"/>
    <xf numFmtId="166" fontId="4" fillId="0" borderId="0" xfId="1" applyNumberFormat="1" applyFont="1"/>
    <xf numFmtId="166" fontId="15" fillId="0" borderId="0" xfId="1" applyNumberFormat="1" applyFont="1"/>
    <xf numFmtId="0" fontId="4" fillId="0" borderId="5" xfId="0" applyFont="1" applyBorder="1" applyAlignment="1">
      <alignment horizontal="left"/>
    </xf>
    <xf numFmtId="166" fontId="4" fillId="0" borderId="7" xfId="1" applyNumberFormat="1" applyFont="1" applyBorder="1" applyAlignment="1">
      <alignment horizontal="center"/>
    </xf>
    <xf numFmtId="166" fontId="4" fillId="0" borderId="7" xfId="1" applyNumberFormat="1" applyFont="1" applyBorder="1"/>
    <xf numFmtId="165" fontId="18" fillId="2" borderId="1" xfId="1" applyNumberFormat="1" applyFont="1" applyFill="1" applyBorder="1" applyAlignment="1">
      <alignment horizontal="left" vertical="center" indent="1"/>
    </xf>
    <xf numFmtId="0" fontId="25" fillId="0" borderId="0" xfId="0" applyFont="1"/>
    <xf numFmtId="0" fontId="3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31" fillId="2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right"/>
    </xf>
    <xf numFmtId="14" fontId="3" fillId="0" borderId="0" xfId="0" applyNumberFormat="1" applyFont="1"/>
    <xf numFmtId="166" fontId="17" fillId="5" borderId="0" xfId="1" applyNumberFormat="1" applyFill="1" applyAlignment="1">
      <alignment horizontal="right"/>
    </xf>
    <xf numFmtId="3" fontId="2" fillId="0" borderId="13" xfId="0" applyNumberFormat="1" applyFont="1" applyBorder="1"/>
    <xf numFmtId="4" fontId="23" fillId="0" borderId="0" xfId="0" applyNumberFormat="1" applyFont="1"/>
    <xf numFmtId="165" fontId="22" fillId="0" borderId="1" xfId="0" applyNumberFormat="1" applyFont="1" applyBorder="1" applyAlignment="1">
      <alignment vertical="center"/>
    </xf>
    <xf numFmtId="165" fontId="22" fillId="0" borderId="1" xfId="1" applyNumberFormat="1" applyFont="1" applyBorder="1"/>
    <xf numFmtId="165" fontId="21" fillId="0" borderId="1" xfId="0" applyNumberFormat="1" applyFont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165" fontId="22" fillId="2" borderId="1" xfId="0" applyNumberFormat="1" applyFont="1" applyFill="1" applyBorder="1" applyAlignment="1">
      <alignment vertical="center"/>
    </xf>
    <xf numFmtId="165" fontId="22" fillId="0" borderId="3" xfId="0" applyNumberFormat="1" applyFont="1" applyBorder="1" applyAlignment="1">
      <alignment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Sandnes">
      <a:dk1>
        <a:sysClr val="windowText" lastClr="000000"/>
      </a:dk1>
      <a:lt1>
        <a:sysClr val="window" lastClr="FFFFFF"/>
      </a:lt1>
      <a:dk2>
        <a:srgbClr val="0061AA"/>
      </a:dk2>
      <a:lt2>
        <a:srgbClr val="7D7D6D"/>
      </a:lt2>
      <a:accent1>
        <a:srgbClr val="0061AA"/>
      </a:accent1>
      <a:accent2>
        <a:srgbClr val="678EC7"/>
      </a:accent2>
      <a:accent3>
        <a:srgbClr val="ACC0E0"/>
      </a:accent3>
      <a:accent4>
        <a:srgbClr val="E0E7F5"/>
      </a:accent4>
      <a:accent5>
        <a:srgbClr val="4B79BD"/>
      </a:accent5>
      <a:accent6>
        <a:srgbClr val="7D7D6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8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N29" sqref="AN29"/>
    </sheetView>
  </sheetViews>
  <sheetFormatPr baseColWidth="10" defaultRowHeight="15" x14ac:dyDescent="0.25"/>
  <cols>
    <col min="1" max="1" width="48.42578125" customWidth="1"/>
    <col min="2" max="2" width="14.85546875" hidden="1" customWidth="1"/>
    <col min="3" max="3" width="13.28515625" hidden="1" customWidth="1"/>
    <col min="4" max="4" width="14.85546875" hidden="1" customWidth="1"/>
    <col min="5" max="5" width="12.7109375" hidden="1" customWidth="1"/>
    <col min="6" max="6" width="14.28515625" hidden="1" customWidth="1"/>
    <col min="7" max="7" width="13.28515625" hidden="1" customWidth="1"/>
    <col min="8" max="8" width="15.140625" hidden="1" customWidth="1"/>
    <col min="9" max="9" width="13.28515625" hidden="1" customWidth="1"/>
    <col min="10" max="10" width="14.7109375" hidden="1" customWidth="1"/>
    <col min="11" max="11" width="16.42578125" hidden="1" customWidth="1"/>
    <col min="12" max="12" width="14.140625" hidden="1" customWidth="1"/>
    <col min="13" max="13" width="13.28515625" hidden="1" customWidth="1"/>
    <col min="14" max="14" width="14.7109375" hidden="1" customWidth="1"/>
    <col min="15" max="15" width="11.5703125" hidden="1" customWidth="1"/>
    <col min="16" max="16" width="45.42578125" hidden="1" customWidth="1"/>
    <col min="17" max="17" width="13.28515625" customWidth="1"/>
    <col min="18" max="18" width="21" customWidth="1"/>
    <col min="19" max="19" width="13.42578125" customWidth="1"/>
    <col min="20" max="20" width="14.140625" customWidth="1"/>
    <col min="21" max="21" width="16.85546875" customWidth="1"/>
    <col min="22" max="22" width="13.28515625" customWidth="1"/>
    <col min="23" max="23" width="15.85546875" customWidth="1"/>
    <col min="24" max="24" width="13.5703125" customWidth="1"/>
    <col min="26" max="26" width="12.42578125" bestFit="1" customWidth="1"/>
  </cols>
  <sheetData>
    <row r="1" spans="1:24" ht="21" x14ac:dyDescent="0.35">
      <c r="A1" s="173" t="s">
        <v>0</v>
      </c>
      <c r="Q1" s="1"/>
      <c r="R1" s="1"/>
      <c r="S1" s="1"/>
      <c r="T1" s="1"/>
      <c r="U1" s="1"/>
      <c r="V1" s="1"/>
      <c r="W1" s="1"/>
      <c r="X1" s="1"/>
    </row>
    <row r="2" spans="1:24" ht="21" x14ac:dyDescent="0.3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114"/>
      <c r="S2" s="114"/>
      <c r="T2" s="114"/>
      <c r="U2" s="114"/>
      <c r="V2" s="114"/>
      <c r="W2" s="114"/>
      <c r="X2" s="114" t="s">
        <v>248</v>
      </c>
    </row>
    <row r="3" spans="1:24" ht="45" x14ac:dyDescent="0.25">
      <c r="A3" s="2" t="s">
        <v>1</v>
      </c>
      <c r="B3" s="3" t="s">
        <v>2</v>
      </c>
      <c r="C3" s="3" t="s">
        <v>3</v>
      </c>
      <c r="D3" s="175" t="s">
        <v>4</v>
      </c>
      <c r="E3" s="3" t="s">
        <v>5</v>
      </c>
      <c r="F3" s="175" t="s">
        <v>6</v>
      </c>
      <c r="G3" s="3" t="s">
        <v>7</v>
      </c>
      <c r="H3" s="175" t="s">
        <v>8</v>
      </c>
      <c r="I3" s="3" t="s">
        <v>14</v>
      </c>
      <c r="J3" s="175" t="s">
        <v>9</v>
      </c>
      <c r="K3" s="3" t="s">
        <v>10</v>
      </c>
      <c r="L3" s="175" t="s">
        <v>11</v>
      </c>
      <c r="M3" s="3" t="s">
        <v>12</v>
      </c>
      <c r="N3" s="175" t="s">
        <v>13</v>
      </c>
      <c r="P3" s="2" t="s">
        <v>1</v>
      </c>
      <c r="Q3" s="4" t="s">
        <v>3</v>
      </c>
      <c r="R3" s="4" t="s">
        <v>5</v>
      </c>
      <c r="S3" s="4" t="s">
        <v>7</v>
      </c>
      <c r="T3" s="4" t="s">
        <v>14</v>
      </c>
      <c r="U3" s="4" t="s">
        <v>10</v>
      </c>
      <c r="V3" s="4" t="s">
        <v>12</v>
      </c>
      <c r="W3" s="176" t="s">
        <v>15</v>
      </c>
      <c r="X3" s="4" t="s">
        <v>16</v>
      </c>
    </row>
    <row r="4" spans="1:24" x14ac:dyDescent="0.25">
      <c r="A4" s="2"/>
      <c r="B4" s="3"/>
      <c r="C4" s="3"/>
      <c r="D4" s="174"/>
      <c r="E4" s="3"/>
      <c r="F4" s="174"/>
      <c r="G4" s="3"/>
      <c r="H4" s="174"/>
      <c r="I4" s="3"/>
      <c r="J4" s="174"/>
      <c r="K4" s="3"/>
      <c r="L4" s="174"/>
      <c r="M4" s="3"/>
      <c r="N4" s="174"/>
      <c r="P4" s="2"/>
      <c r="Q4" s="4"/>
      <c r="R4" s="4"/>
      <c r="S4" s="4"/>
      <c r="T4" s="4"/>
      <c r="U4" s="4"/>
      <c r="V4" s="4"/>
      <c r="W4" s="177" t="s">
        <v>259</v>
      </c>
      <c r="X4" s="177" t="s">
        <v>260</v>
      </c>
    </row>
    <row r="5" spans="1:24" x14ac:dyDescent="0.25">
      <c r="A5" s="5" t="s">
        <v>17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5" t="s">
        <v>17</v>
      </c>
      <c r="Q5" s="9"/>
      <c r="R5" s="10"/>
      <c r="S5" s="10"/>
      <c r="T5" s="10"/>
      <c r="U5" s="10"/>
      <c r="V5" s="10"/>
      <c r="W5" s="10"/>
      <c r="X5" s="9"/>
    </row>
    <row r="6" spans="1:24" x14ac:dyDescent="0.25">
      <c r="A6" s="6" t="s">
        <v>19</v>
      </c>
      <c r="B6" s="6"/>
      <c r="C6" s="11">
        <f>'Sandnes bykasse'!B4/1000</f>
        <v>204308.42183000001</v>
      </c>
      <c r="D6" s="12"/>
      <c r="E6" s="12">
        <f>'Sandnes eiendomsselskap KF'!B4/1000</f>
        <v>0</v>
      </c>
      <c r="F6" s="12"/>
      <c r="G6" s="12">
        <f>'Sandnes parkering KF'!B4/1000</f>
        <v>20.423999999999999</v>
      </c>
      <c r="H6" s="12"/>
      <c r="I6" s="12">
        <f>'Sandnes kunst- og kulturhus KF'!B4/1000</f>
        <v>0</v>
      </c>
      <c r="J6" s="12"/>
      <c r="K6" s="12"/>
      <c r="L6" s="12"/>
      <c r="M6" s="12"/>
      <c r="N6" s="12"/>
      <c r="O6" s="8"/>
      <c r="P6" s="6" t="s">
        <v>19</v>
      </c>
      <c r="Q6" s="9">
        <f>C6</f>
        <v>204308.42183000001</v>
      </c>
      <c r="R6" s="10">
        <f>E6</f>
        <v>0</v>
      </c>
      <c r="S6" s="10">
        <f t="shared" ref="S6:S14" si="0">G6</f>
        <v>20.423999999999999</v>
      </c>
      <c r="T6" s="10">
        <f>I6</f>
        <v>0</v>
      </c>
      <c r="U6" s="10">
        <f>J6</f>
        <v>0</v>
      </c>
      <c r="V6" s="10">
        <f t="shared" ref="V6:V14" si="1">M6</f>
        <v>0</v>
      </c>
      <c r="W6" s="10">
        <f>D6+F6+H6+J6+L6+N6</f>
        <v>0</v>
      </c>
      <c r="X6" s="9">
        <f t="shared" ref="X6:X37" si="2">SUM(Q6:V6)-W6</f>
        <v>204328.84583000001</v>
      </c>
    </row>
    <row r="7" spans="1:24" x14ac:dyDescent="0.25">
      <c r="A7" s="6" t="s">
        <v>22</v>
      </c>
      <c r="B7" s="6"/>
      <c r="C7" s="11">
        <f>'Sandnes bykasse'!B5/1000</f>
        <v>444990.21636999998</v>
      </c>
      <c r="D7" s="12"/>
      <c r="E7" s="12">
        <f>'Sandnes eiendomsselskap KF'!B5/1000</f>
        <v>32453.603289999999</v>
      </c>
      <c r="F7" s="12"/>
      <c r="G7" s="12">
        <f>'Sandnes parkering KF'!B5/1000</f>
        <v>18050.167289999998</v>
      </c>
      <c r="H7" s="12"/>
      <c r="I7" s="12">
        <f>'Sandnes kunst- og kulturhus KF'!B5/1000</f>
        <v>14613.863949999999</v>
      </c>
      <c r="J7" s="12"/>
      <c r="K7" s="12">
        <f>'Sandnes tomteselskap KF'!D12/1000</f>
        <v>4465.2790000000005</v>
      </c>
      <c r="L7" s="12"/>
      <c r="M7" s="12">
        <f>'Sandnes havn KF'!C7/1000</f>
        <v>17916.431</v>
      </c>
      <c r="N7" s="12"/>
      <c r="O7" s="8"/>
      <c r="P7" s="6" t="s">
        <v>22</v>
      </c>
      <c r="Q7" s="9">
        <f t="shared" ref="Q7:Q14" si="3">C7</f>
        <v>444990.21636999998</v>
      </c>
      <c r="R7" s="10">
        <f>E7</f>
        <v>32453.603289999999</v>
      </c>
      <c r="S7" s="10">
        <f>G7</f>
        <v>18050.167289999998</v>
      </c>
      <c r="T7" s="10">
        <f t="shared" ref="T7:T14" si="4">I7</f>
        <v>14613.863949999999</v>
      </c>
      <c r="U7" s="10">
        <f t="shared" ref="U7:U14" si="5">K7</f>
        <v>4465.2790000000005</v>
      </c>
      <c r="V7" s="10">
        <f t="shared" si="1"/>
        <v>17916.431</v>
      </c>
      <c r="W7" s="10">
        <f t="shared" ref="W7:W14" si="6">D7+F7+H7+J7+L7+N7</f>
        <v>0</v>
      </c>
      <c r="X7" s="9">
        <f t="shared" si="2"/>
        <v>532489.56089999992</v>
      </c>
    </row>
    <row r="8" spans="1:24" x14ac:dyDescent="0.25">
      <c r="A8" s="6" t="s">
        <v>23</v>
      </c>
      <c r="B8" s="6">
        <v>780</v>
      </c>
      <c r="C8" s="11">
        <f>'Sandnes bykasse'!B6/1000</f>
        <v>803893.16859999998</v>
      </c>
      <c r="D8" s="184">
        <f>421+416+81078+8560</f>
        <v>90475</v>
      </c>
      <c r="E8" s="184">
        <f>'Sandnes eiendomsselskap KF'!B6/1000</f>
        <v>487918.42677999998</v>
      </c>
      <c r="F8" s="184">
        <f>457811</f>
        <v>457811</v>
      </c>
      <c r="G8" s="184">
        <f>'Sandnes parkering KF'!B6/1000</f>
        <v>1235.8345800000002</v>
      </c>
      <c r="H8" s="184"/>
      <c r="I8" s="184">
        <f>'Sandnes kunst- og kulturhus KF'!B6/1000</f>
        <v>2183.60133</v>
      </c>
      <c r="J8" s="184"/>
      <c r="K8" s="184"/>
      <c r="L8" s="184"/>
      <c r="M8" s="12"/>
      <c r="N8" s="12"/>
      <c r="O8" s="8"/>
      <c r="P8" s="6" t="s">
        <v>23</v>
      </c>
      <c r="Q8" s="9">
        <f t="shared" si="3"/>
        <v>803893.16859999998</v>
      </c>
      <c r="R8" s="10">
        <f t="shared" ref="R8:R14" si="7">E8</f>
        <v>487918.42677999998</v>
      </c>
      <c r="S8" s="10">
        <f t="shared" si="0"/>
        <v>1235.8345800000002</v>
      </c>
      <c r="T8" s="10">
        <f t="shared" si="4"/>
        <v>2183.60133</v>
      </c>
      <c r="U8" s="10">
        <f t="shared" si="5"/>
        <v>0</v>
      </c>
      <c r="V8" s="10">
        <f t="shared" si="1"/>
        <v>0</v>
      </c>
      <c r="W8" s="10">
        <f>D8+F8+H8+J8+L8+N8</f>
        <v>548286</v>
      </c>
      <c r="X8" s="9">
        <f t="shared" si="2"/>
        <v>746945.03128999984</v>
      </c>
    </row>
    <row r="9" spans="1:24" x14ac:dyDescent="0.25">
      <c r="A9" s="6" t="s">
        <v>24</v>
      </c>
      <c r="B9" s="6"/>
      <c r="C9" s="11">
        <f>'Sandnes bykasse'!B7/1000</f>
        <v>1712826.966</v>
      </c>
      <c r="D9" s="184"/>
      <c r="E9" s="184">
        <f>'Sandnes eiendomsselskap KF'!B7/1000</f>
        <v>0</v>
      </c>
      <c r="F9" s="184"/>
      <c r="G9" s="184">
        <f>'Sandnes parkering KF'!B7/1000</f>
        <v>0</v>
      </c>
      <c r="H9" s="184"/>
      <c r="I9" s="184">
        <f>'Sandnes kunst- og kulturhus KF'!B7/1000</f>
        <v>0</v>
      </c>
      <c r="J9" s="184"/>
      <c r="K9" s="184"/>
      <c r="L9" s="184"/>
      <c r="M9" s="12"/>
      <c r="N9" s="12"/>
      <c r="O9" s="8"/>
      <c r="P9" s="6" t="s">
        <v>24</v>
      </c>
      <c r="Q9" s="9">
        <f t="shared" si="3"/>
        <v>1712826.966</v>
      </c>
      <c r="R9" s="10">
        <f t="shared" si="7"/>
        <v>0</v>
      </c>
      <c r="S9" s="10">
        <f t="shared" si="0"/>
        <v>0</v>
      </c>
      <c r="T9" s="10">
        <f t="shared" si="4"/>
        <v>0</v>
      </c>
      <c r="U9" s="10">
        <f t="shared" si="5"/>
        <v>0</v>
      </c>
      <c r="V9" s="10">
        <f t="shared" si="1"/>
        <v>0</v>
      </c>
      <c r="W9" s="10">
        <f t="shared" si="6"/>
        <v>0</v>
      </c>
      <c r="X9" s="9">
        <f t="shared" si="2"/>
        <v>1712826.966</v>
      </c>
    </row>
    <row r="10" spans="1:24" x14ac:dyDescent="0.25">
      <c r="A10" s="6" t="s">
        <v>25</v>
      </c>
      <c r="B10" s="6"/>
      <c r="C10" s="11">
        <f>'Sandnes bykasse'!B8/1000</f>
        <v>197459.89928000001</v>
      </c>
      <c r="D10" s="184"/>
      <c r="E10" s="184">
        <f>'Sandnes eiendomsselskap KF'!B8/1000</f>
        <v>0</v>
      </c>
      <c r="F10" s="184"/>
      <c r="G10" s="184">
        <f>'Sandnes parkering KF'!B8/1000</f>
        <v>0</v>
      </c>
      <c r="H10" s="184"/>
      <c r="I10" s="184">
        <f>'Sandnes kunst- og kulturhus KF'!B8/1000</f>
        <v>1482.5</v>
      </c>
      <c r="J10" s="184"/>
      <c r="K10" s="184"/>
      <c r="L10" s="184"/>
      <c r="M10" s="12"/>
      <c r="N10" s="12"/>
      <c r="O10" s="8"/>
      <c r="P10" s="6" t="s">
        <v>25</v>
      </c>
      <c r="Q10" s="9">
        <f t="shared" si="3"/>
        <v>197459.89928000001</v>
      </c>
      <c r="R10" s="10">
        <f t="shared" si="7"/>
        <v>0</v>
      </c>
      <c r="S10" s="10">
        <f t="shared" si="0"/>
        <v>0</v>
      </c>
      <c r="T10" s="10">
        <f t="shared" si="4"/>
        <v>1482.5</v>
      </c>
      <c r="U10" s="10">
        <f t="shared" si="5"/>
        <v>0</v>
      </c>
      <c r="V10" s="10">
        <f t="shared" si="1"/>
        <v>0</v>
      </c>
      <c r="W10" s="10">
        <f t="shared" si="6"/>
        <v>0</v>
      </c>
      <c r="X10" s="9">
        <f t="shared" si="2"/>
        <v>198942.39928000001</v>
      </c>
    </row>
    <row r="11" spans="1:24" x14ac:dyDescent="0.25">
      <c r="A11" s="6" t="s">
        <v>26</v>
      </c>
      <c r="B11" s="6">
        <v>880</v>
      </c>
      <c r="C11" s="11">
        <f>'Sandnes bykasse'!B9/1000</f>
        <v>23265.70896</v>
      </c>
      <c r="D11" s="184">
        <f>2832+5280</f>
        <v>8112</v>
      </c>
      <c r="E11" s="184">
        <f>'Sandnes eiendomsselskap KF'!B9/1000</f>
        <v>0</v>
      </c>
      <c r="F11" s="184"/>
      <c r="G11" s="184">
        <f>'Sandnes parkering KF'!B9/1000</f>
        <v>0</v>
      </c>
      <c r="H11" s="184"/>
      <c r="I11" s="184">
        <f>'Sandnes kunst- og kulturhus KF'!B9/1000</f>
        <v>18425.011999999999</v>
      </c>
      <c r="J11" s="184">
        <v>17287</v>
      </c>
      <c r="K11" s="184"/>
      <c r="L11" s="184"/>
      <c r="M11" s="12"/>
      <c r="N11" s="12"/>
      <c r="O11" s="8"/>
      <c r="P11" s="6" t="s">
        <v>26</v>
      </c>
      <c r="Q11" s="9">
        <f t="shared" si="3"/>
        <v>23265.70896</v>
      </c>
      <c r="R11" s="10">
        <f t="shared" si="7"/>
        <v>0</v>
      </c>
      <c r="S11" s="10">
        <f t="shared" si="0"/>
        <v>0</v>
      </c>
      <c r="T11" s="10">
        <f t="shared" si="4"/>
        <v>18425.011999999999</v>
      </c>
      <c r="U11" s="10">
        <f t="shared" si="5"/>
        <v>0</v>
      </c>
      <c r="V11" s="10">
        <f t="shared" si="1"/>
        <v>0</v>
      </c>
      <c r="W11" s="10">
        <f t="shared" si="6"/>
        <v>25399</v>
      </c>
      <c r="X11" s="9">
        <f t="shared" si="2"/>
        <v>16291.720959999999</v>
      </c>
    </row>
    <row r="12" spans="1:24" x14ac:dyDescent="0.25">
      <c r="A12" s="6" t="s">
        <v>27</v>
      </c>
      <c r="B12" s="6"/>
      <c r="C12" s="11">
        <f>'Sandnes bykasse'!B10/1000</f>
        <v>2335661.1113299998</v>
      </c>
      <c r="D12" s="184"/>
      <c r="E12" s="184">
        <f>'Sandnes eiendomsselskap KF'!B10/1000</f>
        <v>0</v>
      </c>
      <c r="F12" s="184"/>
      <c r="G12" s="184">
        <f>'Sandnes parkering KF'!B10/1000</f>
        <v>0</v>
      </c>
      <c r="H12" s="184"/>
      <c r="I12" s="184">
        <f>'Sandnes kunst- og kulturhus KF'!B10/1000</f>
        <v>0</v>
      </c>
      <c r="J12" s="184"/>
      <c r="K12" s="184"/>
      <c r="L12" s="184"/>
      <c r="M12" s="12"/>
      <c r="N12" s="12"/>
      <c r="O12" s="8"/>
      <c r="P12" s="6" t="s">
        <v>27</v>
      </c>
      <c r="Q12" s="9">
        <f t="shared" si="3"/>
        <v>2335661.1113299998</v>
      </c>
      <c r="R12" s="10">
        <f t="shared" si="7"/>
        <v>0</v>
      </c>
      <c r="S12" s="10">
        <f t="shared" si="0"/>
        <v>0</v>
      </c>
      <c r="T12" s="10">
        <f t="shared" si="4"/>
        <v>0</v>
      </c>
      <c r="U12" s="10">
        <f t="shared" si="5"/>
        <v>0</v>
      </c>
      <c r="V12" s="10">
        <f t="shared" si="1"/>
        <v>0</v>
      </c>
      <c r="W12" s="10">
        <f t="shared" si="6"/>
        <v>0</v>
      </c>
      <c r="X12" s="9">
        <f t="shared" si="2"/>
        <v>2335661.1113299998</v>
      </c>
    </row>
    <row r="13" spans="1:24" x14ac:dyDescent="0.25">
      <c r="A13" s="6" t="s">
        <v>28</v>
      </c>
      <c r="B13" s="6"/>
      <c r="C13" s="11">
        <f>'Sandnes bykasse'!B11/1000</f>
        <v>0</v>
      </c>
      <c r="D13" s="12"/>
      <c r="E13" s="12">
        <f>'Sandnes eiendomsselskap KF'!B11/1000</f>
        <v>0</v>
      </c>
      <c r="F13" s="12"/>
      <c r="G13" s="12">
        <f>'Sandnes parkering KF'!B11/1000</f>
        <v>0</v>
      </c>
      <c r="H13" s="12"/>
      <c r="I13" s="12">
        <f>'Sandnes kunst- og kulturhus KF'!B11/1000</f>
        <v>0</v>
      </c>
      <c r="J13" s="12"/>
      <c r="K13" s="12"/>
      <c r="L13" s="12"/>
      <c r="M13" s="12"/>
      <c r="N13" s="12"/>
      <c r="O13" s="8"/>
      <c r="P13" s="6" t="s">
        <v>28</v>
      </c>
      <c r="Q13" s="9">
        <f t="shared" si="3"/>
        <v>0</v>
      </c>
      <c r="R13" s="10">
        <f t="shared" si="7"/>
        <v>0</v>
      </c>
      <c r="S13" s="10">
        <f t="shared" si="0"/>
        <v>0</v>
      </c>
      <c r="T13" s="10">
        <f t="shared" si="4"/>
        <v>0</v>
      </c>
      <c r="U13" s="10">
        <f t="shared" si="5"/>
        <v>0</v>
      </c>
      <c r="V13" s="10">
        <f t="shared" si="1"/>
        <v>0</v>
      </c>
      <c r="W13" s="10">
        <f t="shared" si="6"/>
        <v>0</v>
      </c>
      <c r="X13" s="9">
        <f t="shared" si="2"/>
        <v>0</v>
      </c>
    </row>
    <row r="14" spans="1:24" x14ac:dyDescent="0.25">
      <c r="A14" s="6" t="s">
        <v>29</v>
      </c>
      <c r="B14" s="6"/>
      <c r="C14" s="11">
        <f>'Sandnes bykasse'!B12/1000</f>
        <v>0</v>
      </c>
      <c r="D14" s="12"/>
      <c r="E14" s="12">
        <f>'Sandnes eiendomsselskap KF'!B12/1000</f>
        <v>0</v>
      </c>
      <c r="F14" s="12"/>
      <c r="G14" s="12">
        <f>'Sandnes parkering KF'!B12/1000</f>
        <v>0</v>
      </c>
      <c r="H14" s="12"/>
      <c r="I14" s="12">
        <f>'Sandnes kunst- og kulturhus KF'!B12/1000</f>
        <v>0</v>
      </c>
      <c r="J14" s="12"/>
      <c r="K14" s="12"/>
      <c r="L14" s="12"/>
      <c r="M14" s="12"/>
      <c r="N14" s="12"/>
      <c r="O14" s="8"/>
      <c r="P14" s="6" t="s">
        <v>29</v>
      </c>
      <c r="Q14" s="9">
        <f t="shared" si="3"/>
        <v>0</v>
      </c>
      <c r="R14" s="10">
        <f t="shared" si="7"/>
        <v>0</v>
      </c>
      <c r="S14" s="10">
        <f t="shared" si="0"/>
        <v>0</v>
      </c>
      <c r="T14" s="10">
        <f t="shared" si="4"/>
        <v>0</v>
      </c>
      <c r="U14" s="10">
        <f t="shared" si="5"/>
        <v>0</v>
      </c>
      <c r="V14" s="10">
        <f t="shared" si="1"/>
        <v>0</v>
      </c>
      <c r="W14" s="10">
        <f t="shared" si="6"/>
        <v>0</v>
      </c>
      <c r="X14" s="9">
        <f t="shared" si="2"/>
        <v>0</v>
      </c>
    </row>
    <row r="15" spans="1:24" ht="15.75" thickBot="1" x14ac:dyDescent="0.3">
      <c r="A15" s="13" t="s">
        <v>30</v>
      </c>
      <c r="B15" s="14"/>
      <c r="C15" s="11">
        <f>SUM(C6:C14)</f>
        <v>5722405.4923700001</v>
      </c>
      <c r="D15" s="11">
        <f>SUM(D6:D14)</f>
        <v>98587</v>
      </c>
      <c r="E15" s="11">
        <f t="shared" ref="E15:N15" si="8">SUM(E6:E14)</f>
        <v>520372.03006999998</v>
      </c>
      <c r="F15" s="11">
        <f>SUM(F6:F14)</f>
        <v>457811</v>
      </c>
      <c r="G15" s="11">
        <f>SUM(G6:G14)</f>
        <v>19306.425869999995</v>
      </c>
      <c r="H15" s="11"/>
      <c r="I15" s="11">
        <f>SUM(I6:I14)</f>
        <v>36704.977279999999</v>
      </c>
      <c r="J15" s="11"/>
      <c r="K15" s="11">
        <f t="shared" si="8"/>
        <v>4465.2790000000005</v>
      </c>
      <c r="L15" s="11">
        <f t="shared" si="8"/>
        <v>0</v>
      </c>
      <c r="M15" s="11">
        <f t="shared" si="8"/>
        <v>17916.431</v>
      </c>
      <c r="N15" s="11">
        <f t="shared" si="8"/>
        <v>0</v>
      </c>
      <c r="O15" s="8"/>
      <c r="P15" s="13" t="s">
        <v>30</v>
      </c>
      <c r="Q15" s="15">
        <f t="shared" ref="Q15:V15" si="9">SUM(Q6:Q14)</f>
        <v>5722405.4923700001</v>
      </c>
      <c r="R15" s="16">
        <f t="shared" si="9"/>
        <v>520372.03006999998</v>
      </c>
      <c r="S15" s="16">
        <f t="shared" si="9"/>
        <v>19306.425869999995</v>
      </c>
      <c r="T15" s="16">
        <f t="shared" si="9"/>
        <v>36704.977279999999</v>
      </c>
      <c r="U15" s="16">
        <f t="shared" si="9"/>
        <v>4465.2790000000005</v>
      </c>
      <c r="V15" s="16">
        <f t="shared" si="9"/>
        <v>17916.431</v>
      </c>
      <c r="W15" s="16">
        <f>SUM(W6:W14)</f>
        <v>573685</v>
      </c>
      <c r="X15" s="9">
        <f>SUM(Q15:V15)-W15</f>
        <v>5747485.635590001</v>
      </c>
    </row>
    <row r="16" spans="1:24" x14ac:dyDescent="0.25">
      <c r="A16" s="17"/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8"/>
      <c r="P16" s="17"/>
      <c r="Q16" s="20">
        <f t="shared" ref="Q16:Q24" si="10">C16</f>
        <v>0</v>
      </c>
      <c r="R16" s="21">
        <f t="shared" ref="R16:R24" si="11">E16</f>
        <v>0</v>
      </c>
      <c r="S16" s="21">
        <f t="shared" ref="S16:S24" si="12">G16</f>
        <v>0</v>
      </c>
      <c r="T16" s="21">
        <f t="shared" ref="T16:T24" si="13">I16</f>
        <v>0</v>
      </c>
      <c r="U16" s="21">
        <f>B16-C16</f>
        <v>0</v>
      </c>
      <c r="V16" s="21">
        <f t="shared" ref="V16:V24" si="14">M16</f>
        <v>0</v>
      </c>
      <c r="W16" s="21">
        <f t="shared" ref="W16:W24" si="15">D16+F16+H16+J16+L16+N16</f>
        <v>0</v>
      </c>
      <c r="X16" s="9">
        <f t="shared" si="2"/>
        <v>0</v>
      </c>
    </row>
    <row r="17" spans="1:24" x14ac:dyDescent="0.25">
      <c r="A17" s="5" t="s">
        <v>31</v>
      </c>
      <c r="B17" s="6"/>
      <c r="C17" s="11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8"/>
      <c r="P17" s="5" t="s">
        <v>31</v>
      </c>
      <c r="Q17" s="9">
        <f t="shared" si="10"/>
        <v>0</v>
      </c>
      <c r="R17" s="10">
        <f t="shared" si="11"/>
        <v>0</v>
      </c>
      <c r="S17" s="10">
        <f t="shared" si="12"/>
        <v>0</v>
      </c>
      <c r="T17" s="10">
        <f t="shared" si="13"/>
        <v>0</v>
      </c>
      <c r="U17" s="10">
        <f>B17-C17</f>
        <v>0</v>
      </c>
      <c r="V17" s="10">
        <f t="shared" si="14"/>
        <v>0</v>
      </c>
      <c r="W17" s="10">
        <f t="shared" si="15"/>
        <v>0</v>
      </c>
      <c r="X17" s="9">
        <f t="shared" si="2"/>
        <v>0</v>
      </c>
    </row>
    <row r="18" spans="1:24" x14ac:dyDescent="0.25">
      <c r="A18" s="6" t="s">
        <v>32</v>
      </c>
      <c r="B18" s="6"/>
      <c r="C18" s="11">
        <f>'Sandnes bykasse'!B15/1000</f>
        <v>2857775.99419</v>
      </c>
      <c r="D18" s="184"/>
      <c r="E18" s="184">
        <f>'Sandnes eiendomsselskap KF'!B15/1000</f>
        <v>18938.365739999997</v>
      </c>
      <c r="F18" s="184"/>
      <c r="G18" s="184">
        <f>'Sandnes parkering KF'!B15/1000</f>
        <v>6795.5626700000003</v>
      </c>
      <c r="H18" s="184"/>
      <c r="I18" s="184">
        <f>'Sandnes kunst- og kulturhus KF'!B15/1000</f>
        <v>9445.6638999999996</v>
      </c>
      <c r="J18" s="184"/>
      <c r="K18" s="184"/>
      <c r="L18" s="184"/>
      <c r="M18" s="185">
        <f>ROUND(((('Sandnes havn KF'!C10+'Sandnes havn KF'!C11)/1000)*0.7557),-0.1)</f>
        <v>2228</v>
      </c>
      <c r="N18" s="184"/>
      <c r="O18" s="8"/>
      <c r="P18" s="6" t="s">
        <v>32</v>
      </c>
      <c r="Q18" s="9">
        <f t="shared" si="10"/>
        <v>2857775.99419</v>
      </c>
      <c r="R18" s="10">
        <f t="shared" si="11"/>
        <v>18938.365739999997</v>
      </c>
      <c r="S18" s="10">
        <f t="shared" si="12"/>
        <v>6795.5626700000003</v>
      </c>
      <c r="T18" s="10">
        <f t="shared" si="13"/>
        <v>9445.6638999999996</v>
      </c>
      <c r="U18" s="10">
        <f t="shared" ref="U18:U24" si="16">K18</f>
        <v>0</v>
      </c>
      <c r="V18" s="10">
        <f t="shared" si="14"/>
        <v>2228</v>
      </c>
      <c r="W18" s="10">
        <f t="shared" si="15"/>
        <v>0</v>
      </c>
      <c r="X18" s="9">
        <f t="shared" si="2"/>
        <v>2895183.5864999997</v>
      </c>
    </row>
    <row r="19" spans="1:24" x14ac:dyDescent="0.25">
      <c r="A19" s="6" t="s">
        <v>33</v>
      </c>
      <c r="B19" s="6"/>
      <c r="C19" s="11">
        <f>'Sandnes bykasse'!B16/1000</f>
        <v>738140.71300999995</v>
      </c>
      <c r="D19" s="184"/>
      <c r="E19" s="184">
        <f>'Sandnes eiendomsselskap KF'!B16/1000</f>
        <v>4577.8697899999997</v>
      </c>
      <c r="F19" s="184"/>
      <c r="G19" s="184">
        <f>'Sandnes parkering KF'!B16/1000</f>
        <v>2022.8106599999999</v>
      </c>
      <c r="H19" s="184"/>
      <c r="I19" s="184">
        <f>'Sandnes kunst- og kulturhus KF'!B16/1000</f>
        <v>2613.8015699999996</v>
      </c>
      <c r="J19" s="184"/>
      <c r="K19" s="184"/>
      <c r="L19" s="184"/>
      <c r="M19" s="185">
        <f>ROUND(((('Sandnes havn KF'!C10+'Sandnes havn KF'!C11)/1000)*0.2443),-0.1)</f>
        <v>720</v>
      </c>
      <c r="N19" s="184"/>
      <c r="O19" s="8"/>
      <c r="P19" s="6" t="s">
        <v>33</v>
      </c>
      <c r="Q19" s="9">
        <f t="shared" si="10"/>
        <v>738140.71300999995</v>
      </c>
      <c r="R19" s="10">
        <f t="shared" si="11"/>
        <v>4577.8697899999997</v>
      </c>
      <c r="S19" s="10">
        <f t="shared" si="12"/>
        <v>2022.8106599999999</v>
      </c>
      <c r="T19" s="10">
        <f t="shared" si="13"/>
        <v>2613.8015699999996</v>
      </c>
      <c r="U19" s="10">
        <f t="shared" si="16"/>
        <v>0</v>
      </c>
      <c r="V19" s="10">
        <f t="shared" si="14"/>
        <v>720</v>
      </c>
      <c r="W19" s="10">
        <f t="shared" si="15"/>
        <v>0</v>
      </c>
      <c r="X19" s="9">
        <f t="shared" si="2"/>
        <v>748075.19502999994</v>
      </c>
    </row>
    <row r="20" spans="1:24" x14ac:dyDescent="0.25">
      <c r="A20" s="6" t="s">
        <v>34</v>
      </c>
      <c r="B20" s="6"/>
      <c r="C20" s="11">
        <f>'Sandnes bykasse'!B17/1000</f>
        <v>519201.62845999998</v>
      </c>
      <c r="D20" s="184"/>
      <c r="E20" s="184">
        <f>'Sandnes eiendomsselskap KF'!B17/1000</f>
        <v>156756.80116</v>
      </c>
      <c r="F20" s="184"/>
      <c r="G20" s="184">
        <f>'Sandnes parkering KF'!B17/1000</f>
        <v>3620.2633700000001</v>
      </c>
      <c r="H20" s="184"/>
      <c r="I20" s="184">
        <f>'Sandnes kunst- og kulturhus KF'!B17/1000</f>
        <v>17251.225890000002</v>
      </c>
      <c r="J20" s="184"/>
      <c r="K20" s="184">
        <f>'Sandnes tomteselskap KF'!D21/1000-5020</f>
        <v>2346.1670000000004</v>
      </c>
      <c r="L20" s="184">
        <f>8560</f>
        <v>8560</v>
      </c>
      <c r="M20" s="184">
        <f>('Sandnes havn KF'!C12+'Sandnes havn KF'!C13)/1000</f>
        <v>6566.5240000000003</v>
      </c>
      <c r="N20" s="184">
        <f>416</f>
        <v>416</v>
      </c>
      <c r="O20" s="8"/>
      <c r="P20" s="6" t="s">
        <v>34</v>
      </c>
      <c r="Q20" s="9">
        <f t="shared" si="10"/>
        <v>519201.62845999998</v>
      </c>
      <c r="R20" s="10">
        <f t="shared" si="11"/>
        <v>156756.80116</v>
      </c>
      <c r="S20" s="10">
        <f t="shared" si="12"/>
        <v>3620.2633700000001</v>
      </c>
      <c r="T20" s="10">
        <f t="shared" si="13"/>
        <v>17251.225890000002</v>
      </c>
      <c r="U20" s="10">
        <f t="shared" si="16"/>
        <v>2346.1670000000004</v>
      </c>
      <c r="V20" s="10">
        <f t="shared" si="14"/>
        <v>6566.5240000000003</v>
      </c>
      <c r="W20" s="10">
        <f t="shared" si="15"/>
        <v>8976</v>
      </c>
      <c r="X20" s="9">
        <f t="shared" si="2"/>
        <v>696766.60987999989</v>
      </c>
    </row>
    <row r="21" spans="1:24" x14ac:dyDescent="0.25">
      <c r="A21" s="6" t="s">
        <v>35</v>
      </c>
      <c r="B21" s="6">
        <v>380</v>
      </c>
      <c r="C21" s="11">
        <f>'Sandnes bykasse'!B18/1000</f>
        <v>1405181.71046</v>
      </c>
      <c r="D21" s="184">
        <f>457811-5257</f>
        <v>452554</v>
      </c>
      <c r="E21" s="184">
        <f>'Sandnes eiendomsselskap KF'!B18/1000</f>
        <v>81266.895510000002</v>
      </c>
      <c r="F21" s="184">
        <v>81078</v>
      </c>
      <c r="G21" s="184">
        <f>'Sandnes parkering KF'!B18/1000</f>
        <v>2009.57042</v>
      </c>
      <c r="H21" s="184">
        <v>421</v>
      </c>
      <c r="I21" s="184">
        <f>'Sandnes kunst- og kulturhus KF'!B18/1000</f>
        <v>5371.0210499999994</v>
      </c>
      <c r="J21" s="184">
        <v>5257</v>
      </c>
      <c r="K21" s="184"/>
      <c r="L21" s="184"/>
      <c r="M21" s="184"/>
      <c r="N21" s="184"/>
      <c r="O21" s="8"/>
      <c r="P21" s="6" t="s">
        <v>35</v>
      </c>
      <c r="Q21" s="9">
        <f t="shared" si="10"/>
        <v>1405181.71046</v>
      </c>
      <c r="R21" s="10">
        <f t="shared" si="11"/>
        <v>81266.895510000002</v>
      </c>
      <c r="S21" s="10">
        <f t="shared" si="12"/>
        <v>2009.57042</v>
      </c>
      <c r="T21" s="10">
        <f t="shared" si="13"/>
        <v>5371.0210499999994</v>
      </c>
      <c r="U21" s="10">
        <f t="shared" si="16"/>
        <v>0</v>
      </c>
      <c r="V21" s="10">
        <f t="shared" si="14"/>
        <v>0</v>
      </c>
      <c r="W21" s="10">
        <f t="shared" si="15"/>
        <v>539310</v>
      </c>
      <c r="X21" s="9">
        <f t="shared" si="2"/>
        <v>954519.19744000002</v>
      </c>
    </row>
    <row r="22" spans="1:24" x14ac:dyDescent="0.25">
      <c r="A22" s="6" t="s">
        <v>36</v>
      </c>
      <c r="B22" s="6">
        <v>480</v>
      </c>
      <c r="C22" s="11">
        <f>'Sandnes bykasse'!B19/1000</f>
        <v>312153.24589999998</v>
      </c>
      <c r="D22" s="184">
        <v>17287</v>
      </c>
      <c r="E22" s="184">
        <f>'Sandnes eiendomsselskap KF'!B19/1000</f>
        <v>34410.999520000005</v>
      </c>
      <c r="F22" s="184">
        <f>5280</f>
        <v>5280</v>
      </c>
      <c r="G22" s="184">
        <f>'Sandnes parkering KF'!B19/1000</f>
        <v>3273.9055899999998</v>
      </c>
      <c r="H22" s="184">
        <v>2832</v>
      </c>
      <c r="I22" s="184">
        <f>'Sandnes kunst- og kulturhus KF'!B19/1000</f>
        <v>1477.36733</v>
      </c>
      <c r="J22" s="184"/>
      <c r="K22" s="184"/>
      <c r="L22" s="184"/>
      <c r="M22" s="184"/>
      <c r="N22" s="184"/>
      <c r="O22" s="8"/>
      <c r="P22" s="6" t="s">
        <v>36</v>
      </c>
      <c r="Q22" s="9">
        <f t="shared" si="10"/>
        <v>312153.24589999998</v>
      </c>
      <c r="R22" s="10">
        <f t="shared" si="11"/>
        <v>34410.999520000005</v>
      </c>
      <c r="S22" s="10">
        <f t="shared" si="12"/>
        <v>3273.9055899999998</v>
      </c>
      <c r="T22" s="10">
        <f t="shared" si="13"/>
        <v>1477.36733</v>
      </c>
      <c r="U22" s="10">
        <f t="shared" si="16"/>
        <v>0</v>
      </c>
      <c r="V22" s="10">
        <f t="shared" si="14"/>
        <v>0</v>
      </c>
      <c r="W22" s="10">
        <f t="shared" si="15"/>
        <v>25399</v>
      </c>
      <c r="X22" s="9">
        <f t="shared" si="2"/>
        <v>325916.51833999995</v>
      </c>
    </row>
    <row r="23" spans="1:24" x14ac:dyDescent="0.25">
      <c r="A23" s="6" t="s">
        <v>258</v>
      </c>
      <c r="B23" s="6"/>
      <c r="C23" s="11">
        <f>'Sandnes bykasse'!B20/1000</f>
        <v>67187.221000000005</v>
      </c>
      <c r="D23" s="184"/>
      <c r="E23" s="184">
        <f>'Sandnes eiendomsselskap KF'!B20/1000</f>
        <v>140612.33380000002</v>
      </c>
      <c r="F23" s="184"/>
      <c r="G23" s="184">
        <f>'Sandnes parkering KF'!B20/1000</f>
        <v>1379.011</v>
      </c>
      <c r="H23" s="184"/>
      <c r="I23" s="184">
        <f>'Sandnes kunst- og kulturhus KF'!B20/1000</f>
        <v>938.40499999999997</v>
      </c>
      <c r="J23" s="184"/>
      <c r="K23" s="184">
        <f>('Sandnes tomteselskap KF'!D19+'Sandnes tomteselskap KF'!D20)/1000</f>
        <v>99</v>
      </c>
      <c r="L23" s="184"/>
      <c r="M23" s="184">
        <f>'Sandnes havn KF'!C14/1000</f>
        <v>4719.6480000000001</v>
      </c>
      <c r="N23" s="184"/>
      <c r="O23" s="8"/>
      <c r="P23" s="6" t="s">
        <v>258</v>
      </c>
      <c r="Q23" s="9">
        <f t="shared" si="10"/>
        <v>67187.221000000005</v>
      </c>
      <c r="R23" s="10">
        <f t="shared" si="11"/>
        <v>140612.33380000002</v>
      </c>
      <c r="S23" s="10">
        <f t="shared" si="12"/>
        <v>1379.011</v>
      </c>
      <c r="T23" s="10">
        <f t="shared" si="13"/>
        <v>938.40499999999997</v>
      </c>
      <c r="U23" s="10">
        <f t="shared" si="16"/>
        <v>99</v>
      </c>
      <c r="V23" s="10">
        <f t="shared" si="14"/>
        <v>4719.6480000000001</v>
      </c>
      <c r="W23" s="10">
        <f t="shared" si="15"/>
        <v>0</v>
      </c>
      <c r="X23" s="9">
        <f t="shared" si="2"/>
        <v>214935.61880000003</v>
      </c>
    </row>
    <row r="24" spans="1:24" x14ac:dyDescent="0.25">
      <c r="A24" s="6" t="s">
        <v>38</v>
      </c>
      <c r="B24" s="6"/>
      <c r="C24" s="11">
        <f>'Sandnes bykasse'!B21/1000</f>
        <v>-177144.18316999997</v>
      </c>
      <c r="D24" s="12"/>
      <c r="E24" s="12">
        <f>'Sandnes eiendomsselskap KF'!B21/1000</f>
        <v>-13828.896000000001</v>
      </c>
      <c r="F24" s="12"/>
      <c r="G24" s="12">
        <f>'Sandnes parkering KF'!B21/1000</f>
        <v>0</v>
      </c>
      <c r="H24" s="12"/>
      <c r="I24" s="12">
        <f>'Sandnes kunst- og kulturhus KF'!B21/1000</f>
        <v>0</v>
      </c>
      <c r="J24" s="12"/>
      <c r="K24" s="12"/>
      <c r="L24" s="12"/>
      <c r="M24" s="12"/>
      <c r="N24" s="12"/>
      <c r="O24" s="8"/>
      <c r="P24" s="6" t="s">
        <v>38</v>
      </c>
      <c r="Q24" s="9">
        <f t="shared" si="10"/>
        <v>-177144.18316999997</v>
      </c>
      <c r="R24" s="10">
        <f t="shared" si="11"/>
        <v>-13828.896000000001</v>
      </c>
      <c r="S24" s="10">
        <f t="shared" si="12"/>
        <v>0</v>
      </c>
      <c r="T24" s="10">
        <f t="shared" si="13"/>
        <v>0</v>
      </c>
      <c r="U24" s="10">
        <f t="shared" si="16"/>
        <v>0</v>
      </c>
      <c r="V24" s="10">
        <f t="shared" si="14"/>
        <v>0</v>
      </c>
      <c r="W24" s="10">
        <f t="shared" si="15"/>
        <v>0</v>
      </c>
      <c r="X24" s="9">
        <f t="shared" si="2"/>
        <v>-190973.07916999998</v>
      </c>
    </row>
    <row r="25" spans="1:24" ht="15.75" thickBot="1" x14ac:dyDescent="0.3">
      <c r="A25" s="13" t="s">
        <v>39</v>
      </c>
      <c r="B25" s="14"/>
      <c r="C25" s="11">
        <f>SUM(C18:C24)</f>
        <v>5722496.3298500003</v>
      </c>
      <c r="D25" s="11">
        <f t="shared" ref="D25:N25" si="17">SUM(D18:D24)</f>
        <v>469841</v>
      </c>
      <c r="E25" s="11">
        <f t="shared" si="17"/>
        <v>422734.36952000001</v>
      </c>
      <c r="F25" s="11">
        <f t="shared" si="17"/>
        <v>86358</v>
      </c>
      <c r="G25" s="11">
        <f t="shared" si="17"/>
        <v>19101.12371</v>
      </c>
      <c r="H25" s="11">
        <f t="shared" si="17"/>
        <v>3253</v>
      </c>
      <c r="I25" s="11">
        <f>SUM(I18:I24)</f>
        <v>37097.48474</v>
      </c>
      <c r="J25" s="11">
        <f t="shared" si="17"/>
        <v>5257</v>
      </c>
      <c r="K25" s="11">
        <f t="shared" si="17"/>
        <v>2445.1670000000004</v>
      </c>
      <c r="L25" s="11">
        <f t="shared" si="17"/>
        <v>8560</v>
      </c>
      <c r="M25" s="11">
        <f t="shared" si="17"/>
        <v>14234.172000000002</v>
      </c>
      <c r="N25" s="11">
        <f t="shared" si="17"/>
        <v>416</v>
      </c>
      <c r="O25" s="8"/>
      <c r="P25" s="13" t="s">
        <v>39</v>
      </c>
      <c r="Q25" s="15">
        <f t="shared" ref="Q25:W25" si="18">SUM(Q18:Q24)</f>
        <v>5722496.3298500003</v>
      </c>
      <c r="R25" s="16">
        <f t="shared" si="18"/>
        <v>422734.36952000001</v>
      </c>
      <c r="S25" s="16">
        <f t="shared" si="18"/>
        <v>19101.12371</v>
      </c>
      <c r="T25" s="16">
        <f t="shared" si="18"/>
        <v>37097.48474</v>
      </c>
      <c r="U25" s="16">
        <f t="shared" si="18"/>
        <v>2445.1670000000004</v>
      </c>
      <c r="V25" s="16">
        <f t="shared" si="18"/>
        <v>14234.172000000002</v>
      </c>
      <c r="W25" s="16">
        <f t="shared" si="18"/>
        <v>573685</v>
      </c>
      <c r="X25" s="9">
        <f t="shared" si="2"/>
        <v>5644423.6468200013</v>
      </c>
    </row>
    <row r="26" spans="1:24" x14ac:dyDescent="0.25">
      <c r="A26" s="22"/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8"/>
      <c r="P26" s="22"/>
      <c r="Q26" s="20"/>
      <c r="R26" s="21"/>
      <c r="S26" s="21"/>
      <c r="T26" s="21"/>
      <c r="U26" s="21"/>
      <c r="V26" s="21"/>
      <c r="W26" s="21"/>
      <c r="X26" s="9">
        <f t="shared" si="2"/>
        <v>0</v>
      </c>
    </row>
    <row r="27" spans="1:24" ht="15.75" thickBot="1" x14ac:dyDescent="0.3">
      <c r="A27" s="13" t="s">
        <v>40</v>
      </c>
      <c r="B27" s="14"/>
      <c r="C27" s="11">
        <f>C15-C25</f>
        <v>-90.837480000220239</v>
      </c>
      <c r="D27" s="11">
        <f>D15-D25</f>
        <v>-371254</v>
      </c>
      <c r="E27" s="11">
        <f>E15-E25</f>
        <v>97637.660549999971</v>
      </c>
      <c r="F27" s="11">
        <f>F15-F25</f>
        <v>371453</v>
      </c>
      <c r="G27" s="11">
        <f>G15-G25</f>
        <v>205.30215999999564</v>
      </c>
      <c r="H27" s="11"/>
      <c r="I27" s="11">
        <f>I15-I25</f>
        <v>-392.50746000000072</v>
      </c>
      <c r="J27" s="11"/>
      <c r="K27" s="11">
        <f>K15-K25</f>
        <v>2020.1120000000001</v>
      </c>
      <c r="L27" s="11">
        <f>L15-L25</f>
        <v>-8560</v>
      </c>
      <c r="M27" s="11">
        <f>M15-M25</f>
        <v>3682.2589999999982</v>
      </c>
      <c r="N27" s="11">
        <f>N15-N25</f>
        <v>-416</v>
      </c>
      <c r="O27" s="8"/>
      <c r="P27" s="13" t="s">
        <v>40</v>
      </c>
      <c r="Q27" s="15">
        <f t="shared" ref="Q27:V27" si="19">Q15-Q25</f>
        <v>-90.837480000220239</v>
      </c>
      <c r="R27" s="16">
        <f t="shared" si="19"/>
        <v>97637.660549999971</v>
      </c>
      <c r="S27" s="16">
        <f t="shared" si="19"/>
        <v>205.30215999999564</v>
      </c>
      <c r="T27" s="16">
        <f t="shared" si="19"/>
        <v>-392.50746000000072</v>
      </c>
      <c r="U27" s="16">
        <f t="shared" si="19"/>
        <v>2020.1120000000001</v>
      </c>
      <c r="V27" s="16">
        <f t="shared" si="19"/>
        <v>3682.2589999999982</v>
      </c>
      <c r="W27" s="16">
        <f>W15-W25</f>
        <v>0</v>
      </c>
      <c r="X27" s="9">
        <f t="shared" si="2"/>
        <v>103061.98876999973</v>
      </c>
    </row>
    <row r="28" spans="1:24" x14ac:dyDescent="0.25">
      <c r="A28" s="22"/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8"/>
      <c r="P28" s="22"/>
      <c r="Q28" s="20"/>
      <c r="R28" s="21"/>
      <c r="S28" s="21"/>
      <c r="T28" s="21"/>
      <c r="U28" s="21"/>
      <c r="V28" s="21"/>
      <c r="W28" s="21"/>
      <c r="X28" s="9">
        <f t="shared" si="2"/>
        <v>0</v>
      </c>
    </row>
    <row r="29" spans="1:24" x14ac:dyDescent="0.25">
      <c r="A29" s="5" t="s">
        <v>41</v>
      </c>
      <c r="B29" s="6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8"/>
      <c r="P29" s="5" t="s">
        <v>41</v>
      </c>
      <c r="Q29" s="9"/>
      <c r="R29" s="10"/>
      <c r="S29" s="10"/>
      <c r="T29" s="10"/>
      <c r="U29" s="10"/>
      <c r="V29" s="10"/>
      <c r="W29" s="10"/>
      <c r="X29" s="9">
        <f t="shared" si="2"/>
        <v>0</v>
      </c>
    </row>
    <row r="30" spans="1:24" x14ac:dyDescent="0.25">
      <c r="A30" s="6" t="s">
        <v>42</v>
      </c>
      <c r="B30" s="6">
        <v>901</v>
      </c>
      <c r="C30" s="11">
        <f>'Sandnes bykasse'!B25/1000</f>
        <v>280413.13942000002</v>
      </c>
      <c r="D30" s="184">
        <f>116788+4222</f>
        <v>121010</v>
      </c>
      <c r="E30" s="184">
        <f>'Sandnes eiendomsselskap KF'!B25/1000</f>
        <v>0</v>
      </c>
      <c r="F30" s="184"/>
      <c r="G30" s="184">
        <f>'Sandnes parkering KF'!B25/1000</f>
        <v>558.86032999999998</v>
      </c>
      <c r="H30" s="184"/>
      <c r="I30" s="184">
        <f>'Sandnes kunst- og kulturhus KF'!B25/1000</f>
        <v>129.98826</v>
      </c>
      <c r="J30" s="184"/>
      <c r="K30" s="184">
        <f>('Sandnes tomteselskap KF'!D27+'Sandnes tomteselskap KF'!D28)/1000</f>
        <v>9540.6270000000004</v>
      </c>
      <c r="L30" s="184"/>
      <c r="M30" s="184">
        <f>('Sandnes havn KF'!C19+'Sandnes havn KF'!C20)/1000</f>
        <v>621.77099999999996</v>
      </c>
      <c r="N30" s="184">
        <v>162</v>
      </c>
      <c r="O30" s="8"/>
      <c r="P30" s="6" t="s">
        <v>42</v>
      </c>
      <c r="Q30" s="9">
        <f>C30</f>
        <v>280413.13942000002</v>
      </c>
      <c r="R30" s="10">
        <f>E30</f>
        <v>0</v>
      </c>
      <c r="S30" s="10">
        <f>G30</f>
        <v>558.86032999999998</v>
      </c>
      <c r="T30" s="10">
        <f>I30</f>
        <v>129.98826</v>
      </c>
      <c r="U30" s="10">
        <f>K30</f>
        <v>9540.6270000000004</v>
      </c>
      <c r="V30" s="10">
        <f>M30</f>
        <v>621.77099999999996</v>
      </c>
      <c r="W30" s="10">
        <f>D30+F30+H30+J30+L30+N30</f>
        <v>121172</v>
      </c>
      <c r="X30" s="9">
        <f t="shared" si="2"/>
        <v>170092.38601000002</v>
      </c>
    </row>
    <row r="31" spans="1:24" x14ac:dyDescent="0.25">
      <c r="A31" s="6" t="s">
        <v>44</v>
      </c>
      <c r="B31" s="6">
        <v>921</v>
      </c>
      <c r="C31" s="11">
        <f>'Sandnes bykasse'!B27/1000</f>
        <v>128694.75112</v>
      </c>
      <c r="D31" s="184">
        <f>128083</f>
        <v>128083</v>
      </c>
      <c r="E31" s="184">
        <f>'Sandnes eiendomsselskap KF'!B27/1000</f>
        <v>0</v>
      </c>
      <c r="F31" s="184"/>
      <c r="G31" s="184">
        <f>'Sandnes parkering KF'!B27/1000</f>
        <v>0</v>
      </c>
      <c r="H31" s="184"/>
      <c r="I31" s="184">
        <f>'Sandnes kunst- og kulturhus KF'!B27/1000</f>
        <v>0</v>
      </c>
      <c r="J31" s="184"/>
      <c r="K31" s="184"/>
      <c r="L31" s="184"/>
      <c r="M31" s="184"/>
      <c r="N31" s="184"/>
      <c r="O31" s="8"/>
      <c r="P31" s="6" t="s">
        <v>44</v>
      </c>
      <c r="Q31" s="9">
        <f>C31</f>
        <v>128694.75112</v>
      </c>
      <c r="R31" s="10"/>
      <c r="S31" s="10"/>
      <c r="T31" s="10"/>
      <c r="U31" s="10"/>
      <c r="V31" s="10"/>
      <c r="W31" s="10">
        <f>D31+F31+H31+J31+L31+N31</f>
        <v>128083</v>
      </c>
      <c r="X31" s="9">
        <f t="shared" si="2"/>
        <v>611.75112000000081</v>
      </c>
    </row>
    <row r="32" spans="1:24" ht="15.75" thickBot="1" x14ac:dyDescent="0.3">
      <c r="A32" s="13" t="s">
        <v>45</v>
      </c>
      <c r="B32" s="14"/>
      <c r="C32" s="11">
        <f>SUM(C30:C31)</f>
        <v>409107.89054000005</v>
      </c>
      <c r="D32" s="11">
        <f>SUM(D30:D31)</f>
        <v>249093</v>
      </c>
      <c r="E32" s="11">
        <f>SUM(E30:E31)</f>
        <v>0</v>
      </c>
      <c r="F32" s="11">
        <f>SUM(F30:F31)</f>
        <v>0</v>
      </c>
      <c r="G32" s="11">
        <f>SUM(G30:G31)</f>
        <v>558.86032999999998</v>
      </c>
      <c r="H32" s="11"/>
      <c r="I32" s="11">
        <f>SUM(I30:I31)</f>
        <v>129.98826</v>
      </c>
      <c r="J32" s="11"/>
      <c r="K32" s="11">
        <f>SUM(K30:K31)</f>
        <v>9540.6270000000004</v>
      </c>
      <c r="L32" s="11">
        <f>SUM(L30:L31)</f>
        <v>0</v>
      </c>
      <c r="M32" s="11">
        <f>SUM(M30:M31)</f>
        <v>621.77099999999996</v>
      </c>
      <c r="N32" s="11">
        <f>SUM(N30:N31)</f>
        <v>162</v>
      </c>
      <c r="O32" s="8"/>
      <c r="P32" s="13" t="s">
        <v>45</v>
      </c>
      <c r="Q32" s="15">
        <f t="shared" ref="Q32:W32" si="20">SUM(Q30:Q31)</f>
        <v>409107.89054000005</v>
      </c>
      <c r="R32" s="16">
        <f t="shared" si="20"/>
        <v>0</v>
      </c>
      <c r="S32" s="16">
        <f t="shared" si="20"/>
        <v>558.86032999999998</v>
      </c>
      <c r="T32" s="16">
        <f t="shared" si="20"/>
        <v>129.98826</v>
      </c>
      <c r="U32" s="16">
        <f t="shared" si="20"/>
        <v>9540.6270000000004</v>
      </c>
      <c r="V32" s="16">
        <f t="shared" si="20"/>
        <v>621.77099999999996</v>
      </c>
      <c r="W32" s="16">
        <f t="shared" si="20"/>
        <v>249255</v>
      </c>
      <c r="X32" s="9">
        <f t="shared" si="2"/>
        <v>170704.13713000005</v>
      </c>
    </row>
    <row r="33" spans="1:26" x14ac:dyDescent="0.25">
      <c r="A33" s="17"/>
      <c r="B33" s="17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8"/>
      <c r="P33" s="17"/>
      <c r="Q33" s="25"/>
      <c r="R33" s="26"/>
      <c r="S33" s="26"/>
      <c r="T33" s="26"/>
      <c r="U33" s="26"/>
      <c r="V33" s="26"/>
      <c r="W33" s="26"/>
      <c r="X33" s="9">
        <f t="shared" si="2"/>
        <v>0</v>
      </c>
    </row>
    <row r="34" spans="1:26" x14ac:dyDescent="0.25">
      <c r="A34" s="5" t="s">
        <v>46</v>
      </c>
      <c r="B34" s="5"/>
      <c r="C34" s="27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8"/>
      <c r="P34" s="5" t="s">
        <v>46</v>
      </c>
      <c r="Q34" s="9">
        <f>C34</f>
        <v>0</v>
      </c>
      <c r="R34" s="10">
        <f>E34</f>
        <v>0</v>
      </c>
      <c r="S34" s="10">
        <f>G34</f>
        <v>0</v>
      </c>
      <c r="T34" s="10">
        <f>I34</f>
        <v>0</v>
      </c>
      <c r="U34" s="10">
        <f>K34</f>
        <v>0</v>
      </c>
      <c r="V34" s="10">
        <f>M34</f>
        <v>0</v>
      </c>
      <c r="W34" s="10">
        <f>D34+F34+H34+J34+L34+N34</f>
        <v>0</v>
      </c>
      <c r="X34" s="9">
        <f t="shared" si="2"/>
        <v>0</v>
      </c>
    </row>
    <row r="35" spans="1:26" x14ac:dyDescent="0.25">
      <c r="A35" s="6" t="s">
        <v>47</v>
      </c>
      <c r="B35" s="6">
        <v>501</v>
      </c>
      <c r="C35" s="11">
        <f>'Sandnes bykasse'!B30/1000</f>
        <v>86829.78774</v>
      </c>
      <c r="D35" s="184"/>
      <c r="E35" s="184">
        <f>'Sandnes eiendomsselskap KF'!B30/1000</f>
        <v>116794.53153000001</v>
      </c>
      <c r="F35" s="184">
        <v>116788</v>
      </c>
      <c r="G35" s="184">
        <f>'Sandnes parkering KF'!B30/1000</f>
        <v>0</v>
      </c>
      <c r="H35" s="184"/>
      <c r="I35" s="184">
        <f>'Sandnes kunst- og kulturhus KF'!B30/1000</f>
        <v>5.1900000000000002E-3</v>
      </c>
      <c r="J35" s="184"/>
      <c r="K35" s="184">
        <f>('Sandnes tomteselskap KF'!D30+'Sandnes tomteselskap KF'!D31)/1000</f>
        <v>4388.6615999999995</v>
      </c>
      <c r="L35" s="184">
        <f>162+4222</f>
        <v>4384</v>
      </c>
      <c r="M35" s="184">
        <f>-'Sandnes havn KF'!C21/1000</f>
        <v>1.865</v>
      </c>
      <c r="N35" s="184"/>
      <c r="O35" s="8"/>
      <c r="P35" s="6" t="s">
        <v>47</v>
      </c>
      <c r="Q35" s="9">
        <f>C35</f>
        <v>86829.78774</v>
      </c>
      <c r="R35" s="10">
        <f>E35</f>
        <v>116794.53153000001</v>
      </c>
      <c r="S35" s="10">
        <f>G35</f>
        <v>0</v>
      </c>
      <c r="T35" s="10">
        <f>I35</f>
        <v>5.1900000000000002E-3</v>
      </c>
      <c r="U35" s="10">
        <f>K35</f>
        <v>4388.6615999999995</v>
      </c>
      <c r="V35" s="10">
        <f>M35</f>
        <v>1.865</v>
      </c>
      <c r="W35" s="10">
        <f>D35+F35+H35+J35+L35+N35</f>
        <v>121172</v>
      </c>
      <c r="X35" s="9">
        <f t="shared" si="2"/>
        <v>86842.851059999986</v>
      </c>
    </row>
    <row r="36" spans="1:26" x14ac:dyDescent="0.25">
      <c r="A36" s="6" t="s">
        <v>49</v>
      </c>
      <c r="B36" s="6">
        <v>511</v>
      </c>
      <c r="C36" s="11">
        <f>'Sandnes bykasse'!B32/1000</f>
        <v>225201</v>
      </c>
      <c r="D36" s="184"/>
      <c r="E36" s="184">
        <f>'Sandnes eiendomsselskap KF'!B32/1000</f>
        <v>128082.91</v>
      </c>
      <c r="F36" s="184">
        <v>128083</v>
      </c>
      <c r="G36" s="184">
        <f>'Sandnes parkering KF'!B32/1000</f>
        <v>0</v>
      </c>
      <c r="H36" s="184"/>
      <c r="I36" s="184">
        <f>'Sandnes kunst- og kulturhus KF'!B32/1000</f>
        <v>0</v>
      </c>
      <c r="J36" s="184"/>
      <c r="K36" s="184"/>
      <c r="L36" s="184"/>
      <c r="M36" s="184"/>
      <c r="N36" s="184"/>
      <c r="O36" s="8"/>
      <c r="P36" s="6" t="s">
        <v>49</v>
      </c>
      <c r="Q36" s="9">
        <f>C36</f>
        <v>225201</v>
      </c>
      <c r="R36" s="10">
        <f>E36</f>
        <v>128082.91</v>
      </c>
      <c r="S36" s="10">
        <f>G36</f>
        <v>0</v>
      </c>
      <c r="T36" s="10">
        <f>I36</f>
        <v>0</v>
      </c>
      <c r="U36" s="10">
        <f>K36</f>
        <v>0</v>
      </c>
      <c r="V36" s="10">
        <f>M36</f>
        <v>0</v>
      </c>
      <c r="W36" s="10">
        <f>D36+F36+H36+J36+L36+N36</f>
        <v>128083</v>
      </c>
      <c r="X36" s="9">
        <f t="shared" si="2"/>
        <v>225200.91000000003</v>
      </c>
    </row>
    <row r="37" spans="1:26" x14ac:dyDescent="0.25">
      <c r="A37" s="6" t="s">
        <v>50</v>
      </c>
      <c r="B37" s="6">
        <v>521</v>
      </c>
      <c r="C37" s="11">
        <f>'Sandnes bykasse'!B33/1000</f>
        <v>1872.22471</v>
      </c>
      <c r="D37" s="12"/>
      <c r="E37" s="12">
        <f>'Sandnes eiendomsselskap KF'!B33/1000</f>
        <v>0</v>
      </c>
      <c r="F37" s="12"/>
      <c r="G37" s="12">
        <f>'Sandnes parkering KF'!B33/1000</f>
        <v>0</v>
      </c>
      <c r="H37" s="12"/>
      <c r="I37" s="12">
        <f>'Sandnes kunst- og kulturhus KF'!B33/1000</f>
        <v>0</v>
      </c>
      <c r="J37" s="12"/>
      <c r="K37" s="12"/>
      <c r="L37" s="12"/>
      <c r="M37" s="12"/>
      <c r="N37" s="12"/>
      <c r="O37" s="8"/>
      <c r="P37" s="6" t="s">
        <v>50</v>
      </c>
      <c r="Q37" s="9">
        <f>C37</f>
        <v>1872.22471</v>
      </c>
      <c r="R37" s="10">
        <f>E37</f>
        <v>0</v>
      </c>
      <c r="S37" s="10">
        <f>G37</f>
        <v>0</v>
      </c>
      <c r="T37" s="10">
        <f>I37</f>
        <v>0</v>
      </c>
      <c r="U37" s="10">
        <f>K37</f>
        <v>0</v>
      </c>
      <c r="V37" s="10">
        <f>M37</f>
        <v>0</v>
      </c>
      <c r="W37" s="10">
        <f>D37+F37+H37+J37+L37+N37</f>
        <v>0</v>
      </c>
      <c r="X37" s="9">
        <f t="shared" si="2"/>
        <v>1872.22471</v>
      </c>
    </row>
    <row r="38" spans="1:26" ht="15.75" thickBot="1" x14ac:dyDescent="0.3">
      <c r="A38" s="13" t="s">
        <v>51</v>
      </c>
      <c r="B38" s="14"/>
      <c r="C38" s="11">
        <f>SUM(C35:C37)</f>
        <v>313903.01244999998</v>
      </c>
      <c r="D38" s="11">
        <f>SUM(D35:D37)</f>
        <v>0</v>
      </c>
      <c r="E38" s="11">
        <f>SUM(E35:E37)</f>
        <v>244877.44153000001</v>
      </c>
      <c r="F38" s="11">
        <f>SUM(F35:F37)</f>
        <v>244871</v>
      </c>
      <c r="G38" s="11">
        <f>SUM(G35:G37)</f>
        <v>0</v>
      </c>
      <c r="H38" s="11"/>
      <c r="I38" s="11">
        <f>SUM(I35:I37)</f>
        <v>5.1900000000000002E-3</v>
      </c>
      <c r="J38" s="11"/>
      <c r="K38" s="11">
        <f>SUM(K35:K37)</f>
        <v>4388.6615999999995</v>
      </c>
      <c r="L38" s="11">
        <f>SUM(L35:L37)</f>
        <v>4384</v>
      </c>
      <c r="M38" s="11">
        <f>SUM(M35:M37)</f>
        <v>1.865</v>
      </c>
      <c r="N38" s="11">
        <f>SUM(N35:N37)</f>
        <v>0</v>
      </c>
      <c r="O38" s="8"/>
      <c r="P38" s="13" t="s">
        <v>51</v>
      </c>
      <c r="Q38" s="15">
        <f t="shared" ref="Q38:V38" si="21">SUM(Q35:Q37)</f>
        <v>313903.01244999998</v>
      </c>
      <c r="R38" s="16">
        <f t="shared" si="21"/>
        <v>244877.44153000001</v>
      </c>
      <c r="S38" s="16">
        <f t="shared" si="21"/>
        <v>0</v>
      </c>
      <c r="T38" s="16">
        <f t="shared" si="21"/>
        <v>5.1900000000000002E-3</v>
      </c>
      <c r="U38" s="16">
        <f t="shared" si="21"/>
        <v>4388.6615999999995</v>
      </c>
      <c r="V38" s="16">
        <f t="shared" si="21"/>
        <v>1.865</v>
      </c>
      <c r="W38" s="16">
        <f>SUM(W35:W37)</f>
        <v>249255</v>
      </c>
      <c r="X38" s="9">
        <f t="shared" ref="X38:X57" si="22">SUM(Q38:V38)-W38</f>
        <v>313915.98577000003</v>
      </c>
    </row>
    <row r="39" spans="1:26" x14ac:dyDescent="0.25">
      <c r="A39" s="17"/>
      <c r="B39" s="17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8"/>
      <c r="P39" s="17"/>
      <c r="Q39" s="25"/>
      <c r="R39" s="26"/>
      <c r="S39" s="26"/>
      <c r="T39" s="26"/>
      <c r="U39" s="26"/>
      <c r="V39" s="26"/>
      <c r="W39" s="26"/>
      <c r="X39" s="9">
        <f t="shared" si="22"/>
        <v>0</v>
      </c>
    </row>
    <row r="40" spans="1:26" ht="15.75" thickBot="1" x14ac:dyDescent="0.3">
      <c r="A40" s="13" t="s">
        <v>52</v>
      </c>
      <c r="B40" s="14"/>
      <c r="C40" s="11">
        <f>C32-C38</f>
        <v>95204.878090000071</v>
      </c>
      <c r="D40" s="11">
        <f>D32-D38</f>
        <v>249093</v>
      </c>
      <c r="E40" s="11">
        <f>E32-E38</f>
        <v>-244877.44153000001</v>
      </c>
      <c r="F40" s="11">
        <f>F32-F38</f>
        <v>-244871</v>
      </c>
      <c r="G40" s="11">
        <f>G32-G38</f>
        <v>558.86032999999998</v>
      </c>
      <c r="H40" s="11"/>
      <c r="I40" s="11">
        <f>I32-I38</f>
        <v>129.98307</v>
      </c>
      <c r="J40" s="11"/>
      <c r="K40" s="11">
        <f>K32-K38</f>
        <v>5151.965400000001</v>
      </c>
      <c r="L40" s="11">
        <f>L32-L38</f>
        <v>-4384</v>
      </c>
      <c r="M40" s="11">
        <f>M32-M38</f>
        <v>619.90599999999995</v>
      </c>
      <c r="N40" s="11">
        <f>N32-N38</f>
        <v>162</v>
      </c>
      <c r="O40" s="8"/>
      <c r="P40" s="13" t="s">
        <v>52</v>
      </c>
      <c r="Q40" s="15">
        <f t="shared" ref="Q40:V40" si="23">Q32-Q38</f>
        <v>95204.878090000071</v>
      </c>
      <c r="R40" s="16">
        <f t="shared" si="23"/>
        <v>-244877.44153000001</v>
      </c>
      <c r="S40" s="16">
        <f t="shared" si="23"/>
        <v>558.86032999999998</v>
      </c>
      <c r="T40" s="16">
        <f t="shared" si="23"/>
        <v>129.98307</v>
      </c>
      <c r="U40" s="16">
        <f t="shared" si="23"/>
        <v>5151.965400000001</v>
      </c>
      <c r="V40" s="16">
        <f t="shared" si="23"/>
        <v>619.90599999999995</v>
      </c>
      <c r="W40" s="16">
        <f>W32-W38</f>
        <v>0</v>
      </c>
      <c r="X40" s="9">
        <f t="shared" si="22"/>
        <v>-143211.84863999995</v>
      </c>
    </row>
    <row r="41" spans="1:26" x14ac:dyDescent="0.25">
      <c r="A41" s="22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8"/>
      <c r="P41" s="22"/>
      <c r="Q41" s="20"/>
      <c r="R41" s="21"/>
      <c r="S41" s="21"/>
      <c r="T41" s="21"/>
      <c r="U41" s="21"/>
      <c r="V41" s="21"/>
      <c r="W41" s="21"/>
      <c r="X41" s="9">
        <f t="shared" si="22"/>
        <v>0</v>
      </c>
    </row>
    <row r="42" spans="1:26" x14ac:dyDescent="0.25">
      <c r="A42" s="6" t="s">
        <v>53</v>
      </c>
      <c r="B42" s="6"/>
      <c r="C42" s="11">
        <f>'Sandnes bykasse'!B36/1000</f>
        <v>67187.221000000005</v>
      </c>
      <c r="D42" s="12"/>
      <c r="E42" s="12">
        <f>'Sandnes eiendomsselskap KF'!B36/1000</f>
        <v>140612.33380000002</v>
      </c>
      <c r="F42" s="12"/>
      <c r="G42" s="12">
        <f>'Sandnes parkering KF'!B36/1000</f>
        <v>1379.011</v>
      </c>
      <c r="H42" s="12"/>
      <c r="I42" s="12">
        <f>'Sandnes kunst- og kulturhus KF'!B36/1000</f>
        <v>938.40499999999997</v>
      </c>
      <c r="J42" s="12"/>
      <c r="K42" s="12"/>
      <c r="L42" s="12"/>
      <c r="M42" s="12">
        <f>'Sandnes havn KF'!C24/1000</f>
        <v>4719.6480000000001</v>
      </c>
      <c r="N42" s="12"/>
      <c r="O42" s="8"/>
      <c r="P42" s="6" t="s">
        <v>53</v>
      </c>
      <c r="Q42" s="9">
        <f>C42</f>
        <v>67187.221000000005</v>
      </c>
      <c r="R42" s="10">
        <f>E42</f>
        <v>140612.33380000002</v>
      </c>
      <c r="S42" s="10">
        <f>G42</f>
        <v>1379.011</v>
      </c>
      <c r="T42" s="10">
        <f>I42</f>
        <v>938.40499999999997</v>
      </c>
      <c r="U42" s="10">
        <f>K42</f>
        <v>0</v>
      </c>
      <c r="V42" s="10">
        <f>M42</f>
        <v>4719.6480000000001</v>
      </c>
      <c r="W42" s="10">
        <f>D42+F42+H42+J42+L42+N42</f>
        <v>0</v>
      </c>
      <c r="X42" s="9">
        <f t="shared" si="22"/>
        <v>214836.61880000003</v>
      </c>
    </row>
    <row r="43" spans="1:26" ht="15.75" thickBot="1" x14ac:dyDescent="0.3">
      <c r="A43" s="13" t="s">
        <v>54</v>
      </c>
      <c r="B43" s="14"/>
      <c r="C43" s="11">
        <f>C27+C40+C42</f>
        <v>162301.26160999987</v>
      </c>
      <c r="D43" s="11">
        <f>D27+D40+D42</f>
        <v>-122161</v>
      </c>
      <c r="E43" s="11">
        <f>E27+E40+E42</f>
        <v>-6627.4471800000174</v>
      </c>
      <c r="F43" s="11">
        <f>F27+F40+F42</f>
        <v>126582</v>
      </c>
      <c r="G43" s="11">
        <f>G27+G40+G42</f>
        <v>2143.1734899999956</v>
      </c>
      <c r="H43" s="11"/>
      <c r="I43" s="11">
        <f>I27+I40+I42</f>
        <v>675.88060999999925</v>
      </c>
      <c r="J43" s="11"/>
      <c r="K43" s="11">
        <f>K27+K40+K42</f>
        <v>7172.077400000001</v>
      </c>
      <c r="L43" s="11">
        <f>L27+L40+L42</f>
        <v>-12944</v>
      </c>
      <c r="M43" s="11">
        <f>M27+M40+M42</f>
        <v>9021.8129999999983</v>
      </c>
      <c r="N43" s="11">
        <f>N27+N40+N42</f>
        <v>-254</v>
      </c>
      <c r="O43" s="8"/>
      <c r="P43" s="13" t="s">
        <v>54</v>
      </c>
      <c r="Q43" s="15">
        <f t="shared" ref="Q43:V43" si="24">Q27+Q40+Q42</f>
        <v>162301.26160999987</v>
      </c>
      <c r="R43" s="16">
        <f t="shared" si="24"/>
        <v>-6627.4471800000174</v>
      </c>
      <c r="S43" s="16">
        <f t="shared" si="24"/>
        <v>2143.1734899999956</v>
      </c>
      <c r="T43" s="16">
        <f t="shared" si="24"/>
        <v>675.88060999999925</v>
      </c>
      <c r="U43" s="16">
        <f t="shared" si="24"/>
        <v>7172.077400000001</v>
      </c>
      <c r="V43" s="16">
        <f t="shared" si="24"/>
        <v>9021.8129999999983</v>
      </c>
      <c r="W43" s="16">
        <f>W27+W40+W42</f>
        <v>0</v>
      </c>
      <c r="X43" s="9">
        <f t="shared" si="22"/>
        <v>174686.75892999984</v>
      </c>
      <c r="Y43" s="116"/>
      <c r="Z43" s="116">
        <f>X43/X15</f>
        <v>3.0393596436029645E-2</v>
      </c>
    </row>
    <row r="44" spans="1:26" x14ac:dyDescent="0.25">
      <c r="A44" s="22"/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8"/>
      <c r="P44" s="22"/>
      <c r="Q44" s="20"/>
      <c r="R44" s="21"/>
      <c r="S44" s="21"/>
      <c r="T44" s="21"/>
      <c r="U44" s="21"/>
      <c r="V44" s="21"/>
      <c r="W44" s="21"/>
      <c r="X44" s="9">
        <f t="shared" si="22"/>
        <v>0</v>
      </c>
    </row>
    <row r="45" spans="1:26" x14ac:dyDescent="0.25">
      <c r="A45" s="5" t="s">
        <v>55</v>
      </c>
      <c r="B45" s="6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5" t="s">
        <v>55</v>
      </c>
      <c r="Q45" s="9">
        <f>C45</f>
        <v>0</v>
      </c>
      <c r="R45" s="10">
        <f>E45</f>
        <v>0</v>
      </c>
      <c r="S45" s="10">
        <f>G45</f>
        <v>0</v>
      </c>
      <c r="T45" s="10">
        <f>I45</f>
        <v>0</v>
      </c>
      <c r="U45" s="10">
        <f>K45</f>
        <v>0</v>
      </c>
      <c r="V45" s="10">
        <f>M45</f>
        <v>0</v>
      </c>
      <c r="W45" s="10">
        <f>D45+F45+H45+J45+L45+N45</f>
        <v>0</v>
      </c>
      <c r="X45" s="9">
        <f t="shared" si="22"/>
        <v>0</v>
      </c>
    </row>
    <row r="46" spans="1:26" x14ac:dyDescent="0.25">
      <c r="A46" s="6" t="s">
        <v>56</v>
      </c>
      <c r="B46" s="6"/>
      <c r="C46" s="11">
        <f>'Sandnes bykasse'!B39/1000</f>
        <v>68402</v>
      </c>
      <c r="D46" s="12"/>
      <c r="E46" s="12">
        <f>'Sandnes eiendomsselskap KF'!B39/1000</f>
        <v>8165.9750000000004</v>
      </c>
      <c r="F46" s="12"/>
      <c r="G46" s="12">
        <f>'Sandnes parkering KF'!B39/1000</f>
        <v>2826.0354900000002</v>
      </c>
      <c r="H46" s="12"/>
      <c r="I46" s="12">
        <f>'Sandnes kunst- og kulturhus KF'!B39/1000</f>
        <v>0</v>
      </c>
      <c r="J46" s="12"/>
      <c r="K46" s="12"/>
      <c r="L46" s="12"/>
      <c r="M46" s="12">
        <f>'Sandnes havn KF'!C27/1000</f>
        <v>931.64499999999998</v>
      </c>
      <c r="N46" s="12"/>
      <c r="O46" s="8"/>
      <c r="P46" s="6" t="s">
        <v>56</v>
      </c>
      <c r="Q46" s="9">
        <f>C46</f>
        <v>68402</v>
      </c>
      <c r="R46" s="10">
        <f>E46</f>
        <v>8165.9750000000004</v>
      </c>
      <c r="S46" s="10">
        <f>G46</f>
        <v>2826.0354900000002</v>
      </c>
      <c r="T46" s="10">
        <f>I46</f>
        <v>0</v>
      </c>
      <c r="U46" s="10">
        <f>K46</f>
        <v>0</v>
      </c>
      <c r="V46" s="10">
        <f>M46</f>
        <v>931.64499999999998</v>
      </c>
      <c r="W46" s="10">
        <f>D46+F46+H46+J46+L46+N46</f>
        <v>0</v>
      </c>
      <c r="X46" s="9">
        <f t="shared" si="22"/>
        <v>80325.655490000005</v>
      </c>
    </row>
    <row r="47" spans="1:26" x14ac:dyDescent="0.25">
      <c r="A47" s="6" t="s">
        <v>57</v>
      </c>
      <c r="B47" s="6"/>
      <c r="C47" s="11">
        <f>'Sandnes bykasse'!B40/1000</f>
        <v>151533.50031999999</v>
      </c>
      <c r="D47" s="12"/>
      <c r="E47" s="12">
        <f>'Sandnes eiendomsselskap KF'!B40/1000</f>
        <v>0</v>
      </c>
      <c r="F47" s="12"/>
      <c r="G47" s="12">
        <f>'Sandnes parkering KF'!B40/1000</f>
        <v>0</v>
      </c>
      <c r="H47" s="12"/>
      <c r="I47" s="12">
        <f>'Sandnes kunst- og kulturhus KF'!B40/1000</f>
        <v>0</v>
      </c>
      <c r="J47" s="12"/>
      <c r="K47" s="12"/>
      <c r="L47" s="12"/>
      <c r="M47" s="12"/>
      <c r="N47" s="12"/>
      <c r="O47" s="8"/>
      <c r="P47" s="6" t="s">
        <v>57</v>
      </c>
      <c r="Q47" s="9">
        <f>C47</f>
        <v>151533.50031999999</v>
      </c>
      <c r="R47" s="10">
        <f>E47</f>
        <v>0</v>
      </c>
      <c r="S47" s="10">
        <f>G47</f>
        <v>0</v>
      </c>
      <c r="T47" s="10">
        <f>I47</f>
        <v>0</v>
      </c>
      <c r="U47" s="10">
        <f>K47</f>
        <v>0</v>
      </c>
      <c r="V47" s="10">
        <f>M47</f>
        <v>0</v>
      </c>
      <c r="W47" s="10">
        <f>D47+F47+H47+J47+L47+N47</f>
        <v>0</v>
      </c>
      <c r="X47" s="9">
        <f t="shared" si="22"/>
        <v>151533.50031999999</v>
      </c>
    </row>
    <row r="48" spans="1:26" x14ac:dyDescent="0.25">
      <c r="A48" s="6" t="s">
        <v>58</v>
      </c>
      <c r="B48" s="6"/>
      <c r="C48" s="11">
        <f>'Sandnes bykasse'!B41/1000</f>
        <v>49810.533810000001</v>
      </c>
      <c r="D48" s="12"/>
      <c r="E48" s="12">
        <f>'Sandnes eiendomsselskap KF'!B41/1000</f>
        <v>19801.076000000001</v>
      </c>
      <c r="F48" s="12"/>
      <c r="G48" s="12">
        <f>'Sandnes parkering KF'!B41/1000</f>
        <v>0</v>
      </c>
      <c r="H48" s="12"/>
      <c r="I48" s="12">
        <f>'Sandnes kunst- og kulturhus KF'!B41/1000</f>
        <v>172.732</v>
      </c>
      <c r="J48" s="12"/>
      <c r="K48" s="12"/>
      <c r="L48" s="12"/>
      <c r="M48" s="12"/>
      <c r="N48" s="12"/>
      <c r="O48" s="8"/>
      <c r="P48" s="6" t="s">
        <v>58</v>
      </c>
      <c r="Q48" s="9">
        <f>C48</f>
        <v>49810.533810000001</v>
      </c>
      <c r="R48" s="10">
        <f>E48</f>
        <v>19801.076000000001</v>
      </c>
      <c r="S48" s="10">
        <f>G48</f>
        <v>0</v>
      </c>
      <c r="T48" s="10">
        <f>I48</f>
        <v>172.732</v>
      </c>
      <c r="U48" s="10">
        <f>K48</f>
        <v>0</v>
      </c>
      <c r="V48" s="10">
        <f>M48</f>
        <v>0</v>
      </c>
      <c r="W48" s="10">
        <f>D48+F48+H48+J48+L48+N48</f>
        <v>0</v>
      </c>
      <c r="X48" s="9">
        <f t="shared" si="22"/>
        <v>69784.341809999998</v>
      </c>
    </row>
    <row r="49" spans="1:24" ht="15.75" thickBot="1" x14ac:dyDescent="0.3">
      <c r="A49" s="13" t="s">
        <v>59</v>
      </c>
      <c r="B49" s="14"/>
      <c r="C49" s="11">
        <f>SUM(C46:C48)</f>
        <v>269746.03412999999</v>
      </c>
      <c r="D49" s="11">
        <f>SUM(D46:D48)</f>
        <v>0</v>
      </c>
      <c r="E49" s="11">
        <f>SUM(E46:E48)</f>
        <v>27967.050999999999</v>
      </c>
      <c r="F49" s="11">
        <f>SUM(F46:F48)</f>
        <v>0</v>
      </c>
      <c r="G49" s="11">
        <f>SUM(G46:G48)</f>
        <v>2826.0354900000002</v>
      </c>
      <c r="H49" s="11"/>
      <c r="I49" s="11">
        <f>SUM(I46:I48)</f>
        <v>172.732</v>
      </c>
      <c r="J49" s="11"/>
      <c r="K49" s="11">
        <f>SUM(K46:K48)</f>
        <v>0</v>
      </c>
      <c r="L49" s="11">
        <f>SUM(L46:L48)</f>
        <v>0</v>
      </c>
      <c r="M49" s="11">
        <f>SUM(M46:M48)</f>
        <v>931.64499999999998</v>
      </c>
      <c r="N49" s="11">
        <f>SUM(N46:N48)</f>
        <v>0</v>
      </c>
      <c r="O49" s="8"/>
      <c r="P49" s="13" t="s">
        <v>59</v>
      </c>
      <c r="Q49" s="15">
        <f t="shared" ref="Q49:W49" si="25">SUM(Q46:Q48)</f>
        <v>269746.03412999999</v>
      </c>
      <c r="R49" s="16">
        <f t="shared" si="25"/>
        <v>27967.050999999999</v>
      </c>
      <c r="S49" s="16">
        <f t="shared" si="25"/>
        <v>2826.0354900000002</v>
      </c>
      <c r="T49" s="16">
        <f t="shared" si="25"/>
        <v>172.732</v>
      </c>
      <c r="U49" s="16">
        <f t="shared" si="25"/>
        <v>0</v>
      </c>
      <c r="V49" s="16">
        <f t="shared" si="25"/>
        <v>931.64499999999998</v>
      </c>
      <c r="W49" s="16">
        <f t="shared" si="25"/>
        <v>0</v>
      </c>
      <c r="X49" s="9">
        <f t="shared" si="22"/>
        <v>301643.49761999998</v>
      </c>
    </row>
    <row r="50" spans="1:24" x14ac:dyDescent="0.25">
      <c r="A50" s="22"/>
      <c r="B50" s="22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8"/>
      <c r="P50" s="22"/>
      <c r="Q50" s="20"/>
      <c r="R50" s="21"/>
      <c r="S50" s="21"/>
      <c r="T50" s="21"/>
      <c r="U50" s="21"/>
      <c r="V50" s="21"/>
      <c r="W50" s="21"/>
      <c r="X50" s="9">
        <f t="shared" si="22"/>
        <v>0</v>
      </c>
    </row>
    <row r="51" spans="1:24" x14ac:dyDescent="0.25">
      <c r="A51" s="6" t="s">
        <v>60</v>
      </c>
      <c r="B51" s="6"/>
      <c r="C51" s="11">
        <f>'Sandnes bykasse'!B43/1000</f>
        <v>134023</v>
      </c>
      <c r="D51" s="12"/>
      <c r="E51" s="12">
        <f>'Sandnes eiendomsselskap KF'!B43/1000</f>
        <v>0</v>
      </c>
      <c r="F51" s="12"/>
      <c r="G51" s="12">
        <f>'Sandnes parkering KF'!B43/1000</f>
        <v>0</v>
      </c>
      <c r="H51" s="12"/>
      <c r="I51" s="12">
        <f>'Sandnes kunst- og kulturhus KF'!B43/1000</f>
        <v>0</v>
      </c>
      <c r="J51" s="12"/>
      <c r="K51" s="12">
        <f>'Sandnes tomteselskap KF'!D36/1000</f>
        <v>-4388.6615999999995</v>
      </c>
      <c r="L51" s="12"/>
      <c r="M51" s="12">
        <f>('Sandnes havn KF'!C30/1000)*-1</f>
        <v>9021.9269999999997</v>
      </c>
      <c r="N51" s="12"/>
      <c r="O51" s="8"/>
      <c r="P51" s="6" t="s">
        <v>60</v>
      </c>
      <c r="Q51" s="9">
        <f>C51</f>
        <v>134023</v>
      </c>
      <c r="R51" s="10">
        <f>E51</f>
        <v>0</v>
      </c>
      <c r="S51" s="10">
        <f>G51</f>
        <v>0</v>
      </c>
      <c r="T51" s="10">
        <f>I51</f>
        <v>0</v>
      </c>
      <c r="U51" s="10">
        <f>K51</f>
        <v>-4388.6615999999995</v>
      </c>
      <c r="V51" s="10">
        <f>M51</f>
        <v>9021.9269999999997</v>
      </c>
      <c r="W51" s="10">
        <f>D51+F51+H51+J51+L51+N51</f>
        <v>0</v>
      </c>
      <c r="X51" s="9">
        <f t="shared" si="22"/>
        <v>138656.2654</v>
      </c>
    </row>
    <row r="52" spans="1:24" x14ac:dyDescent="0.25">
      <c r="A52" s="6" t="s">
        <v>61</v>
      </c>
      <c r="B52" s="6"/>
      <c r="C52" s="11">
        <f>'Sandnes bykasse'!B44/1000</f>
        <v>0</v>
      </c>
      <c r="D52" s="12"/>
      <c r="E52" s="12">
        <f>'Sandnes eiendomsselskap KF'!B44/1000</f>
        <v>0</v>
      </c>
      <c r="F52" s="12"/>
      <c r="G52" s="12">
        <f>'Sandnes parkering KF'!B44/1000</f>
        <v>0</v>
      </c>
      <c r="H52" s="12"/>
      <c r="I52" s="12">
        <f>'Sandnes kunst- og kulturhus KF'!B44/1000</f>
        <v>0</v>
      </c>
      <c r="J52" s="12"/>
      <c r="K52" s="12"/>
      <c r="L52" s="12"/>
      <c r="M52" s="12"/>
      <c r="N52" s="12"/>
      <c r="O52" s="8"/>
      <c r="P52" s="6" t="s">
        <v>61</v>
      </c>
      <c r="Q52" s="9">
        <f>C52</f>
        <v>0</v>
      </c>
      <c r="R52" s="10">
        <f>E52</f>
        <v>0</v>
      </c>
      <c r="S52" s="10">
        <f>G52</f>
        <v>0</v>
      </c>
      <c r="T52" s="10">
        <f>I52</f>
        <v>0</v>
      </c>
      <c r="U52" s="10">
        <f>K52</f>
        <v>0</v>
      </c>
      <c r="V52" s="10">
        <f>M52</f>
        <v>0</v>
      </c>
      <c r="W52" s="10">
        <f>D52+F52+H52+J52+L52+N52</f>
        <v>0</v>
      </c>
      <c r="X52" s="9">
        <f t="shared" si="22"/>
        <v>0</v>
      </c>
    </row>
    <row r="53" spans="1:24" x14ac:dyDescent="0.25">
      <c r="A53" s="6" t="s">
        <v>62</v>
      </c>
      <c r="B53" s="6"/>
      <c r="C53" s="11">
        <f>'Sandnes bykasse'!B45/1000</f>
        <v>249028.609</v>
      </c>
      <c r="D53" s="12"/>
      <c r="E53" s="12">
        <f>'Sandnes eiendomsselskap KF'!B45/1000</f>
        <v>9955.9750000000004</v>
      </c>
      <c r="F53" s="12"/>
      <c r="G53" s="12">
        <f>'Sandnes parkering KF'!B45/1000</f>
        <v>2826.0354900000002</v>
      </c>
      <c r="H53" s="12"/>
      <c r="I53" s="12">
        <f>'Sandnes kunst- og kulturhus KF'!B45/1000</f>
        <v>0</v>
      </c>
      <c r="J53" s="12"/>
      <c r="K53" s="12"/>
      <c r="L53" s="12"/>
      <c r="M53" s="1">
        <f>('Sandnes havn KF'!C29/1000)*-1</f>
        <v>931.64499999999998</v>
      </c>
      <c r="N53" s="12"/>
      <c r="O53" s="8"/>
      <c r="P53" s="6" t="s">
        <v>62</v>
      </c>
      <c r="Q53" s="9">
        <f>C53</f>
        <v>249028.609</v>
      </c>
      <c r="R53" s="10">
        <f>E53</f>
        <v>9955.9750000000004</v>
      </c>
      <c r="S53" s="10">
        <f>G53</f>
        <v>2826.0354900000002</v>
      </c>
      <c r="T53" s="10">
        <f>I53</f>
        <v>0</v>
      </c>
      <c r="U53" s="10">
        <f>K53</f>
        <v>0</v>
      </c>
      <c r="V53" s="10">
        <f>M46</f>
        <v>931.64499999999998</v>
      </c>
      <c r="W53" s="10">
        <f>D53+F53+H53+J53+L53+N53</f>
        <v>0</v>
      </c>
      <c r="X53" s="9">
        <f t="shared" si="22"/>
        <v>262742.26449000003</v>
      </c>
    </row>
    <row r="54" spans="1:24" x14ac:dyDescent="0.25">
      <c r="A54" s="6" t="s">
        <v>63</v>
      </c>
      <c r="B54" s="6"/>
      <c r="C54" s="11">
        <f>'Sandnes bykasse'!B46/1000</f>
        <v>32707.806499999999</v>
      </c>
      <c r="D54" s="12"/>
      <c r="E54" s="12">
        <f>'Sandnes eiendomsselskap KF'!B46/1000</f>
        <v>9456.1450000000004</v>
      </c>
      <c r="F54" s="12"/>
      <c r="G54" s="12">
        <f>'Sandnes parkering KF'!B46/1000</f>
        <v>931.846</v>
      </c>
      <c r="H54" s="12"/>
      <c r="I54" s="12">
        <f>'Sandnes kunst- og kulturhus KF'!B46/1000</f>
        <v>0</v>
      </c>
      <c r="J54" s="12"/>
      <c r="K54" s="12"/>
      <c r="L54" s="12"/>
      <c r="M54" s="12"/>
      <c r="N54" s="12"/>
      <c r="O54" s="8"/>
      <c r="P54" s="6" t="s">
        <v>63</v>
      </c>
      <c r="Q54" s="9">
        <f>C54</f>
        <v>32707.806499999999</v>
      </c>
      <c r="R54" s="10">
        <f>E54</f>
        <v>9456.1450000000004</v>
      </c>
      <c r="S54" s="10">
        <f>G54</f>
        <v>931.846</v>
      </c>
      <c r="T54" s="10">
        <f>I54</f>
        <v>0</v>
      </c>
      <c r="U54" s="10">
        <f>K54</f>
        <v>0</v>
      </c>
      <c r="V54" s="10">
        <f>M54</f>
        <v>0</v>
      </c>
      <c r="W54" s="10">
        <f>D54+F54+H54+J54+L54+N54</f>
        <v>0</v>
      </c>
      <c r="X54" s="9">
        <f t="shared" si="22"/>
        <v>43095.797499999993</v>
      </c>
    </row>
    <row r="55" spans="1:24" ht="15.75" thickBot="1" x14ac:dyDescent="0.3">
      <c r="A55" s="14" t="s">
        <v>64</v>
      </c>
      <c r="B55" s="14"/>
      <c r="C55" s="29">
        <f>SUM(C51:C54)</f>
        <v>415759.4155</v>
      </c>
      <c r="D55" s="30"/>
      <c r="E55" s="30">
        <f>SUM(E51:E54)</f>
        <v>19412.120000000003</v>
      </c>
      <c r="F55" s="30"/>
      <c r="G55" s="30">
        <f>SUM(G51:G54)</f>
        <v>3757.8814900000002</v>
      </c>
      <c r="H55" s="30"/>
      <c r="I55" s="30">
        <f>SUM(I51:I54)</f>
        <v>0</v>
      </c>
      <c r="J55" s="30"/>
      <c r="K55" s="30">
        <f>SUM(K51:K54)</f>
        <v>-4388.6615999999995</v>
      </c>
      <c r="L55" s="30">
        <f>SUM(L51:L54)</f>
        <v>0</v>
      </c>
      <c r="M55" s="30">
        <f>SUM(M51:M54)</f>
        <v>9953.5720000000001</v>
      </c>
      <c r="N55" s="30">
        <f>SUM(N51:N54)</f>
        <v>0</v>
      </c>
      <c r="O55" s="8"/>
      <c r="P55" s="14" t="s">
        <v>64</v>
      </c>
      <c r="Q55" s="29">
        <f t="shared" ref="Q55:V55" si="26">SUM(Q51:Q54)</f>
        <v>415759.4155</v>
      </c>
      <c r="R55" s="30">
        <f t="shared" si="26"/>
        <v>19412.120000000003</v>
      </c>
      <c r="S55" s="30">
        <f t="shared" si="26"/>
        <v>3757.8814900000002</v>
      </c>
      <c r="T55" s="30">
        <f t="shared" si="26"/>
        <v>0</v>
      </c>
      <c r="U55" s="30">
        <f t="shared" si="26"/>
        <v>-4388.6615999999995</v>
      </c>
      <c r="V55" s="30">
        <f t="shared" si="26"/>
        <v>9953.5720000000001</v>
      </c>
      <c r="W55" s="10">
        <f>D55+F55+H55+J55+L55+N55</f>
        <v>0</v>
      </c>
      <c r="X55" s="9">
        <f t="shared" si="22"/>
        <v>444494.32738999999</v>
      </c>
    </row>
    <row r="56" spans="1:24" x14ac:dyDescent="0.25">
      <c r="A56" s="22"/>
      <c r="B56" s="22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8"/>
      <c r="P56" s="22"/>
      <c r="Q56" s="20"/>
      <c r="R56" s="21"/>
      <c r="S56" s="21"/>
      <c r="T56" s="21"/>
      <c r="U56" s="21"/>
      <c r="V56" s="21"/>
      <c r="W56" s="21"/>
      <c r="X56" s="9">
        <f t="shared" si="22"/>
        <v>0</v>
      </c>
    </row>
    <row r="57" spans="1:24" ht="15.75" thickBot="1" x14ac:dyDescent="0.3">
      <c r="A57" s="13" t="s">
        <v>65</v>
      </c>
      <c r="B57" s="14"/>
      <c r="C57" s="11">
        <f>C43+C49-C55</f>
        <v>16287.880239999853</v>
      </c>
      <c r="D57" s="11">
        <f>D43+D49-D55</f>
        <v>-122161</v>
      </c>
      <c r="E57" s="11">
        <f>E43+E49-E55</f>
        <v>1927.4838199999795</v>
      </c>
      <c r="F57" s="11">
        <f>F43+F49-F55</f>
        <v>126582</v>
      </c>
      <c r="G57" s="11">
        <f>G43+G49-G55</f>
        <v>1211.3274899999956</v>
      </c>
      <c r="H57" s="11"/>
      <c r="I57" s="11">
        <f>I43+I49-I55</f>
        <v>848.61260999999922</v>
      </c>
      <c r="J57" s="11"/>
      <c r="K57" s="9">
        <f>K43+K49-K55</f>
        <v>11560.739000000001</v>
      </c>
      <c r="L57" s="11">
        <f>L43+L49-L55</f>
        <v>-12944</v>
      </c>
      <c r="M57" s="11">
        <f>ROUND(M43+M49-M55,-3)</f>
        <v>0</v>
      </c>
      <c r="N57" s="11">
        <f>N43+N49-N55</f>
        <v>-254</v>
      </c>
      <c r="O57" s="8"/>
      <c r="P57" s="13" t="s">
        <v>65</v>
      </c>
      <c r="Q57" s="15">
        <f t="shared" ref="Q57:W57" si="27">Q43+Q49-Q55</f>
        <v>16287.880239999853</v>
      </c>
      <c r="R57" s="16">
        <f t="shared" si="27"/>
        <v>1927.4838199999795</v>
      </c>
      <c r="S57" s="16">
        <f t="shared" si="27"/>
        <v>1211.3274899999956</v>
      </c>
      <c r="T57" s="16">
        <f t="shared" si="27"/>
        <v>848.61260999999922</v>
      </c>
      <c r="U57" s="16">
        <f t="shared" si="27"/>
        <v>11560.739000000001</v>
      </c>
      <c r="V57" s="16">
        <f>V43+V49-V55</f>
        <v>-0.11400000000139698</v>
      </c>
      <c r="W57" s="16">
        <f t="shared" si="27"/>
        <v>0</v>
      </c>
      <c r="X57" s="9">
        <f t="shared" si="22"/>
        <v>31835.929159999829</v>
      </c>
    </row>
    <row r="58" spans="1:24" x14ac:dyDescent="0.25">
      <c r="C58" s="8">
        <f>C57+E57+G57+I57+K57+M57</f>
        <v>31836.04315999983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3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5"/>
      <c r="P61" s="115"/>
      <c r="Q61" s="114"/>
      <c r="R61" s="114"/>
      <c r="S61" s="114"/>
      <c r="T61" s="114"/>
      <c r="U61" s="114"/>
      <c r="V61" s="114"/>
      <c r="W61" s="114"/>
      <c r="X61" s="114" t="s">
        <v>248</v>
      </c>
    </row>
    <row r="62" spans="1:24" ht="45" x14ac:dyDescent="0.25">
      <c r="A62" s="2" t="s">
        <v>72</v>
      </c>
      <c r="B62" s="3" t="str">
        <f t="shared" ref="B62:N62" si="28">B3</f>
        <v>Eliminering art</v>
      </c>
      <c r="C62" s="3" t="str">
        <f t="shared" si="28"/>
        <v>Sandnes kommune</v>
      </c>
      <c r="D62" s="175" t="str">
        <f>D3</f>
        <v>Eliminering kommune</v>
      </c>
      <c r="E62" s="3" t="str">
        <f t="shared" si="28"/>
        <v>Sandnes eiendomsselskap KF</v>
      </c>
      <c r="F62" s="175" t="str">
        <f>F3</f>
        <v>Eliminering SE</v>
      </c>
      <c r="G62" s="3" t="str">
        <f>G3</f>
        <v>Sandnes parkering KF</v>
      </c>
      <c r="H62" s="175" t="str">
        <f>H3</f>
        <v>Eliminering SP</v>
      </c>
      <c r="I62" s="3" t="str">
        <f>I3</f>
        <v>Sandnes kunst- og kulturhus KF</v>
      </c>
      <c r="J62" s="175" t="str">
        <f>J3</f>
        <v>Eliminering SKK</v>
      </c>
      <c r="K62" s="3" t="str">
        <f t="shared" si="28"/>
        <v>Sandnes tomteselskap KF</v>
      </c>
      <c r="L62" s="175" t="str">
        <f t="shared" si="28"/>
        <v>Eliminering ST</v>
      </c>
      <c r="M62" s="3" t="str">
        <f t="shared" si="28"/>
        <v>Sandnes havn KF</v>
      </c>
      <c r="N62" s="175" t="str">
        <f t="shared" si="28"/>
        <v>Eliminering SH</v>
      </c>
      <c r="Q62" s="4" t="str">
        <f>Q3</f>
        <v>Sandnes kommune</v>
      </c>
      <c r="R62" s="4" t="str">
        <f t="shared" ref="R62:X62" si="29">R3</f>
        <v>Sandnes eiendomsselskap KF</v>
      </c>
      <c r="S62" s="4" t="str">
        <f t="shared" si="29"/>
        <v>Sandnes parkering KF</v>
      </c>
      <c r="T62" s="4" t="str">
        <f t="shared" si="29"/>
        <v>Sandnes kunst- og kulturhus KF</v>
      </c>
      <c r="U62" s="4" t="str">
        <f t="shared" si="29"/>
        <v>Sandnes tomteselskap KF</v>
      </c>
      <c r="V62" s="4" t="str">
        <f t="shared" si="29"/>
        <v>Sandnes havn KF</v>
      </c>
      <c r="W62" s="176" t="str">
        <f>W3</f>
        <v>Eliminering</v>
      </c>
      <c r="X62" s="4" t="str">
        <f t="shared" si="29"/>
        <v>Sum konsern</v>
      </c>
    </row>
    <row r="63" spans="1:24" x14ac:dyDescent="0.25">
      <c r="A63" s="2"/>
      <c r="B63" s="3"/>
      <c r="C63" s="3"/>
      <c r="D63" s="175"/>
      <c r="E63" s="3"/>
      <c r="F63" s="175"/>
      <c r="G63" s="3"/>
      <c r="H63" s="175"/>
      <c r="I63" s="3"/>
      <c r="J63" s="175"/>
      <c r="K63" s="3"/>
      <c r="L63" s="175"/>
      <c r="M63" s="3"/>
      <c r="N63" s="175"/>
      <c r="Q63" s="4"/>
      <c r="R63" s="4"/>
      <c r="S63" s="4"/>
      <c r="T63" s="4"/>
      <c r="U63" s="4"/>
      <c r="V63" s="4"/>
      <c r="W63" s="177" t="s">
        <v>259</v>
      </c>
      <c r="X63" s="177" t="s">
        <v>260</v>
      </c>
    </row>
    <row r="64" spans="1:24" x14ac:dyDescent="0.25">
      <c r="A64" s="5" t="s">
        <v>67</v>
      </c>
      <c r="B64" s="6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8"/>
      <c r="P64" s="8"/>
      <c r="Q64" s="9"/>
      <c r="R64" s="10"/>
      <c r="S64" s="10"/>
      <c r="T64" s="10"/>
      <c r="U64" s="10"/>
      <c r="V64" s="10"/>
      <c r="W64" s="10"/>
      <c r="X64" s="9"/>
    </row>
    <row r="65" spans="1:24" x14ac:dyDescent="0.25">
      <c r="A65" s="6" t="s">
        <v>68</v>
      </c>
      <c r="B65" s="6"/>
      <c r="C65" s="11">
        <f>'Sandnes bykasse'!B52/1000</f>
        <v>22.965</v>
      </c>
      <c r="D65" s="12"/>
      <c r="E65" s="12">
        <f>'Sandnes eiendomsselskap KF'!B52/1000</f>
        <v>7560.7018399999997</v>
      </c>
      <c r="F65" s="12"/>
      <c r="G65" s="12">
        <f>'Sandnes parkering KF'!B52/1000</f>
        <v>0</v>
      </c>
      <c r="H65" s="12"/>
      <c r="I65" s="12">
        <f>'Sandnes kunst- og kulturhus KF'!B52/1000</f>
        <v>0</v>
      </c>
      <c r="J65" s="12"/>
      <c r="K65" s="12">
        <f>ROUND('Sandnes tomteselskap KF'!D11/1000,-0.1)</f>
        <v>78763</v>
      </c>
      <c r="L65" s="12"/>
      <c r="M65" s="12">
        <f>'Sandnes havn KF'!C54/1000</f>
        <v>2576.9969999999998</v>
      </c>
      <c r="N65" s="12"/>
      <c r="O65" s="8"/>
      <c r="P65" s="8"/>
      <c r="Q65" s="9">
        <f t="shared" ref="Q65:Q71" si="30">C65</f>
        <v>22.965</v>
      </c>
      <c r="R65" s="10">
        <f t="shared" ref="R65:R71" si="31">E65</f>
        <v>7560.7018399999997</v>
      </c>
      <c r="S65" s="10">
        <f t="shared" ref="S65:S71" si="32">G65</f>
        <v>0</v>
      </c>
      <c r="T65" s="10">
        <f t="shared" ref="T65:T71" si="33">I65</f>
        <v>0</v>
      </c>
      <c r="U65" s="10">
        <f>K65</f>
        <v>78763</v>
      </c>
      <c r="V65" s="10">
        <f t="shared" ref="V65:V71" si="34">M65</f>
        <v>2576.9969999999998</v>
      </c>
      <c r="W65" s="10">
        <f t="shared" ref="W65:W71" si="35">D65+F65+H65+J65+L65+N65</f>
        <v>0</v>
      </c>
      <c r="X65" s="9">
        <f t="shared" ref="X65:X105" si="36">SUM(Q65:V65)-W65</f>
        <v>88923.663840000008</v>
      </c>
    </row>
    <row r="66" spans="1:24" x14ac:dyDescent="0.25">
      <c r="A66" s="6" t="s">
        <v>69</v>
      </c>
      <c r="B66" s="6"/>
      <c r="C66" s="11">
        <f>'Sandnes bykasse'!B53/1000</f>
        <v>502.39499999999998</v>
      </c>
      <c r="D66" s="12"/>
      <c r="E66" s="12">
        <f>'Sandnes eiendomsselskap KF'!B53/1000</f>
        <v>2176.7707999999998</v>
      </c>
      <c r="F66" s="12"/>
      <c r="G66" s="12">
        <f>'Sandnes parkering KF'!B53/1000</f>
        <v>0</v>
      </c>
      <c r="H66" s="12"/>
      <c r="I66" s="12">
        <f>'Sandnes kunst- og kulturhus KF'!B53/1000</f>
        <v>0</v>
      </c>
      <c r="J66" s="12"/>
      <c r="K66" s="12"/>
      <c r="L66" s="12"/>
      <c r="M66" s="12"/>
      <c r="N66" s="12"/>
      <c r="O66" s="8"/>
      <c r="P66" s="8"/>
      <c r="Q66" s="9">
        <f t="shared" si="30"/>
        <v>502.39499999999998</v>
      </c>
      <c r="R66" s="10">
        <f t="shared" si="31"/>
        <v>2176.7707999999998</v>
      </c>
      <c r="S66" s="10">
        <f t="shared" si="32"/>
        <v>0</v>
      </c>
      <c r="T66" s="10">
        <f t="shared" si="33"/>
        <v>0</v>
      </c>
      <c r="U66" s="10">
        <f t="shared" ref="U66:U71" si="37">K66</f>
        <v>0</v>
      </c>
      <c r="V66" s="10">
        <f t="shared" si="34"/>
        <v>0</v>
      </c>
      <c r="W66" s="10">
        <f t="shared" si="35"/>
        <v>0</v>
      </c>
      <c r="X66" s="9">
        <f t="shared" si="36"/>
        <v>2679.1657999999998</v>
      </c>
    </row>
    <row r="67" spans="1:24" x14ac:dyDescent="0.25">
      <c r="A67" s="6" t="s">
        <v>23</v>
      </c>
      <c r="B67" s="6">
        <v>780</v>
      </c>
      <c r="C67" s="11">
        <f>'Sandnes bykasse'!B54/1000</f>
        <v>111598.53448999999</v>
      </c>
      <c r="D67" s="12"/>
      <c r="E67" s="12">
        <f>'Sandnes eiendomsselskap KF'!B54/1000</f>
        <v>64606.648999999998</v>
      </c>
      <c r="F67" s="12"/>
      <c r="G67" s="12">
        <f>'Sandnes parkering KF'!B54/1000</f>
        <v>0</v>
      </c>
      <c r="H67" s="12"/>
      <c r="I67" s="12">
        <f>'Sandnes kunst- og kulturhus KF'!B54/1000</f>
        <v>0</v>
      </c>
      <c r="J67" s="12"/>
      <c r="K67" s="12"/>
      <c r="L67" s="12"/>
      <c r="M67" s="12"/>
      <c r="N67" s="12"/>
      <c r="O67" s="8"/>
      <c r="P67" s="8"/>
      <c r="Q67" s="9">
        <f t="shared" si="30"/>
        <v>111598.53448999999</v>
      </c>
      <c r="R67" s="10">
        <f t="shared" si="31"/>
        <v>64606.648999999998</v>
      </c>
      <c r="S67" s="10">
        <f t="shared" si="32"/>
        <v>0</v>
      </c>
      <c r="T67" s="10">
        <f t="shared" si="33"/>
        <v>0</v>
      </c>
      <c r="U67" s="10">
        <f t="shared" si="37"/>
        <v>0</v>
      </c>
      <c r="V67" s="10">
        <f t="shared" si="34"/>
        <v>0</v>
      </c>
      <c r="W67" s="10">
        <f t="shared" si="35"/>
        <v>0</v>
      </c>
      <c r="X67" s="9">
        <f t="shared" si="36"/>
        <v>176205.18349</v>
      </c>
    </row>
    <row r="68" spans="1:24" x14ac:dyDescent="0.25">
      <c r="A68" s="6" t="s">
        <v>70</v>
      </c>
      <c r="B68" s="6"/>
      <c r="C68" s="11">
        <f>'Sandnes bykasse'!B55/1000</f>
        <v>50575.142329999995</v>
      </c>
      <c r="D68" s="12"/>
      <c r="E68" s="12">
        <f>'Sandnes eiendomsselskap KF'!B55/1000</f>
        <v>120939.40905</v>
      </c>
      <c r="F68" s="12"/>
      <c r="G68" s="12">
        <f>'Sandnes parkering KF'!B55/1000</f>
        <v>0</v>
      </c>
      <c r="H68" s="12"/>
      <c r="I68" s="12">
        <f>'Sandnes kunst- og kulturhus KF'!B55/1000</f>
        <v>52.455500000000001</v>
      </c>
      <c r="J68" s="12"/>
      <c r="K68" s="12"/>
      <c r="L68" s="12"/>
      <c r="M68" s="12"/>
      <c r="N68" s="12"/>
      <c r="O68" s="8"/>
      <c r="P68" s="8"/>
      <c r="Q68" s="9">
        <f t="shared" si="30"/>
        <v>50575.142329999995</v>
      </c>
      <c r="R68" s="10">
        <f t="shared" si="31"/>
        <v>120939.40905</v>
      </c>
      <c r="S68" s="10">
        <f t="shared" si="32"/>
        <v>0</v>
      </c>
      <c r="T68" s="10">
        <f t="shared" si="33"/>
        <v>52.455500000000001</v>
      </c>
      <c r="U68" s="10">
        <f t="shared" si="37"/>
        <v>0</v>
      </c>
      <c r="V68" s="10">
        <f t="shared" si="34"/>
        <v>0</v>
      </c>
      <c r="W68" s="10">
        <f t="shared" si="35"/>
        <v>0</v>
      </c>
      <c r="X68" s="9">
        <f t="shared" si="36"/>
        <v>171567.00688</v>
      </c>
    </row>
    <row r="69" spans="1:24" x14ac:dyDescent="0.25">
      <c r="A69" s="6" t="s">
        <v>71</v>
      </c>
      <c r="B69" s="6"/>
      <c r="C69" s="11">
        <f>'Sandnes bykasse'!B56/1000</f>
        <v>10256</v>
      </c>
      <c r="D69" s="12"/>
      <c r="E69" s="12">
        <f>'Sandnes eiendomsselskap KF'!B56/1000</f>
        <v>7505</v>
      </c>
      <c r="F69" s="12"/>
      <c r="G69" s="12">
        <f>'Sandnes parkering KF'!B56/1000</f>
        <v>0</v>
      </c>
      <c r="H69" s="12"/>
      <c r="I69" s="12">
        <f>'Sandnes kunst- og kulturhus KF'!B56/1000</f>
        <v>0</v>
      </c>
      <c r="J69" s="12"/>
      <c r="K69" s="12"/>
      <c r="L69" s="12"/>
      <c r="M69" s="12"/>
      <c r="N69" s="12"/>
      <c r="O69" s="8"/>
      <c r="P69" s="8"/>
      <c r="Q69" s="9">
        <f t="shared" si="30"/>
        <v>10256</v>
      </c>
      <c r="R69" s="10">
        <f t="shared" si="31"/>
        <v>7505</v>
      </c>
      <c r="S69" s="10">
        <f t="shared" si="32"/>
        <v>0</v>
      </c>
      <c r="T69" s="10">
        <f t="shared" si="33"/>
        <v>0</v>
      </c>
      <c r="U69" s="10">
        <f t="shared" si="37"/>
        <v>0</v>
      </c>
      <c r="V69" s="10">
        <f t="shared" si="34"/>
        <v>0</v>
      </c>
      <c r="W69" s="10">
        <f t="shared" si="35"/>
        <v>0</v>
      </c>
      <c r="X69" s="9">
        <f t="shared" si="36"/>
        <v>17761</v>
      </c>
    </row>
    <row r="70" spans="1:24" x14ac:dyDescent="0.25">
      <c r="A70" s="6" t="s">
        <v>26</v>
      </c>
      <c r="B70" s="6">
        <v>880</v>
      </c>
      <c r="C70" s="11">
        <f>'Sandnes bykasse'!B57/1000</f>
        <v>16438.775000000001</v>
      </c>
      <c r="D70" s="12"/>
      <c r="E70" s="12">
        <f>'Sandnes eiendomsselskap KF'!B57/1000</f>
        <v>1456.1912</v>
      </c>
      <c r="F70" s="12"/>
      <c r="G70" s="12">
        <f>'Sandnes parkering KF'!B57/1000</f>
        <v>0</v>
      </c>
      <c r="H70" s="12"/>
      <c r="I70" s="12">
        <f>'Sandnes kunst- og kulturhus KF'!B57/1000</f>
        <v>300</v>
      </c>
      <c r="J70" s="184">
        <v>300</v>
      </c>
      <c r="K70" s="12"/>
      <c r="L70" s="12"/>
      <c r="M70" s="12">
        <f>'Sandnes havn KF'!C52/1000</f>
        <v>269.06099999999998</v>
      </c>
      <c r="N70" s="12"/>
      <c r="O70" s="8"/>
      <c r="P70" s="8"/>
      <c r="Q70" s="9">
        <f t="shared" si="30"/>
        <v>16438.775000000001</v>
      </c>
      <c r="R70" s="10">
        <f t="shared" si="31"/>
        <v>1456.1912</v>
      </c>
      <c r="S70" s="10">
        <f t="shared" si="32"/>
        <v>0</v>
      </c>
      <c r="T70" s="10">
        <f t="shared" si="33"/>
        <v>300</v>
      </c>
      <c r="U70" s="10">
        <f t="shared" si="37"/>
        <v>0</v>
      </c>
      <c r="V70" s="10">
        <f t="shared" si="34"/>
        <v>269.06099999999998</v>
      </c>
      <c r="W70" s="10">
        <f t="shared" si="35"/>
        <v>300</v>
      </c>
      <c r="X70" s="9">
        <f t="shared" si="36"/>
        <v>18164.027200000004</v>
      </c>
    </row>
    <row r="71" spans="1:24" x14ac:dyDescent="0.25">
      <c r="A71" s="6" t="s">
        <v>42</v>
      </c>
      <c r="B71" s="6"/>
      <c r="C71" s="11">
        <f>'Sandnes bykasse'!B58/1000</f>
        <v>0</v>
      </c>
      <c r="D71" s="12"/>
      <c r="E71" s="12">
        <f>'Sandnes eiendomsselskap KF'!B58/1000</f>
        <v>0</v>
      </c>
      <c r="F71" s="12"/>
      <c r="G71" s="12">
        <f>'Sandnes parkering KF'!B58/1000</f>
        <v>0</v>
      </c>
      <c r="H71" s="12"/>
      <c r="I71" s="12">
        <f>'Sandnes kunst- og kulturhus KF'!B58/1000</f>
        <v>0</v>
      </c>
      <c r="J71" s="12"/>
      <c r="K71" s="12"/>
      <c r="L71" s="12"/>
      <c r="M71" s="12"/>
      <c r="N71" s="12"/>
      <c r="O71" s="8"/>
      <c r="P71" s="8"/>
      <c r="Q71" s="9">
        <f t="shared" si="30"/>
        <v>0</v>
      </c>
      <c r="R71" s="10">
        <f t="shared" si="31"/>
        <v>0</v>
      </c>
      <c r="S71" s="10">
        <f t="shared" si="32"/>
        <v>0</v>
      </c>
      <c r="T71" s="10">
        <f t="shared" si="33"/>
        <v>0</v>
      </c>
      <c r="U71" s="10">
        <f t="shared" si="37"/>
        <v>0</v>
      </c>
      <c r="V71" s="10">
        <f t="shared" si="34"/>
        <v>0</v>
      </c>
      <c r="W71" s="10">
        <f t="shared" si="35"/>
        <v>0</v>
      </c>
      <c r="X71" s="9">
        <f t="shared" si="36"/>
        <v>0</v>
      </c>
    </row>
    <row r="72" spans="1:24" ht="15.75" thickBot="1" x14ac:dyDescent="0.3">
      <c r="A72" s="13" t="s">
        <v>73</v>
      </c>
      <c r="B72" s="14"/>
      <c r="C72" s="11">
        <f>SUM(C65:C71)</f>
        <v>189393.81181999997</v>
      </c>
      <c r="D72" s="11">
        <f>SUM(D65:D71)</f>
        <v>0</v>
      </c>
      <c r="E72" s="11">
        <f>SUM(E65:E71)</f>
        <v>204244.72188999999</v>
      </c>
      <c r="F72" s="11">
        <f>SUM(F65:F71)</f>
        <v>0</v>
      </c>
      <c r="G72" s="11">
        <f>SUM(G65:G71)</f>
        <v>0</v>
      </c>
      <c r="H72" s="11"/>
      <c r="I72" s="11">
        <f>SUM(I65:I71)</f>
        <v>352.45550000000003</v>
      </c>
      <c r="J72" s="11"/>
      <c r="K72" s="11">
        <f>SUM(K65:K71)</f>
        <v>78763</v>
      </c>
      <c r="L72" s="11">
        <f>SUM(L65:L71)</f>
        <v>0</v>
      </c>
      <c r="M72" s="11">
        <f>SUM(M65:M71)</f>
        <v>2846.058</v>
      </c>
      <c r="N72" s="11">
        <f>SUM(N65:N71)</f>
        <v>0</v>
      </c>
      <c r="O72" s="8"/>
      <c r="P72" s="8"/>
      <c r="Q72" s="15">
        <f t="shared" ref="Q72:W72" si="38">SUM(Q65:Q71)</f>
        <v>189393.81181999997</v>
      </c>
      <c r="R72" s="16">
        <f>SUM(R65:R71)</f>
        <v>204244.72188999999</v>
      </c>
      <c r="S72" s="16">
        <f>SUM(S65:S71)</f>
        <v>0</v>
      </c>
      <c r="T72" s="16">
        <f>SUM(T65:T71)</f>
        <v>352.45550000000003</v>
      </c>
      <c r="U72" s="16">
        <f>SUM(U65:U71)</f>
        <v>78763</v>
      </c>
      <c r="V72" s="16">
        <f t="shared" si="38"/>
        <v>2846.058</v>
      </c>
      <c r="W72" s="16">
        <f t="shared" si="38"/>
        <v>300</v>
      </c>
      <c r="X72" s="9">
        <f t="shared" si="36"/>
        <v>475300.04720999999</v>
      </c>
    </row>
    <row r="73" spans="1:24" x14ac:dyDescent="0.25">
      <c r="A73" s="22"/>
      <c r="B73" s="22"/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8"/>
      <c r="P73" s="8"/>
      <c r="Q73" s="20"/>
      <c r="R73" s="21"/>
      <c r="S73" s="21"/>
      <c r="T73" s="21"/>
      <c r="U73" s="21"/>
      <c r="V73" s="21"/>
      <c r="W73" s="21"/>
      <c r="X73" s="9">
        <f t="shared" si="36"/>
        <v>0</v>
      </c>
    </row>
    <row r="74" spans="1:24" x14ac:dyDescent="0.25">
      <c r="A74" s="5" t="s">
        <v>74</v>
      </c>
      <c r="B74" s="6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8"/>
      <c r="P74" s="8"/>
      <c r="Q74" s="9"/>
      <c r="R74" s="10"/>
      <c r="S74" s="10"/>
      <c r="T74" s="10"/>
      <c r="U74" s="10"/>
      <c r="V74" s="10"/>
      <c r="W74" s="10"/>
      <c r="X74" s="9">
        <f t="shared" si="36"/>
        <v>0</v>
      </c>
    </row>
    <row r="75" spans="1:24" x14ac:dyDescent="0.25">
      <c r="A75" s="6" t="s">
        <v>32</v>
      </c>
      <c r="B75" s="6"/>
      <c r="C75" s="11">
        <f>'Sandnes bykasse'!B61/1000</f>
        <v>0</v>
      </c>
      <c r="D75" s="12"/>
      <c r="E75" s="12">
        <f>'Sandnes eiendomsselskap KF'!B61/1000</f>
        <v>0</v>
      </c>
      <c r="F75" s="12"/>
      <c r="G75" s="12">
        <f>'Sandnes parkering KF'!B61/1000</f>
        <v>0</v>
      </c>
      <c r="H75" s="12"/>
      <c r="I75" s="12">
        <f>'Sandnes kunst- og kulturhus KF'!B61/1000</f>
        <v>0</v>
      </c>
      <c r="J75" s="12"/>
      <c r="K75" s="12">
        <f>ROUND(('Sandnes tomteselskap KF'!D17*0.744)/1000,-0.1)</f>
        <v>7725</v>
      </c>
      <c r="L75" s="12"/>
      <c r="M75" s="12"/>
      <c r="N75" s="12"/>
      <c r="O75" s="8"/>
      <c r="P75" s="8"/>
      <c r="Q75" s="9">
        <f t="shared" ref="Q75:Q81" si="39">C75</f>
        <v>0</v>
      </c>
      <c r="R75" s="10">
        <f t="shared" ref="R75:R81" si="40">E75</f>
        <v>0</v>
      </c>
      <c r="S75" s="10">
        <f t="shared" ref="S75:S81" si="41">G75</f>
        <v>0</v>
      </c>
      <c r="T75" s="10">
        <f>I75</f>
        <v>0</v>
      </c>
      <c r="U75" s="10">
        <f t="shared" ref="U75:U81" si="42">K75</f>
        <v>7725</v>
      </c>
      <c r="V75" s="10">
        <f t="shared" ref="V75:V81" si="43">M75</f>
        <v>0</v>
      </c>
      <c r="W75" s="10">
        <f t="shared" ref="W75:W81" si="44">D75+F75+H75+J75+L75+N75</f>
        <v>0</v>
      </c>
      <c r="X75" s="9">
        <f t="shared" si="36"/>
        <v>7725</v>
      </c>
    </row>
    <row r="76" spans="1:24" x14ac:dyDescent="0.25">
      <c r="A76" s="6" t="s">
        <v>33</v>
      </c>
      <c r="B76" s="6"/>
      <c r="C76" s="11">
        <f>'Sandnes bykasse'!B62/1000</f>
        <v>0</v>
      </c>
      <c r="D76" s="12"/>
      <c r="E76" s="12">
        <f>'Sandnes eiendomsselskap KF'!B62/1000</f>
        <v>0</v>
      </c>
      <c r="F76" s="12"/>
      <c r="G76" s="12">
        <f>'Sandnes parkering KF'!B62/1000</f>
        <v>0</v>
      </c>
      <c r="H76" s="12"/>
      <c r="I76" s="12">
        <f>'Sandnes kunst- og kulturhus KF'!B62/1000</f>
        <v>0</v>
      </c>
      <c r="J76" s="12"/>
      <c r="K76" s="12">
        <f>ROUND(('Sandnes tomteselskap KF'!D17*0.256)/1000,-0.1)</f>
        <v>2658</v>
      </c>
      <c r="L76" s="12"/>
      <c r="N76" s="12"/>
      <c r="O76" s="8"/>
      <c r="P76" s="8"/>
      <c r="Q76" s="9">
        <f t="shared" si="39"/>
        <v>0</v>
      </c>
      <c r="R76" s="10">
        <f t="shared" si="40"/>
        <v>0</v>
      </c>
      <c r="S76" s="10">
        <f t="shared" si="41"/>
        <v>0</v>
      </c>
      <c r="T76" s="10">
        <f t="shared" ref="T76:T81" si="45">I76</f>
        <v>0</v>
      </c>
      <c r="U76" s="10">
        <f t="shared" si="42"/>
        <v>2658</v>
      </c>
      <c r="V76" s="10">
        <f t="shared" si="43"/>
        <v>0</v>
      </c>
      <c r="W76" s="10">
        <f t="shared" si="44"/>
        <v>0</v>
      </c>
      <c r="X76" s="9">
        <f t="shared" si="36"/>
        <v>2658</v>
      </c>
    </row>
    <row r="77" spans="1:24" x14ac:dyDescent="0.25">
      <c r="A77" s="6" t="s">
        <v>34</v>
      </c>
      <c r="B77" s="6"/>
      <c r="C77" s="11">
        <f>'Sandnes bykasse'!B63/1000</f>
        <v>343956.28529999999</v>
      </c>
      <c r="D77" s="12"/>
      <c r="E77" s="12">
        <f>'Sandnes eiendomsselskap KF'!B63/1000</f>
        <v>687129.90707000007</v>
      </c>
      <c r="F77" s="12"/>
      <c r="G77" s="12">
        <f>'Sandnes parkering KF'!B63/1000</f>
        <v>0</v>
      </c>
      <c r="H77" s="12"/>
      <c r="I77" s="12">
        <f>'Sandnes kunst- og kulturhus KF'!B63/1000</f>
        <v>209.822</v>
      </c>
      <c r="J77" s="12"/>
      <c r="K77" s="12">
        <f>ROUND(('Sandnes tomteselskap KF'!D18/1000+5020),-0.1)</f>
        <v>68380</v>
      </c>
      <c r="L77" s="12"/>
      <c r="M77" s="12">
        <f>SUM('Sandnes havn KF'!C36:C45)/1000</f>
        <v>11867.985000000001</v>
      </c>
      <c r="N77" s="12"/>
      <c r="O77" s="8"/>
      <c r="P77" s="8"/>
      <c r="Q77" s="9">
        <f t="shared" si="39"/>
        <v>343956.28529999999</v>
      </c>
      <c r="R77" s="10">
        <f t="shared" si="40"/>
        <v>687129.90707000007</v>
      </c>
      <c r="S77" s="10">
        <f t="shared" si="41"/>
        <v>0</v>
      </c>
      <c r="T77" s="10">
        <f t="shared" si="45"/>
        <v>209.822</v>
      </c>
      <c r="U77" s="10">
        <f t="shared" si="42"/>
        <v>68380</v>
      </c>
      <c r="V77" s="10">
        <f t="shared" si="43"/>
        <v>11867.985000000001</v>
      </c>
      <c r="W77" s="10">
        <f t="shared" si="44"/>
        <v>0</v>
      </c>
      <c r="X77" s="9">
        <f t="shared" si="36"/>
        <v>1111543.9993700001</v>
      </c>
    </row>
    <row r="78" spans="1:24" x14ac:dyDescent="0.25">
      <c r="A78" s="6" t="s">
        <v>35</v>
      </c>
      <c r="B78" s="6">
        <v>380</v>
      </c>
      <c r="C78" s="11">
        <f>'Sandnes bykasse'!B64/1000</f>
        <v>6536.1329999999998</v>
      </c>
      <c r="D78" s="12"/>
      <c r="E78" s="12">
        <f>'Sandnes eiendomsselskap KF'!B64/1000</f>
        <v>0</v>
      </c>
      <c r="F78" s="12"/>
      <c r="G78" s="12">
        <f>'Sandnes parkering KF'!B64/1000</f>
        <v>0</v>
      </c>
      <c r="H78" s="12"/>
      <c r="I78" s="12">
        <f>'Sandnes kunst- og kulturhus KF'!B64/1000</f>
        <v>0</v>
      </c>
      <c r="J78" s="12"/>
      <c r="K78" s="12"/>
      <c r="L78" s="12"/>
      <c r="M78" s="12"/>
      <c r="N78" s="12"/>
      <c r="O78" s="8"/>
      <c r="P78" s="8"/>
      <c r="Q78" s="9">
        <f t="shared" si="39"/>
        <v>6536.1329999999998</v>
      </c>
      <c r="R78" s="10">
        <f t="shared" si="40"/>
        <v>0</v>
      </c>
      <c r="S78" s="10">
        <f t="shared" si="41"/>
        <v>0</v>
      </c>
      <c r="T78" s="10">
        <f t="shared" si="45"/>
        <v>0</v>
      </c>
      <c r="U78" s="10">
        <f t="shared" si="42"/>
        <v>0</v>
      </c>
      <c r="V78" s="10">
        <f t="shared" si="43"/>
        <v>0</v>
      </c>
      <c r="W78" s="10">
        <f t="shared" si="44"/>
        <v>0</v>
      </c>
      <c r="X78" s="9">
        <f t="shared" si="36"/>
        <v>6536.1329999999998</v>
      </c>
    </row>
    <row r="79" spans="1:24" x14ac:dyDescent="0.25">
      <c r="A79" s="6" t="s">
        <v>36</v>
      </c>
      <c r="B79" s="6">
        <v>480</v>
      </c>
      <c r="C79" s="11">
        <f>'Sandnes bykasse'!B65/1000</f>
        <v>54762.422530000003</v>
      </c>
      <c r="D79" s="184">
        <v>300</v>
      </c>
      <c r="E79" s="12">
        <f>'Sandnes eiendomsselskap KF'!B65/1000</f>
        <v>133489.81704999998</v>
      </c>
      <c r="F79" s="12"/>
      <c r="G79" s="12">
        <f>'Sandnes parkering KF'!B65/1000</f>
        <v>0</v>
      </c>
      <c r="H79" s="12"/>
      <c r="I79" s="12">
        <f>'Sandnes kunst- og kulturhus KF'!B65/1000</f>
        <v>52.455500000000001</v>
      </c>
      <c r="J79" s="12"/>
      <c r="K79" s="12"/>
      <c r="L79" s="12"/>
      <c r="M79" s="12"/>
      <c r="N79" s="12"/>
      <c r="O79" s="8"/>
      <c r="P79" s="8"/>
      <c r="Q79" s="9">
        <f t="shared" si="39"/>
        <v>54762.422530000003</v>
      </c>
      <c r="R79" s="10">
        <f t="shared" si="40"/>
        <v>133489.81704999998</v>
      </c>
      <c r="S79" s="10">
        <f t="shared" si="41"/>
        <v>0</v>
      </c>
      <c r="T79" s="10">
        <f t="shared" si="45"/>
        <v>52.455500000000001</v>
      </c>
      <c r="U79" s="10">
        <f t="shared" si="42"/>
        <v>0</v>
      </c>
      <c r="V79" s="10">
        <f t="shared" si="43"/>
        <v>0</v>
      </c>
      <c r="W79" s="10">
        <f t="shared" si="44"/>
        <v>300</v>
      </c>
      <c r="X79" s="9">
        <f t="shared" si="36"/>
        <v>188004.69508</v>
      </c>
    </row>
    <row r="80" spans="1:24" x14ac:dyDescent="0.25">
      <c r="A80" s="6" t="s">
        <v>75</v>
      </c>
      <c r="B80" s="6"/>
      <c r="C80" s="11">
        <f>'Sandnes bykasse'!B66/1000</f>
        <v>0</v>
      </c>
      <c r="D80" s="12"/>
      <c r="E80" s="12">
        <f>'Sandnes eiendomsselskap KF'!B66/1000</f>
        <v>45.486550000000001</v>
      </c>
      <c r="F80" s="12"/>
      <c r="G80" s="12">
        <f>'Sandnes parkering KF'!B66/1000</f>
        <v>0</v>
      </c>
      <c r="H80" s="12"/>
      <c r="I80" s="12">
        <f>'Sandnes kunst- og kulturhus KF'!B66/1000</f>
        <v>0</v>
      </c>
      <c r="J80" s="12"/>
      <c r="K80" s="12"/>
      <c r="L80" s="12"/>
      <c r="M80" s="12"/>
      <c r="N80" s="12"/>
      <c r="O80" s="8"/>
      <c r="P80" s="8"/>
      <c r="Q80" s="9">
        <f t="shared" si="39"/>
        <v>0</v>
      </c>
      <c r="R80" s="10">
        <f t="shared" si="40"/>
        <v>45.486550000000001</v>
      </c>
      <c r="S80" s="10">
        <f t="shared" si="41"/>
        <v>0</v>
      </c>
      <c r="T80" s="10">
        <f t="shared" si="45"/>
        <v>0</v>
      </c>
      <c r="U80" s="10">
        <f t="shared" si="42"/>
        <v>0</v>
      </c>
      <c r="V80" s="10">
        <f t="shared" si="43"/>
        <v>0</v>
      </c>
      <c r="W80" s="10">
        <f t="shared" si="44"/>
        <v>0</v>
      </c>
      <c r="X80" s="9">
        <f t="shared" si="36"/>
        <v>45.486550000000001</v>
      </c>
    </row>
    <row r="81" spans="1:24" x14ac:dyDescent="0.25">
      <c r="A81" s="6" t="s">
        <v>38</v>
      </c>
      <c r="B81" s="6"/>
      <c r="C81" s="11">
        <f>'Sandnes bykasse'!B67/1000</f>
        <v>0</v>
      </c>
      <c r="D81" s="12"/>
      <c r="E81" s="12">
        <f>'Sandnes eiendomsselskap KF'!B67/1000</f>
        <v>0</v>
      </c>
      <c r="F81" s="12"/>
      <c r="G81" s="12">
        <f>'Sandnes parkering KF'!B67/1000</f>
        <v>0</v>
      </c>
      <c r="H81" s="12"/>
      <c r="I81" s="12">
        <f>'Sandnes kunst- og kulturhus KF'!B67/1000</f>
        <v>0</v>
      </c>
      <c r="J81" s="12"/>
      <c r="K81" s="12"/>
      <c r="L81" s="12"/>
      <c r="M81" s="12"/>
      <c r="N81" s="12"/>
      <c r="O81" s="8"/>
      <c r="P81" s="8"/>
      <c r="Q81" s="9">
        <f t="shared" si="39"/>
        <v>0</v>
      </c>
      <c r="R81" s="10">
        <f t="shared" si="40"/>
        <v>0</v>
      </c>
      <c r="S81" s="10">
        <f t="shared" si="41"/>
        <v>0</v>
      </c>
      <c r="T81" s="10">
        <f t="shared" si="45"/>
        <v>0</v>
      </c>
      <c r="U81" s="10">
        <f t="shared" si="42"/>
        <v>0</v>
      </c>
      <c r="V81" s="10">
        <f t="shared" si="43"/>
        <v>0</v>
      </c>
      <c r="W81" s="10">
        <f t="shared" si="44"/>
        <v>0</v>
      </c>
      <c r="X81" s="9">
        <f t="shared" si="36"/>
        <v>0</v>
      </c>
    </row>
    <row r="82" spans="1:24" ht="15.75" thickBot="1" x14ac:dyDescent="0.3">
      <c r="A82" s="13" t="s">
        <v>76</v>
      </c>
      <c r="B82" s="14"/>
      <c r="C82" s="11">
        <f>SUM(C75:C81)</f>
        <v>405254.84082999994</v>
      </c>
      <c r="D82" s="11">
        <f>SUM(D75:D81)</f>
        <v>300</v>
      </c>
      <c r="E82" s="11">
        <f>SUM(E75:E81)</f>
        <v>820665.21067000006</v>
      </c>
      <c r="F82" s="11">
        <f>SUM(F75:F81)</f>
        <v>0</v>
      </c>
      <c r="G82" s="11">
        <f>SUM(G75:G81)</f>
        <v>0</v>
      </c>
      <c r="H82" s="11"/>
      <c r="I82" s="11">
        <f>SUM(I75:I81)</f>
        <v>262.27750000000003</v>
      </c>
      <c r="J82" s="11"/>
      <c r="K82" s="11">
        <f>SUM(K75:K81)</f>
        <v>78763</v>
      </c>
      <c r="L82" s="11">
        <f>SUM(L75:L81)</f>
        <v>0</v>
      </c>
      <c r="M82" s="11">
        <f>SUM(M75:M81)</f>
        <v>11867.985000000001</v>
      </c>
      <c r="N82" s="11">
        <f>SUM(N75:N81)</f>
        <v>0</v>
      </c>
      <c r="O82" s="8"/>
      <c r="P82" s="8"/>
      <c r="Q82" s="15">
        <f t="shared" ref="Q82:W82" si="46">SUM(Q75:Q81)</f>
        <v>405254.84082999994</v>
      </c>
      <c r="R82" s="16">
        <f>SUM(R75:R81)</f>
        <v>820665.21067000006</v>
      </c>
      <c r="S82" s="16">
        <f>SUM(S75:S81)</f>
        <v>0</v>
      </c>
      <c r="T82" s="16">
        <f t="shared" si="46"/>
        <v>262.27750000000003</v>
      </c>
      <c r="U82" s="16">
        <f t="shared" si="46"/>
        <v>78763</v>
      </c>
      <c r="V82" s="16">
        <f t="shared" si="46"/>
        <v>11867.985000000001</v>
      </c>
      <c r="W82" s="16">
        <f t="shared" si="46"/>
        <v>300</v>
      </c>
      <c r="X82" s="9">
        <f t="shared" si="36"/>
        <v>1316513.3140000002</v>
      </c>
    </row>
    <row r="83" spans="1:24" x14ac:dyDescent="0.25">
      <c r="A83" s="22"/>
      <c r="B83" s="22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8"/>
      <c r="P83" s="8"/>
      <c r="Q83" s="20"/>
      <c r="R83" s="21"/>
      <c r="S83" s="21"/>
      <c r="T83" s="21"/>
      <c r="U83" s="21"/>
      <c r="V83" s="21"/>
      <c r="W83" s="21"/>
      <c r="X83" s="9">
        <f t="shared" si="36"/>
        <v>0</v>
      </c>
    </row>
    <row r="84" spans="1:24" x14ac:dyDescent="0.25">
      <c r="A84" s="5" t="s">
        <v>77</v>
      </c>
      <c r="B84" s="6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8"/>
      <c r="P84" s="8"/>
      <c r="Q84" s="9"/>
      <c r="R84" s="10"/>
      <c r="S84" s="10"/>
      <c r="T84" s="10"/>
      <c r="U84" s="10"/>
      <c r="V84" s="10"/>
      <c r="W84" s="10"/>
      <c r="X84" s="9">
        <f t="shared" si="36"/>
        <v>0</v>
      </c>
    </row>
    <row r="85" spans="1:24" x14ac:dyDescent="0.25">
      <c r="A85" s="6" t="s">
        <v>49</v>
      </c>
      <c r="B85" s="6">
        <v>511</v>
      </c>
      <c r="C85" s="11">
        <f>'Sandnes bykasse'!B70/1000</f>
        <v>74284.160999999993</v>
      </c>
      <c r="D85" s="12"/>
      <c r="E85" s="12">
        <f>'Sandnes eiendomsselskap KF'!B70/1000</f>
        <v>0</v>
      </c>
      <c r="F85" s="12"/>
      <c r="G85" s="12">
        <f>'Sandnes parkering KF'!B70/1000</f>
        <v>0</v>
      </c>
      <c r="H85" s="12"/>
      <c r="I85" s="12">
        <f>'Sandnes kunst- og kulturhus KF'!B70/1000</f>
        <v>0</v>
      </c>
      <c r="J85" s="12"/>
      <c r="K85" s="12"/>
      <c r="L85" s="12"/>
      <c r="M85" s="12"/>
      <c r="N85" s="12"/>
      <c r="O85" s="8"/>
      <c r="P85" s="8"/>
      <c r="Q85" s="9">
        <f t="shared" ref="Q85:Q90" si="47">C85</f>
        <v>74284.160999999993</v>
      </c>
      <c r="R85" s="10">
        <f t="shared" ref="R85:R90" si="48">E85</f>
        <v>0</v>
      </c>
      <c r="S85" s="10">
        <f t="shared" ref="S85:S90" si="49">G85</f>
        <v>0</v>
      </c>
      <c r="T85" s="10">
        <f t="shared" ref="T85:T90" si="50">I85</f>
        <v>0</v>
      </c>
      <c r="U85" s="10">
        <f t="shared" ref="U85:U90" si="51">K85</f>
        <v>0</v>
      </c>
      <c r="V85" s="10">
        <f t="shared" ref="V85:V90" si="52">M85</f>
        <v>0</v>
      </c>
      <c r="W85" s="10">
        <f t="shared" ref="W85:W90" si="53">D85+F85+H85+J85+L85+N85</f>
        <v>0</v>
      </c>
      <c r="X85" s="9">
        <f t="shared" si="36"/>
        <v>74284.160999999993</v>
      </c>
    </row>
    <row r="86" spans="1:24" x14ac:dyDescent="0.25">
      <c r="A86" s="6" t="s">
        <v>50</v>
      </c>
      <c r="B86" s="6">
        <v>521</v>
      </c>
      <c r="C86" s="11">
        <f>'Sandnes bykasse'!B71/1000</f>
        <v>830831.32860999997</v>
      </c>
      <c r="D86" s="12">
        <v>609679</v>
      </c>
      <c r="E86" s="12">
        <f>'Sandnes eiendomsselskap KF'!B71/1000</f>
        <v>0</v>
      </c>
      <c r="F86" s="12"/>
      <c r="G86" s="12">
        <f>'Sandnes parkering KF'!B71/1000</f>
        <v>0</v>
      </c>
      <c r="H86" s="12"/>
      <c r="I86" s="12">
        <f>'Sandnes kunst- og kulturhus KF'!B71/1000</f>
        <v>0</v>
      </c>
      <c r="J86" s="12"/>
      <c r="K86" s="12"/>
      <c r="L86" s="12"/>
      <c r="M86" s="12"/>
      <c r="N86" s="12"/>
      <c r="O86" s="8"/>
      <c r="P86" s="8"/>
      <c r="Q86" s="9">
        <f t="shared" si="47"/>
        <v>830831.32860999997</v>
      </c>
      <c r="R86" s="10">
        <f t="shared" si="48"/>
        <v>0</v>
      </c>
      <c r="S86" s="10">
        <f t="shared" si="49"/>
        <v>0</v>
      </c>
      <c r="T86" s="10">
        <f t="shared" si="50"/>
        <v>0</v>
      </c>
      <c r="U86" s="10">
        <f t="shared" si="51"/>
        <v>0</v>
      </c>
      <c r="V86" s="10">
        <f t="shared" si="52"/>
        <v>0</v>
      </c>
      <c r="W86" s="10">
        <f t="shared" si="53"/>
        <v>609679</v>
      </c>
      <c r="X86" s="9">
        <f t="shared" si="36"/>
        <v>221152.32860999997</v>
      </c>
    </row>
    <row r="87" spans="1:24" x14ac:dyDescent="0.25">
      <c r="A87" s="6" t="s">
        <v>78</v>
      </c>
      <c r="B87" s="6"/>
      <c r="C87" s="11">
        <f>'Sandnes bykasse'!B72/1000</f>
        <v>17898.075000000001</v>
      </c>
      <c r="D87" s="12"/>
      <c r="E87" s="12">
        <f>'Sandnes eiendomsselskap KF'!B72/1000</f>
        <v>0</v>
      </c>
      <c r="F87" s="12"/>
      <c r="G87" s="12">
        <f>'Sandnes parkering KF'!B72/1000</f>
        <v>0</v>
      </c>
      <c r="H87" s="12"/>
      <c r="I87" s="12">
        <f>'Sandnes kunst- og kulturhus KF'!B72/1000</f>
        <v>0</v>
      </c>
      <c r="J87" s="12"/>
      <c r="K87" s="12"/>
      <c r="L87" s="12"/>
      <c r="M87" s="12"/>
      <c r="N87" s="12"/>
      <c r="O87" s="8"/>
      <c r="P87" s="8"/>
      <c r="Q87" s="9">
        <f t="shared" si="47"/>
        <v>17898.075000000001</v>
      </c>
      <c r="R87" s="10">
        <f t="shared" si="48"/>
        <v>0</v>
      </c>
      <c r="S87" s="10">
        <f t="shared" si="49"/>
        <v>0</v>
      </c>
      <c r="T87" s="10">
        <f t="shared" si="50"/>
        <v>0</v>
      </c>
      <c r="U87" s="10">
        <f t="shared" si="51"/>
        <v>0</v>
      </c>
      <c r="V87" s="10">
        <f t="shared" si="52"/>
        <v>0</v>
      </c>
      <c r="W87" s="10">
        <f t="shared" si="53"/>
        <v>0</v>
      </c>
      <c r="X87" s="9">
        <f t="shared" si="36"/>
        <v>17898.075000000001</v>
      </c>
    </row>
    <row r="88" spans="1:24" x14ac:dyDescent="0.25">
      <c r="A88" s="6" t="s">
        <v>79</v>
      </c>
      <c r="B88" s="6"/>
      <c r="C88" s="11">
        <f>'Sandnes bykasse'!B73/1000</f>
        <v>0</v>
      </c>
      <c r="D88" s="12"/>
      <c r="E88" s="12">
        <f>'Sandnes eiendomsselskap KF'!B73/1000</f>
        <v>0</v>
      </c>
      <c r="F88" s="12"/>
      <c r="G88" s="12">
        <f>'Sandnes parkering KF'!B73/1000</f>
        <v>0</v>
      </c>
      <c r="H88" s="12"/>
      <c r="I88" s="12">
        <f>'Sandnes kunst- og kulturhus KF'!B73/1000</f>
        <v>0</v>
      </c>
      <c r="J88" s="12"/>
      <c r="K88" s="12"/>
      <c r="L88" s="12"/>
      <c r="M88" s="12"/>
      <c r="N88" s="12"/>
      <c r="O88" s="8"/>
      <c r="P88" s="8"/>
      <c r="Q88" s="9">
        <f t="shared" si="47"/>
        <v>0</v>
      </c>
      <c r="R88" s="10">
        <f t="shared" si="48"/>
        <v>0</v>
      </c>
      <c r="S88" s="10">
        <f t="shared" si="49"/>
        <v>0</v>
      </c>
      <c r="T88" s="10">
        <f t="shared" si="50"/>
        <v>0</v>
      </c>
      <c r="U88" s="10">
        <f t="shared" si="51"/>
        <v>0</v>
      </c>
      <c r="V88" s="10">
        <f t="shared" si="52"/>
        <v>0</v>
      </c>
      <c r="W88" s="10">
        <f t="shared" si="53"/>
        <v>0</v>
      </c>
      <c r="X88" s="9">
        <f t="shared" si="36"/>
        <v>0</v>
      </c>
    </row>
    <row r="89" spans="1:24" x14ac:dyDescent="0.25">
      <c r="A89" s="6" t="s">
        <v>80</v>
      </c>
      <c r="B89" s="6"/>
      <c r="C89" s="11">
        <f>'Sandnes bykasse'!B74/1000</f>
        <v>0</v>
      </c>
      <c r="D89" s="12"/>
      <c r="E89" s="12">
        <f>'Sandnes eiendomsselskap KF'!B74/1000</f>
        <v>0</v>
      </c>
      <c r="F89" s="12"/>
      <c r="G89" s="12">
        <f>'Sandnes parkering KF'!B74/1000</f>
        <v>0</v>
      </c>
      <c r="H89" s="12"/>
      <c r="I89" s="12">
        <v>90</v>
      </c>
      <c r="J89" s="12"/>
      <c r="K89" s="12"/>
      <c r="L89" s="12"/>
      <c r="M89" s="12">
        <f>'Sandnes havn KF'!C46/1000</f>
        <v>0</v>
      </c>
      <c r="N89" s="12"/>
      <c r="O89" s="8"/>
      <c r="P89" s="8"/>
      <c r="Q89" s="9">
        <f t="shared" si="47"/>
        <v>0</v>
      </c>
      <c r="R89" s="10">
        <f t="shared" si="48"/>
        <v>0</v>
      </c>
      <c r="S89" s="10">
        <f t="shared" si="49"/>
        <v>0</v>
      </c>
      <c r="T89" s="10">
        <f t="shared" si="50"/>
        <v>90</v>
      </c>
      <c r="U89" s="10">
        <f t="shared" si="51"/>
        <v>0</v>
      </c>
      <c r="V89" s="10">
        <f t="shared" si="52"/>
        <v>0</v>
      </c>
      <c r="W89" s="10">
        <f t="shared" si="53"/>
        <v>0</v>
      </c>
      <c r="X89" s="9">
        <f t="shared" si="36"/>
        <v>90</v>
      </c>
    </row>
    <row r="90" spans="1:24" x14ac:dyDescent="0.25">
      <c r="A90" s="6" t="s">
        <v>81</v>
      </c>
      <c r="B90" s="6"/>
      <c r="C90" s="11">
        <f>'Sandnes bykasse'!B75/1000</f>
        <v>500</v>
      </c>
      <c r="D90" s="12"/>
      <c r="E90" s="12">
        <f>'Sandnes eiendomsselskap KF'!B75/1000</f>
        <v>622.22699999999998</v>
      </c>
      <c r="F90" s="12"/>
      <c r="G90" s="12">
        <f>'Sandnes parkering KF'!B75/1000</f>
        <v>0</v>
      </c>
      <c r="H90" s="12"/>
      <c r="I90" s="12">
        <f>'Sandnes kunst- og kulturhus KF'!B75/1000</f>
        <v>0</v>
      </c>
      <c r="J90" s="12"/>
      <c r="K90" s="12"/>
      <c r="L90" s="12"/>
      <c r="M90" s="12"/>
      <c r="N90" s="12"/>
      <c r="O90" s="8"/>
      <c r="P90" s="8"/>
      <c r="Q90" s="9">
        <f t="shared" si="47"/>
        <v>500</v>
      </c>
      <c r="R90" s="10">
        <f t="shared" si="48"/>
        <v>622.22699999999998</v>
      </c>
      <c r="S90" s="10">
        <f t="shared" si="49"/>
        <v>0</v>
      </c>
      <c r="T90" s="10">
        <f t="shared" si="50"/>
        <v>0</v>
      </c>
      <c r="U90" s="10">
        <f t="shared" si="51"/>
        <v>0</v>
      </c>
      <c r="V90" s="10">
        <f t="shared" si="52"/>
        <v>0</v>
      </c>
      <c r="W90" s="10">
        <f t="shared" si="53"/>
        <v>0</v>
      </c>
      <c r="X90" s="9">
        <f t="shared" si="36"/>
        <v>1122.2269999999999</v>
      </c>
    </row>
    <row r="91" spans="1:24" ht="15.75" thickBot="1" x14ac:dyDescent="0.3">
      <c r="A91" s="13" t="s">
        <v>82</v>
      </c>
      <c r="B91" s="14"/>
      <c r="C91" s="11">
        <f>SUM(C85:C90)</f>
        <v>923513.56460999988</v>
      </c>
      <c r="D91" s="11">
        <f>SUM(D85:D90)</f>
        <v>609679</v>
      </c>
      <c r="E91" s="11">
        <f>SUM(E85:E90)</f>
        <v>622.22699999999998</v>
      </c>
      <c r="F91" s="11">
        <f>SUM(F85:F90)</f>
        <v>0</v>
      </c>
      <c r="G91" s="11">
        <f>SUM(G85:G90)</f>
        <v>0</v>
      </c>
      <c r="H91" s="11"/>
      <c r="I91" s="11">
        <f>SUM(I85:I90)</f>
        <v>90</v>
      </c>
      <c r="J91" s="11"/>
      <c r="K91" s="11">
        <f>SUM(K85:K90)</f>
        <v>0</v>
      </c>
      <c r="L91" s="11">
        <f>SUM(L85:L90)</f>
        <v>0</v>
      </c>
      <c r="M91" s="11">
        <f>SUM(M85:M90)</f>
        <v>0</v>
      </c>
      <c r="N91" s="11">
        <f>SUM(N85:N90)</f>
        <v>0</v>
      </c>
      <c r="O91" s="8"/>
      <c r="P91" s="8"/>
      <c r="Q91" s="15">
        <f t="shared" ref="Q91:W91" si="54">SUM(Q85:Q90)</f>
        <v>923513.56460999988</v>
      </c>
      <c r="R91" s="16">
        <f>SUM(R85:R90)</f>
        <v>622.22699999999998</v>
      </c>
      <c r="S91" s="16">
        <f>SUM(S85:S90)</f>
        <v>0</v>
      </c>
      <c r="T91" s="16">
        <f t="shared" si="54"/>
        <v>90</v>
      </c>
      <c r="U91" s="16">
        <f t="shared" si="54"/>
        <v>0</v>
      </c>
      <c r="V91" s="16">
        <f t="shared" si="54"/>
        <v>0</v>
      </c>
      <c r="W91" s="16">
        <f t="shared" si="54"/>
        <v>609679</v>
      </c>
      <c r="X91" s="9">
        <f t="shared" si="36"/>
        <v>314546.79160999984</v>
      </c>
    </row>
    <row r="92" spans="1:24" x14ac:dyDescent="0.25">
      <c r="A92" s="22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8"/>
      <c r="P92" s="8"/>
      <c r="Q92" s="20"/>
      <c r="R92" s="21"/>
      <c r="S92" s="21"/>
      <c r="T92" s="21"/>
      <c r="U92" s="21"/>
      <c r="V92" s="21"/>
      <c r="W92" s="21"/>
      <c r="X92" s="9">
        <f t="shared" si="36"/>
        <v>0</v>
      </c>
    </row>
    <row r="93" spans="1:24" ht="15.75" thickBot="1" x14ac:dyDescent="0.3">
      <c r="A93" s="13" t="s">
        <v>83</v>
      </c>
      <c r="B93" s="14"/>
      <c r="C93" s="11">
        <f>-C72+C82+C91</f>
        <v>1139374.5936199999</v>
      </c>
      <c r="D93" s="11">
        <f t="shared" ref="D93:N93" si="55">-D72+D82+D91</f>
        <v>609979</v>
      </c>
      <c r="E93" s="11">
        <f t="shared" si="55"/>
        <v>617042.71577999997</v>
      </c>
      <c r="F93" s="11">
        <f t="shared" si="55"/>
        <v>0</v>
      </c>
      <c r="G93" s="11">
        <f t="shared" si="55"/>
        <v>0</v>
      </c>
      <c r="H93" s="11">
        <f t="shared" si="55"/>
        <v>0</v>
      </c>
      <c r="I93" s="11">
        <f>-I72+I82+I91</f>
        <v>-0.17799999999999727</v>
      </c>
      <c r="J93" s="11">
        <f t="shared" si="55"/>
        <v>0</v>
      </c>
      <c r="K93" s="11">
        <f t="shared" si="55"/>
        <v>0</v>
      </c>
      <c r="L93" s="11">
        <f t="shared" si="55"/>
        <v>0</v>
      </c>
      <c r="M93" s="11">
        <f t="shared" si="55"/>
        <v>9021.9269999999997</v>
      </c>
      <c r="N93" s="11">
        <f t="shared" si="55"/>
        <v>0</v>
      </c>
      <c r="O93" s="8"/>
      <c r="P93" s="8"/>
      <c r="Q93" s="15">
        <f t="shared" ref="Q93:W93" si="56">-Q72+Q82+Q91</f>
        <v>1139374.5936199999</v>
      </c>
      <c r="R93" s="16">
        <f>-R72+R82+R91</f>
        <v>617042.71577999997</v>
      </c>
      <c r="S93" s="16">
        <f>-S72+S82+S91</f>
        <v>0</v>
      </c>
      <c r="T93" s="16">
        <f>-T72+T82+T91</f>
        <v>-0.17799999999999727</v>
      </c>
      <c r="U93" s="16">
        <f t="shared" si="56"/>
        <v>0</v>
      </c>
      <c r="V93" s="16">
        <f t="shared" si="56"/>
        <v>9021.9269999999997</v>
      </c>
      <c r="W93" s="16">
        <f t="shared" si="56"/>
        <v>609679</v>
      </c>
      <c r="X93" s="9">
        <f t="shared" si="36"/>
        <v>1155760.0583999997</v>
      </c>
    </row>
    <row r="94" spans="1:24" x14ac:dyDescent="0.25">
      <c r="A94" s="22" t="s">
        <v>84</v>
      </c>
      <c r="B94" s="22"/>
      <c r="C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8"/>
      <c r="P94" s="8"/>
      <c r="Q94" s="20"/>
      <c r="R94" s="21"/>
      <c r="S94" s="21"/>
      <c r="T94" s="21"/>
      <c r="U94" s="21"/>
      <c r="V94" s="21"/>
      <c r="W94" s="21"/>
      <c r="X94" s="9">
        <f t="shared" si="36"/>
        <v>0</v>
      </c>
    </row>
    <row r="95" spans="1:24" x14ac:dyDescent="0.25">
      <c r="A95" s="6" t="s">
        <v>85</v>
      </c>
      <c r="B95" s="6">
        <v>911</v>
      </c>
      <c r="C95" s="11">
        <f>'Sandnes bykasse'!B79/1000</f>
        <v>868752.97165999992</v>
      </c>
      <c r="D95" s="12"/>
      <c r="E95" s="12">
        <f>'Sandnes eiendomsselskap KF'!B79/1000</f>
        <v>609679.39377999993</v>
      </c>
      <c r="F95" s="12">
        <v>609679</v>
      </c>
      <c r="G95" s="12">
        <f>'Sandnes parkering KF'!B79/1000</f>
        <v>0</v>
      </c>
      <c r="H95" s="12"/>
      <c r="I95" s="12">
        <f>'Sandnes kunst- og kulturhus KF'!B79/1000</f>
        <v>0</v>
      </c>
      <c r="J95" s="12"/>
      <c r="K95" s="12"/>
      <c r="L95" s="12"/>
      <c r="M95" s="12"/>
      <c r="N95" s="12"/>
      <c r="O95" s="8"/>
      <c r="P95" s="8"/>
      <c r="Q95" s="9">
        <f t="shared" ref="Q95:Q103" si="57">C95</f>
        <v>868752.97165999992</v>
      </c>
      <c r="R95" s="10">
        <f t="shared" ref="R95:R103" si="58">E95</f>
        <v>609679.39377999993</v>
      </c>
      <c r="S95" s="10">
        <f t="shared" ref="S95:S103" si="59">G95</f>
        <v>0</v>
      </c>
      <c r="T95" s="10">
        <f t="shared" ref="T95:T103" si="60">I95</f>
        <v>0</v>
      </c>
      <c r="U95" s="10">
        <f t="shared" ref="U95:U103" si="61">K95</f>
        <v>0</v>
      </c>
      <c r="V95" s="10">
        <f t="shared" ref="V95:V103" si="62">M95</f>
        <v>0</v>
      </c>
      <c r="W95" s="10">
        <f t="shared" ref="W95:W103" si="63">D95+F95+H95+J95+L95+N95</f>
        <v>609679</v>
      </c>
      <c r="X95" s="9">
        <f t="shared" si="36"/>
        <v>868753.36543999985</v>
      </c>
    </row>
    <row r="96" spans="1:24" x14ac:dyDescent="0.25">
      <c r="A96" s="6" t="s">
        <v>86</v>
      </c>
      <c r="B96" s="6"/>
      <c r="C96" s="11">
        <f>'Sandnes bykasse'!B80/1000</f>
        <v>0</v>
      </c>
      <c r="D96" s="12"/>
      <c r="E96" s="12">
        <f>'Sandnes eiendomsselskap KF'!B80/1000</f>
        <v>0</v>
      </c>
      <c r="F96" s="12"/>
      <c r="G96" s="12">
        <f>'Sandnes parkering KF'!B80/1000</f>
        <v>0</v>
      </c>
      <c r="H96" s="12"/>
      <c r="I96" s="12">
        <f>'Sandnes kunst- og kulturhus KF'!B80/1000</f>
        <v>0</v>
      </c>
      <c r="J96" s="12"/>
      <c r="K96" s="12"/>
      <c r="L96" s="12"/>
      <c r="M96" s="12"/>
      <c r="N96" s="12"/>
      <c r="O96" s="8"/>
      <c r="P96" s="8"/>
      <c r="Q96" s="9">
        <f t="shared" si="57"/>
        <v>0</v>
      </c>
      <c r="R96" s="10">
        <f t="shared" si="58"/>
        <v>0</v>
      </c>
      <c r="S96" s="10">
        <f t="shared" si="59"/>
        <v>0</v>
      </c>
      <c r="T96" s="10">
        <f t="shared" si="60"/>
        <v>0</v>
      </c>
      <c r="U96" s="10">
        <f t="shared" si="61"/>
        <v>0</v>
      </c>
      <c r="V96" s="10">
        <f t="shared" si="62"/>
        <v>0</v>
      </c>
      <c r="W96" s="10">
        <f t="shared" si="63"/>
        <v>0</v>
      </c>
      <c r="X96" s="9">
        <f t="shared" si="36"/>
        <v>0</v>
      </c>
    </row>
    <row r="97" spans="1:24" x14ac:dyDescent="0.25">
      <c r="A97" s="6" t="s">
        <v>44</v>
      </c>
      <c r="B97" s="6">
        <v>921</v>
      </c>
      <c r="C97" s="11">
        <f>'Sandnes bykasse'!B81/1000</f>
        <v>98081.48576000001</v>
      </c>
      <c r="D97" s="12"/>
      <c r="E97" s="12">
        <f>'Sandnes eiendomsselskap KF'!B81/1000</f>
        <v>0</v>
      </c>
      <c r="F97" s="12"/>
      <c r="G97" s="12">
        <f>'Sandnes parkering KF'!B81/1000</f>
        <v>0</v>
      </c>
      <c r="H97" s="12"/>
      <c r="I97" s="12">
        <f>'Sandnes kunst- og kulturhus KF'!B81/1000</f>
        <v>0</v>
      </c>
      <c r="J97" s="12"/>
      <c r="K97" s="12"/>
      <c r="L97" s="12"/>
      <c r="M97" s="12"/>
      <c r="N97" s="12"/>
      <c r="O97" s="8"/>
      <c r="P97" s="8"/>
      <c r="Q97" s="9">
        <f t="shared" si="57"/>
        <v>98081.48576000001</v>
      </c>
      <c r="R97" s="10">
        <f t="shared" si="58"/>
        <v>0</v>
      </c>
      <c r="S97" s="10">
        <f t="shared" si="59"/>
        <v>0</v>
      </c>
      <c r="T97" s="10">
        <f t="shared" si="60"/>
        <v>0</v>
      </c>
      <c r="U97" s="10">
        <f t="shared" si="61"/>
        <v>0</v>
      </c>
      <c r="V97" s="10">
        <f t="shared" si="62"/>
        <v>0</v>
      </c>
      <c r="W97" s="10">
        <f t="shared" si="63"/>
        <v>0</v>
      </c>
      <c r="X97" s="9">
        <f t="shared" si="36"/>
        <v>98081.48576000001</v>
      </c>
    </row>
    <row r="98" spans="1:24" x14ac:dyDescent="0.25">
      <c r="A98" s="6" t="s">
        <v>96</v>
      </c>
      <c r="B98" s="6"/>
      <c r="C98" s="11">
        <f>'Sandnes bykasse'!B82/1000</f>
        <v>134023</v>
      </c>
      <c r="D98" s="12"/>
      <c r="E98" s="12">
        <f>'Sandnes eiendomsselskap KF'!B82/1000</f>
        <v>0</v>
      </c>
      <c r="F98" s="12"/>
      <c r="G98" s="12">
        <f>'Sandnes parkering KF'!B82/1000</f>
        <v>0</v>
      </c>
      <c r="H98" s="12"/>
      <c r="I98" s="12">
        <f>'Sandnes kunst- og kulturhus KF'!B82/1000</f>
        <v>0</v>
      </c>
      <c r="J98" s="12"/>
      <c r="K98" s="12"/>
      <c r="L98" s="12"/>
      <c r="M98" s="12">
        <f>'Sandnes havn KF'!C51/1000</f>
        <v>9021.9269999999997</v>
      </c>
      <c r="N98" s="12"/>
      <c r="O98" s="8"/>
      <c r="P98" s="8"/>
      <c r="Q98" s="9">
        <f t="shared" si="57"/>
        <v>134023</v>
      </c>
      <c r="R98" s="10">
        <f t="shared" si="58"/>
        <v>0</v>
      </c>
      <c r="S98" s="10">
        <f t="shared" si="59"/>
        <v>0</v>
      </c>
      <c r="T98" s="10">
        <f t="shared" si="60"/>
        <v>0</v>
      </c>
      <c r="U98" s="10">
        <f t="shared" si="61"/>
        <v>0</v>
      </c>
      <c r="V98" s="10">
        <f t="shared" si="62"/>
        <v>9021.9269999999997</v>
      </c>
      <c r="W98" s="10">
        <f t="shared" si="63"/>
        <v>0</v>
      </c>
      <c r="X98" s="9">
        <f t="shared" si="36"/>
        <v>143044.927</v>
      </c>
    </row>
    <row r="99" spans="1:24" x14ac:dyDescent="0.25">
      <c r="A99" s="6" t="s">
        <v>88</v>
      </c>
      <c r="B99" s="6"/>
      <c r="C99" s="11">
        <f>'Sandnes bykasse'!B83/1000</f>
        <v>0</v>
      </c>
      <c r="D99" s="12"/>
      <c r="E99" s="12">
        <f>'Sandnes eiendomsselskap KF'!B83/1000</f>
        <v>0</v>
      </c>
      <c r="F99" s="12"/>
      <c r="G99" s="12">
        <f>'Sandnes parkering KF'!B83/1000</f>
        <v>0</v>
      </c>
      <c r="H99" s="12"/>
      <c r="I99" s="12">
        <f>'Sandnes kunst- og kulturhus KF'!B83/1000</f>
        <v>0</v>
      </c>
      <c r="J99" s="12"/>
      <c r="K99" s="12"/>
      <c r="L99" s="12"/>
      <c r="M99" s="12"/>
      <c r="N99" s="12"/>
      <c r="O99" s="8"/>
      <c r="P99" s="8"/>
      <c r="Q99" s="9">
        <f t="shared" si="57"/>
        <v>0</v>
      </c>
      <c r="R99" s="10">
        <f t="shared" si="58"/>
        <v>0</v>
      </c>
      <c r="S99" s="10">
        <f t="shared" si="59"/>
        <v>0</v>
      </c>
      <c r="T99" s="10">
        <f>I99</f>
        <v>0</v>
      </c>
      <c r="U99" s="10">
        <f t="shared" si="61"/>
        <v>0</v>
      </c>
      <c r="V99" s="10">
        <f t="shared" si="62"/>
        <v>0</v>
      </c>
      <c r="W99" s="10">
        <f t="shared" si="63"/>
        <v>0</v>
      </c>
      <c r="X99" s="9">
        <f t="shared" si="36"/>
        <v>0</v>
      </c>
    </row>
    <row r="100" spans="1:24" x14ac:dyDescent="0.25">
      <c r="A100" s="6" t="s">
        <v>57</v>
      </c>
      <c r="B100" s="6"/>
      <c r="C100" s="11">
        <f>'Sandnes bykasse'!B84/1000</f>
        <v>17809.506000000001</v>
      </c>
      <c r="D100" s="12"/>
      <c r="E100" s="12">
        <f>'Sandnes eiendomsselskap KF'!B84/1000</f>
        <v>0</v>
      </c>
      <c r="F100" s="12"/>
      <c r="G100" s="12">
        <f>'Sandnes parkering KF'!B84/1000</f>
        <v>0</v>
      </c>
      <c r="H100" s="12"/>
      <c r="I100" s="12">
        <f>'Sandnes kunst- og kulturhus KF'!B84/1000</f>
        <v>0</v>
      </c>
      <c r="J100" s="12"/>
      <c r="K100" s="12"/>
      <c r="L100" s="12"/>
      <c r="M100" s="12"/>
      <c r="N100" s="12"/>
      <c r="O100" s="8"/>
      <c r="P100" s="8"/>
      <c r="Q100" s="9">
        <f t="shared" si="57"/>
        <v>17809.506000000001</v>
      </c>
      <c r="R100" s="10">
        <f t="shared" si="58"/>
        <v>0</v>
      </c>
      <c r="S100" s="10">
        <f t="shared" si="59"/>
        <v>0</v>
      </c>
      <c r="T100" s="10">
        <f t="shared" si="60"/>
        <v>0</v>
      </c>
      <c r="U100" s="10">
        <f t="shared" si="61"/>
        <v>0</v>
      </c>
      <c r="V100" s="10">
        <f t="shared" si="62"/>
        <v>0</v>
      </c>
      <c r="W100" s="10">
        <f t="shared" si="63"/>
        <v>0</v>
      </c>
      <c r="X100" s="9">
        <f t="shared" si="36"/>
        <v>17809.506000000001</v>
      </c>
    </row>
    <row r="101" spans="1:24" x14ac:dyDescent="0.25">
      <c r="A101" s="6" t="s">
        <v>89</v>
      </c>
      <c r="B101" s="6"/>
      <c r="C101" s="11">
        <f>'Sandnes bykasse'!B85/1000</f>
        <v>0</v>
      </c>
      <c r="D101" s="12"/>
      <c r="E101" s="12">
        <f>'Sandnes eiendomsselskap KF'!B85/1000</f>
        <v>0</v>
      </c>
      <c r="F101" s="12"/>
      <c r="G101" s="12">
        <f>'Sandnes parkering KF'!B85/1000</f>
        <v>0</v>
      </c>
      <c r="H101" s="12"/>
      <c r="I101" s="12">
        <f>'Sandnes kunst- og kulturhus KF'!B85/1000</f>
        <v>0</v>
      </c>
      <c r="J101" s="12"/>
      <c r="K101" s="12"/>
      <c r="L101" s="12"/>
      <c r="M101" s="12"/>
      <c r="N101" s="12"/>
      <c r="O101" s="8"/>
      <c r="P101" s="8"/>
      <c r="Q101" s="9">
        <f t="shared" si="57"/>
        <v>0</v>
      </c>
      <c r="R101" s="10">
        <f t="shared" si="58"/>
        <v>0</v>
      </c>
      <c r="S101" s="10">
        <f t="shared" si="59"/>
        <v>0</v>
      </c>
      <c r="T101" s="10">
        <f t="shared" si="60"/>
        <v>0</v>
      </c>
      <c r="U101" s="10">
        <f t="shared" si="61"/>
        <v>0</v>
      </c>
      <c r="V101" s="10">
        <f t="shared" si="62"/>
        <v>0</v>
      </c>
      <c r="W101" s="10">
        <f t="shared" si="63"/>
        <v>0</v>
      </c>
      <c r="X101" s="9">
        <f t="shared" si="36"/>
        <v>0</v>
      </c>
    </row>
    <row r="102" spans="1:24" x14ac:dyDescent="0.25">
      <c r="A102" s="6" t="s">
        <v>90</v>
      </c>
      <c r="B102" s="6"/>
      <c r="C102" s="11">
        <f>'Sandnes bykasse'!B86/1000</f>
        <v>0</v>
      </c>
      <c r="D102" s="12"/>
      <c r="E102" s="12">
        <f>'Sandnes eiendomsselskap KF'!B86/1000</f>
        <v>0</v>
      </c>
      <c r="F102" s="12"/>
      <c r="G102" s="12">
        <f>'Sandnes parkering KF'!B86/1000</f>
        <v>0</v>
      </c>
      <c r="H102" s="12"/>
      <c r="I102" s="12">
        <f>'Sandnes kunst- og kulturhus KF'!B86/1000</f>
        <v>0</v>
      </c>
      <c r="J102" s="12"/>
      <c r="K102" s="12"/>
      <c r="L102" s="12"/>
      <c r="M102" s="12">
        <f>('Sandnes havn KF'!C53)/1000</f>
        <v>0</v>
      </c>
      <c r="N102" s="12"/>
      <c r="O102" s="8"/>
      <c r="P102" s="8"/>
      <c r="Q102" s="9">
        <f t="shared" si="57"/>
        <v>0</v>
      </c>
      <c r="R102" s="10">
        <f t="shared" si="58"/>
        <v>0</v>
      </c>
      <c r="S102" s="10">
        <f t="shared" si="59"/>
        <v>0</v>
      </c>
      <c r="T102" s="10">
        <f t="shared" si="60"/>
        <v>0</v>
      </c>
      <c r="U102" s="10">
        <f t="shared" si="61"/>
        <v>0</v>
      </c>
      <c r="V102" s="10">
        <f t="shared" si="62"/>
        <v>0</v>
      </c>
      <c r="W102" s="10">
        <f t="shared" si="63"/>
        <v>0</v>
      </c>
      <c r="X102" s="9">
        <f t="shared" si="36"/>
        <v>0</v>
      </c>
    </row>
    <row r="103" spans="1:24" x14ac:dyDescent="0.25">
      <c r="A103" s="6" t="s">
        <v>91</v>
      </c>
      <c r="B103" s="6"/>
      <c r="C103" s="11">
        <f>'Sandnes bykasse'!B87/1000</f>
        <v>20707.6302</v>
      </c>
      <c r="D103" s="12"/>
      <c r="E103" s="12">
        <f>'Sandnes eiendomsselskap KF'!B87/1000</f>
        <v>7363.3220000000001</v>
      </c>
      <c r="F103" s="12"/>
      <c r="G103" s="12">
        <f>'Sandnes parkering KF'!B87/1000</f>
        <v>0</v>
      </c>
      <c r="H103" s="12"/>
      <c r="I103" s="12">
        <f>'Sandnes kunst- og kulturhus KF'!B87/1000</f>
        <v>0</v>
      </c>
      <c r="J103" s="12"/>
      <c r="K103" s="12"/>
      <c r="L103" s="12"/>
      <c r="M103" s="12"/>
      <c r="N103" s="12"/>
      <c r="O103" s="8"/>
      <c r="P103" s="8"/>
      <c r="Q103" s="9">
        <f t="shared" si="57"/>
        <v>20707.6302</v>
      </c>
      <c r="R103" s="10">
        <f t="shared" si="58"/>
        <v>7363.3220000000001</v>
      </c>
      <c r="S103" s="10">
        <f t="shared" si="59"/>
        <v>0</v>
      </c>
      <c r="T103" s="10">
        <f t="shared" si="60"/>
        <v>0</v>
      </c>
      <c r="U103" s="10">
        <f t="shared" si="61"/>
        <v>0</v>
      </c>
      <c r="V103" s="10">
        <f t="shared" si="62"/>
        <v>0</v>
      </c>
      <c r="W103" s="10">
        <f t="shared" si="63"/>
        <v>0</v>
      </c>
      <c r="X103" s="9">
        <f t="shared" si="36"/>
        <v>28070.9522</v>
      </c>
    </row>
    <row r="104" spans="1:24" x14ac:dyDescent="0.25">
      <c r="A104" s="6"/>
      <c r="B104" s="6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8"/>
      <c r="P104" s="8"/>
      <c r="Q104" s="9"/>
      <c r="R104" s="10"/>
      <c r="S104" s="10"/>
      <c r="T104" s="10"/>
      <c r="U104" s="10"/>
      <c r="V104" s="10"/>
      <c r="W104" s="10"/>
      <c r="X104" s="9">
        <f t="shared" si="36"/>
        <v>0</v>
      </c>
    </row>
    <row r="105" spans="1:24" ht="15.75" thickBot="1" x14ac:dyDescent="0.3">
      <c r="A105" s="14" t="s">
        <v>92</v>
      </c>
      <c r="B105" s="32"/>
      <c r="C105" s="29">
        <f>SUM(C95:C104)</f>
        <v>1139374.5936199999</v>
      </c>
      <c r="D105" s="30">
        <f>SUM(D95:D104)</f>
        <v>0</v>
      </c>
      <c r="E105" s="30">
        <f>SUM(E95:E104)</f>
        <v>617042.71577999997</v>
      </c>
      <c r="F105" s="30">
        <f>SUM(F95:F104)</f>
        <v>609679</v>
      </c>
      <c r="G105" s="30">
        <f>SUM(G95:G104)</f>
        <v>0</v>
      </c>
      <c r="H105" s="30"/>
      <c r="I105" s="30">
        <f>SUM(I95:I104)</f>
        <v>0</v>
      </c>
      <c r="J105" s="30"/>
      <c r="K105" s="30">
        <f>SUM(K95:K104)</f>
        <v>0</v>
      </c>
      <c r="L105" s="30">
        <f>SUM(L95:L104)</f>
        <v>0</v>
      </c>
      <c r="M105" s="30">
        <f>SUM(M95:M104)</f>
        <v>9021.9269999999997</v>
      </c>
      <c r="N105" s="30">
        <f>SUM(N95:N104)</f>
        <v>0</v>
      </c>
      <c r="O105" s="8"/>
      <c r="P105" s="8"/>
      <c r="Q105" s="29">
        <f t="shared" ref="Q105:W105" si="64">SUM(Q95:Q104)</f>
        <v>1139374.5936199999</v>
      </c>
      <c r="R105" s="30">
        <f t="shared" si="64"/>
        <v>617042.71577999997</v>
      </c>
      <c r="S105" s="30">
        <f t="shared" si="64"/>
        <v>0</v>
      </c>
      <c r="T105" s="30">
        <f t="shared" si="64"/>
        <v>0</v>
      </c>
      <c r="U105" s="30">
        <f t="shared" si="64"/>
        <v>0</v>
      </c>
      <c r="V105" s="30">
        <f t="shared" si="64"/>
        <v>9021.9269999999997</v>
      </c>
      <c r="W105" s="30">
        <f t="shared" si="64"/>
        <v>609679</v>
      </c>
      <c r="X105" s="9">
        <f t="shared" si="36"/>
        <v>1155760.2363999998</v>
      </c>
    </row>
    <row r="106" spans="1:24" ht="15.75" thickBot="1" x14ac:dyDescent="0.3">
      <c r="A106" s="13" t="s">
        <v>93</v>
      </c>
      <c r="B106" s="14"/>
      <c r="C106" s="11">
        <f t="shared" ref="C106:N106" si="65">C93-C105</f>
        <v>0</v>
      </c>
      <c r="D106" s="11">
        <f t="shared" si="65"/>
        <v>609979</v>
      </c>
      <c r="E106" s="11">
        <f>E93-E105</f>
        <v>0</v>
      </c>
      <c r="F106" s="11">
        <f t="shared" si="65"/>
        <v>-609679</v>
      </c>
      <c r="G106" s="11">
        <f t="shared" si="65"/>
        <v>0</v>
      </c>
      <c r="H106" s="11">
        <f t="shared" si="65"/>
        <v>0</v>
      </c>
      <c r="I106" s="172">
        <f>ROUND(I93-I105,0)</f>
        <v>0</v>
      </c>
      <c r="J106" s="11">
        <f t="shared" si="65"/>
        <v>0</v>
      </c>
      <c r="K106" s="11">
        <f t="shared" si="65"/>
        <v>0</v>
      </c>
      <c r="L106" s="11">
        <f t="shared" si="65"/>
        <v>0</v>
      </c>
      <c r="M106" s="11">
        <f>M93-M105</f>
        <v>0</v>
      </c>
      <c r="N106" s="11">
        <f t="shared" si="65"/>
        <v>0</v>
      </c>
      <c r="O106" s="8"/>
      <c r="P106" s="8"/>
      <c r="Q106" s="15">
        <f>Q93-Q105</f>
        <v>0</v>
      </c>
      <c r="R106" s="16">
        <f t="shared" ref="R106:W106" si="66">R93-R105</f>
        <v>0</v>
      </c>
      <c r="S106" s="16">
        <f>S93-S105</f>
        <v>0</v>
      </c>
      <c r="T106" s="16">
        <f>ROUND(T93-T105,0)</f>
        <v>0</v>
      </c>
      <c r="U106" s="16">
        <f>U93-U105</f>
        <v>0</v>
      </c>
      <c r="V106" s="16">
        <f t="shared" si="66"/>
        <v>0</v>
      </c>
      <c r="W106" s="16">
        <f t="shared" si="66"/>
        <v>0</v>
      </c>
      <c r="X106" s="9">
        <f>ROUND(SUM(Q106:V106)-W106,0)</f>
        <v>0</v>
      </c>
    </row>
    <row r="107" spans="1:24" x14ac:dyDescent="0.25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3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13"/>
      <c r="B110" s="113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4"/>
      <c r="R110" s="114"/>
      <c r="S110" s="114"/>
      <c r="T110" s="114"/>
      <c r="U110" s="114"/>
      <c r="V110" s="114"/>
      <c r="W110" s="114"/>
      <c r="X110" s="114" t="s">
        <v>248</v>
      </c>
    </row>
    <row r="111" spans="1:24" ht="45" x14ac:dyDescent="0.25">
      <c r="A111" s="2" t="s">
        <v>108</v>
      </c>
      <c r="B111" s="3" t="s">
        <v>109</v>
      </c>
      <c r="C111" s="3" t="str">
        <f t="shared" ref="C111:H111" si="67">C3</f>
        <v>Sandnes kommune</v>
      </c>
      <c r="D111" s="175" t="str">
        <f t="shared" si="67"/>
        <v>Eliminering kommune</v>
      </c>
      <c r="E111" s="3" t="str">
        <f t="shared" si="67"/>
        <v>Sandnes eiendomsselskap KF</v>
      </c>
      <c r="F111" s="175" t="str">
        <f t="shared" si="67"/>
        <v>Eliminering SE</v>
      </c>
      <c r="G111" s="3" t="str">
        <f t="shared" si="67"/>
        <v>Sandnes parkering KF</v>
      </c>
      <c r="H111" s="175" t="str">
        <f t="shared" si="67"/>
        <v>Eliminering SP</v>
      </c>
      <c r="I111" s="3" t="str">
        <f t="shared" ref="I111:N111" si="68">I3</f>
        <v>Sandnes kunst- og kulturhus KF</v>
      </c>
      <c r="J111" s="175" t="str">
        <f t="shared" si="68"/>
        <v>Eliminering SKK</v>
      </c>
      <c r="K111" s="3" t="str">
        <f t="shared" si="68"/>
        <v>Sandnes tomteselskap KF</v>
      </c>
      <c r="L111" s="175" t="str">
        <f t="shared" si="68"/>
        <v>Eliminering ST</v>
      </c>
      <c r="M111" s="3" t="str">
        <f t="shared" si="68"/>
        <v>Sandnes havn KF</v>
      </c>
      <c r="N111" s="175" t="str">
        <f t="shared" si="68"/>
        <v>Eliminering SH</v>
      </c>
      <c r="Q111" s="4" t="str">
        <f>Q3</f>
        <v>Sandnes kommune</v>
      </c>
      <c r="R111" s="4" t="str">
        <f t="shared" ref="R111:X111" si="69">R3</f>
        <v>Sandnes eiendomsselskap KF</v>
      </c>
      <c r="S111" s="4" t="str">
        <f t="shared" si="69"/>
        <v>Sandnes parkering KF</v>
      </c>
      <c r="T111" s="4" t="str">
        <f t="shared" si="69"/>
        <v>Sandnes kunst- og kulturhus KF</v>
      </c>
      <c r="U111" s="4" t="str">
        <f t="shared" si="69"/>
        <v>Sandnes tomteselskap KF</v>
      </c>
      <c r="V111" s="4" t="str">
        <f t="shared" si="69"/>
        <v>Sandnes havn KF</v>
      </c>
      <c r="W111" s="176" t="str">
        <f t="shared" si="69"/>
        <v>Eliminering</v>
      </c>
      <c r="X111" s="4" t="str">
        <f t="shared" si="69"/>
        <v>Sum konsern</v>
      </c>
    </row>
    <row r="112" spans="1:24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Q112" s="4"/>
      <c r="R112" s="4"/>
      <c r="S112" s="4"/>
      <c r="T112" s="4"/>
      <c r="U112" s="4"/>
      <c r="V112" s="4"/>
      <c r="W112" s="177" t="s">
        <v>259</v>
      </c>
      <c r="X112" s="177" t="s">
        <v>260</v>
      </c>
    </row>
    <row r="113" spans="1:24" x14ac:dyDescent="0.25">
      <c r="A113" s="5" t="s">
        <v>95</v>
      </c>
      <c r="B113" s="6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84"/>
      <c r="O113" s="8"/>
      <c r="P113" s="8"/>
      <c r="Q113" s="9"/>
      <c r="R113" s="10"/>
      <c r="S113" s="10"/>
      <c r="T113" s="10"/>
      <c r="U113" s="10"/>
      <c r="V113" s="10"/>
      <c r="W113" s="10"/>
      <c r="X113" s="9"/>
    </row>
    <row r="114" spans="1:24" x14ac:dyDescent="0.25">
      <c r="A114" s="5"/>
      <c r="B114" s="6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84"/>
      <c r="O114" s="8"/>
      <c r="P114" s="8"/>
      <c r="Q114" s="9"/>
      <c r="R114" s="10"/>
      <c r="S114" s="10"/>
      <c r="T114" s="10"/>
      <c r="U114" s="10"/>
      <c r="V114" s="10"/>
      <c r="W114" s="10"/>
      <c r="X114" s="9"/>
    </row>
    <row r="115" spans="1:24" x14ac:dyDescent="0.25">
      <c r="A115" s="5" t="s">
        <v>97</v>
      </c>
      <c r="B115" s="6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84"/>
      <c r="O115" s="8"/>
      <c r="P115" s="8"/>
      <c r="Q115" s="9"/>
      <c r="R115" s="10"/>
      <c r="S115" s="10"/>
      <c r="T115" s="10"/>
      <c r="U115" s="10"/>
      <c r="V115" s="10"/>
      <c r="W115" s="10"/>
      <c r="X115" s="9"/>
    </row>
    <row r="116" spans="1:24" x14ac:dyDescent="0.25">
      <c r="A116" s="6" t="s">
        <v>99</v>
      </c>
      <c r="B116" s="6"/>
      <c r="C116" s="11">
        <f>'Sandnes bykasse'!B95/1000</f>
        <v>3588698.6170000001</v>
      </c>
      <c r="D116" s="12"/>
      <c r="E116" s="12">
        <f>'Sandnes eiendomsselskap KF'!B95/1000</f>
        <v>6409946.0621099994</v>
      </c>
      <c r="F116" s="12"/>
      <c r="G116" s="12">
        <f>'Sandnes parkering KF'!B95/1000</f>
        <v>7351.8589199999997</v>
      </c>
      <c r="H116" s="12"/>
      <c r="I116" s="12">
        <f>'Sandnes kunst- og kulturhus KF'!B95/1000</f>
        <v>1517.09077</v>
      </c>
      <c r="J116" s="12"/>
      <c r="K116" s="12">
        <f>'Sandnes tomteselskap KF'!D55/1000</f>
        <v>457386.95299999998</v>
      </c>
      <c r="L116" s="12"/>
      <c r="M116" s="12">
        <f>'Sandnes havn KF'!C62/1000</f>
        <v>299758.67161999998</v>
      </c>
      <c r="N116" s="184"/>
      <c r="O116" s="8"/>
      <c r="P116" s="8"/>
      <c r="Q116" s="9">
        <f t="shared" ref="Q116:Q121" si="70">C116</f>
        <v>3588698.6170000001</v>
      </c>
      <c r="R116" s="10">
        <f t="shared" ref="R116:R121" si="71">E116</f>
        <v>6409946.0621099994</v>
      </c>
      <c r="S116" s="10">
        <f t="shared" ref="S116:S121" si="72">G116</f>
        <v>7351.8589199999997</v>
      </c>
      <c r="T116" s="10">
        <f t="shared" ref="T116:T121" si="73">I116</f>
        <v>1517.09077</v>
      </c>
      <c r="U116" s="10">
        <f t="shared" ref="U116:U121" si="74">K116</f>
        <v>457386.95299999998</v>
      </c>
      <c r="V116" s="10">
        <f t="shared" ref="V116:V121" si="75">M116</f>
        <v>299758.67161999998</v>
      </c>
      <c r="W116" s="110">
        <f t="shared" ref="W116:W121" si="76">D116+F116+H116+J116+L116+N116</f>
        <v>0</v>
      </c>
      <c r="X116" s="9">
        <f>SUM(Q116:V116)-W116</f>
        <v>10764659.253420001</v>
      </c>
    </row>
    <row r="117" spans="1:24" x14ac:dyDescent="0.25">
      <c r="A117" s="6" t="s">
        <v>100</v>
      </c>
      <c r="B117" s="6"/>
      <c r="C117" s="11">
        <f>'Sandnes bykasse'!B96/1000</f>
        <v>156984.31549000001</v>
      </c>
      <c r="D117" s="12"/>
      <c r="E117" s="12">
        <f>'Sandnes eiendomsselskap KF'!B96/1000</f>
        <v>46612.264189999994</v>
      </c>
      <c r="F117" s="12"/>
      <c r="G117" s="12">
        <f>'Sandnes parkering KF'!B96/1000</f>
        <v>0</v>
      </c>
      <c r="H117" s="12"/>
      <c r="I117" s="12">
        <f>'Sandnes kunst- og kulturhus KF'!B96/1000</f>
        <v>0</v>
      </c>
      <c r="J117" s="12"/>
      <c r="K117" s="12">
        <f>'Sandnes tomteselskap KF'!D48/1000</f>
        <v>134.15</v>
      </c>
      <c r="L117" s="12"/>
      <c r="M117" s="12">
        <f>'Sandnes havn KF'!C63/1000</f>
        <v>10179.224</v>
      </c>
      <c r="N117" s="184"/>
      <c r="O117" s="8"/>
      <c r="P117" s="8"/>
      <c r="Q117" s="9">
        <f t="shared" si="70"/>
        <v>156984.31549000001</v>
      </c>
      <c r="R117" s="10">
        <f t="shared" si="71"/>
        <v>46612.264189999994</v>
      </c>
      <c r="S117" s="10">
        <f t="shared" si="72"/>
        <v>0</v>
      </c>
      <c r="T117" s="10">
        <f t="shared" si="73"/>
        <v>0</v>
      </c>
      <c r="U117" s="10">
        <f t="shared" si="74"/>
        <v>134.15</v>
      </c>
      <c r="V117" s="10">
        <f t="shared" si="75"/>
        <v>10179.224</v>
      </c>
      <c r="W117" s="110">
        <f t="shared" si="76"/>
        <v>0</v>
      </c>
      <c r="X117" s="9">
        <f t="shared" ref="X117:X165" si="77">SUM(Q117:V117)-W117</f>
        <v>213909.95367999998</v>
      </c>
    </row>
    <row r="118" spans="1:24" x14ac:dyDescent="0.25">
      <c r="A118" s="6" t="s">
        <v>50</v>
      </c>
      <c r="B118" s="6"/>
      <c r="C118" s="11">
        <f>'Sandnes bykasse'!B97/1000</f>
        <v>1584531.39319</v>
      </c>
      <c r="D118" s="12"/>
      <c r="E118" s="12">
        <f>'Sandnes eiendomsselskap KF'!B97/1000</f>
        <v>0</v>
      </c>
      <c r="F118" s="12"/>
      <c r="G118" s="12">
        <f>'Sandnes parkering KF'!B97/1000</f>
        <v>0</v>
      </c>
      <c r="H118" s="12"/>
      <c r="I118" s="12">
        <f>'Sandnes kunst- og kulturhus KF'!B97/1000</f>
        <v>0</v>
      </c>
      <c r="J118" s="12"/>
      <c r="K118" s="12">
        <f>'Sandnes tomteselskap KF'!D51/1000</f>
        <v>9143.2569999999996</v>
      </c>
      <c r="L118" s="12"/>
      <c r="M118" s="12"/>
      <c r="N118" s="184"/>
      <c r="O118" s="8"/>
      <c r="P118" s="8"/>
      <c r="Q118" s="9">
        <f t="shared" si="70"/>
        <v>1584531.39319</v>
      </c>
      <c r="R118" s="10">
        <f t="shared" si="71"/>
        <v>0</v>
      </c>
      <c r="S118" s="10">
        <f t="shared" si="72"/>
        <v>0</v>
      </c>
      <c r="T118" s="10">
        <f t="shared" si="73"/>
        <v>0</v>
      </c>
      <c r="U118" s="10">
        <f t="shared" si="74"/>
        <v>9143.2569999999996</v>
      </c>
      <c r="V118" s="10">
        <f t="shared" si="75"/>
        <v>0</v>
      </c>
      <c r="W118" s="110">
        <f t="shared" si="76"/>
        <v>0</v>
      </c>
      <c r="X118" s="9">
        <f t="shared" si="77"/>
        <v>1593674.65019</v>
      </c>
    </row>
    <row r="119" spans="1:24" x14ac:dyDescent="0.25">
      <c r="A119" s="6" t="s">
        <v>101</v>
      </c>
      <c r="B119" s="6"/>
      <c r="C119" s="11">
        <f>'Sandnes bykasse'!B98/1000</f>
        <v>5718293.8878300004</v>
      </c>
      <c r="D119" s="184">
        <f>5618625+99669</f>
        <v>5718294</v>
      </c>
      <c r="E119" s="12">
        <f>'Sandnes eiendomsselskap KF'!B98/1000</f>
        <v>0</v>
      </c>
      <c r="F119" s="12"/>
      <c r="G119" s="12">
        <f>'Sandnes parkering KF'!B98/1000</f>
        <v>10000</v>
      </c>
      <c r="H119" s="184">
        <v>10000</v>
      </c>
      <c r="I119" s="12">
        <f>'Sandnes kunst- og kulturhus KF'!B98/1000</f>
        <v>0</v>
      </c>
      <c r="J119" s="12"/>
      <c r="K119" s="12"/>
      <c r="L119" s="12"/>
      <c r="M119" s="12">
        <f>'Sandnes havn KF'!C67/1000</f>
        <v>93157.540999999997</v>
      </c>
      <c r="N119" s="184">
        <f>93158</f>
        <v>93158</v>
      </c>
      <c r="O119" s="8"/>
      <c r="P119" s="8"/>
      <c r="Q119" s="9">
        <f t="shared" si="70"/>
        <v>5718293.8878300004</v>
      </c>
      <c r="R119" s="10">
        <f t="shared" si="71"/>
        <v>0</v>
      </c>
      <c r="S119" s="10">
        <f t="shared" si="72"/>
        <v>10000</v>
      </c>
      <c r="T119" s="10">
        <f t="shared" si="73"/>
        <v>0</v>
      </c>
      <c r="U119" s="10">
        <f>K119</f>
        <v>0</v>
      </c>
      <c r="V119" s="10">
        <f t="shared" si="75"/>
        <v>93157.540999999997</v>
      </c>
      <c r="W119" s="110">
        <f t="shared" si="76"/>
        <v>5821452</v>
      </c>
      <c r="X119" s="9">
        <f>SUM(Q119:V119)-W119+1</f>
        <v>0.42883000057190657</v>
      </c>
    </row>
    <row r="120" spans="1:24" x14ac:dyDescent="0.25">
      <c r="A120" s="6" t="s">
        <v>102</v>
      </c>
      <c r="B120" s="6"/>
      <c r="C120" s="11">
        <f>'Sandnes bykasse'!B99/1000</f>
        <v>420206.58964999998</v>
      </c>
      <c r="D120" s="12"/>
      <c r="E120" s="12">
        <f>'Sandnes eiendomsselskap KF'!B99/1000</f>
        <v>31646.151999999998</v>
      </c>
      <c r="F120" s="12"/>
      <c r="G120" s="12">
        <f>'Sandnes parkering KF'!B99/1000</f>
        <v>132</v>
      </c>
      <c r="H120" s="12"/>
      <c r="I120" s="12">
        <f>'Sandnes kunst- og kulturhus KF'!B99/1000</f>
        <v>63</v>
      </c>
      <c r="J120" s="12"/>
      <c r="K120" s="12">
        <f>'Sandnes tomteselskap KF'!D49/1000</f>
        <v>25591.223000000002</v>
      </c>
      <c r="L120" s="12"/>
      <c r="M120" s="12">
        <f>('Sandnes havn KF'!C64+'Sandnes havn KF'!C65)/1000</f>
        <v>1093</v>
      </c>
      <c r="N120" s="184"/>
      <c r="O120" s="8"/>
      <c r="P120" s="8"/>
      <c r="Q120" s="9">
        <f t="shared" si="70"/>
        <v>420206.58964999998</v>
      </c>
      <c r="R120" s="10">
        <f t="shared" si="71"/>
        <v>31646.151999999998</v>
      </c>
      <c r="S120" s="10">
        <f t="shared" si="72"/>
        <v>132</v>
      </c>
      <c r="T120" s="10">
        <f t="shared" si="73"/>
        <v>63</v>
      </c>
      <c r="U120" s="10">
        <f t="shared" si="74"/>
        <v>25591.223000000002</v>
      </c>
      <c r="V120" s="10">
        <f t="shared" si="75"/>
        <v>1093</v>
      </c>
      <c r="W120" s="110">
        <f t="shared" si="76"/>
        <v>0</v>
      </c>
      <c r="X120" s="9">
        <f t="shared" si="77"/>
        <v>478731.96464999998</v>
      </c>
    </row>
    <row r="121" spans="1:24" x14ac:dyDescent="0.25">
      <c r="A121" s="6" t="s">
        <v>103</v>
      </c>
      <c r="B121" s="6"/>
      <c r="C121" s="11">
        <f>'Sandnes bykasse'!B100/1000</f>
        <v>5483946.79</v>
      </c>
      <c r="D121" s="12"/>
      <c r="E121" s="12">
        <f>'Sandnes eiendomsselskap KF'!B100/1000</f>
        <v>30037.955999999998</v>
      </c>
      <c r="F121" s="12"/>
      <c r="G121" s="12">
        <f>'Sandnes parkering KF'!B100/1000</f>
        <v>12012.261</v>
      </c>
      <c r="H121" s="12"/>
      <c r="I121" s="12">
        <f>'Sandnes kunst- og kulturhus KF'!B100/1000</f>
        <v>14982.53</v>
      </c>
      <c r="J121" s="12"/>
      <c r="K121" s="12">
        <f>'Sandnes tomteselskap KF'!D50/1000</f>
        <v>0</v>
      </c>
      <c r="L121" s="12"/>
      <c r="M121" s="12">
        <f>'Sandnes havn KF'!C66/1000</f>
        <v>9519.4390000000003</v>
      </c>
      <c r="N121" s="184"/>
      <c r="O121" s="8"/>
      <c r="P121" s="8"/>
      <c r="Q121" s="9">
        <f t="shared" si="70"/>
        <v>5483946.79</v>
      </c>
      <c r="R121" s="10">
        <f t="shared" si="71"/>
        <v>30037.955999999998</v>
      </c>
      <c r="S121" s="10">
        <f t="shared" si="72"/>
        <v>12012.261</v>
      </c>
      <c r="T121" s="10">
        <f t="shared" si="73"/>
        <v>14982.53</v>
      </c>
      <c r="U121" s="10">
        <f t="shared" si="74"/>
        <v>0</v>
      </c>
      <c r="V121" s="10">
        <f t="shared" si="75"/>
        <v>9519.4390000000003</v>
      </c>
      <c r="W121" s="110">
        <f t="shared" si="76"/>
        <v>0</v>
      </c>
      <c r="X121" s="9">
        <f t="shared" si="77"/>
        <v>5550498.9760000007</v>
      </c>
    </row>
    <row r="122" spans="1:24" ht="15.75" thickBot="1" x14ac:dyDescent="0.3">
      <c r="A122" s="13" t="s">
        <v>118</v>
      </c>
      <c r="B122" s="14"/>
      <c r="C122" s="11">
        <f>SUM(C116:C121)</f>
        <v>16952661.59316</v>
      </c>
      <c r="D122" s="11">
        <f>SUM(D116:D121)</f>
        <v>5718294</v>
      </c>
      <c r="E122" s="11">
        <f>SUM(E116:E121)</f>
        <v>6518242.4342999989</v>
      </c>
      <c r="F122" s="11">
        <f>SUM(F116:F121)</f>
        <v>0</v>
      </c>
      <c r="G122" s="11">
        <f>SUM(G116:G121)</f>
        <v>29496.119919999997</v>
      </c>
      <c r="H122" s="11"/>
      <c r="I122" s="11">
        <f>SUM(I116:I121)</f>
        <v>16562.620770000001</v>
      </c>
      <c r="J122" s="11"/>
      <c r="K122" s="11">
        <f>SUM(K116:K121)</f>
        <v>492255.58299999998</v>
      </c>
      <c r="L122" s="11"/>
      <c r="M122" s="11">
        <f>SUM(M116:M121)</f>
        <v>413707.87561999995</v>
      </c>
      <c r="N122" s="188"/>
      <c r="O122" s="8"/>
      <c r="P122" s="8"/>
      <c r="Q122" s="15">
        <f t="shared" ref="Q122:W122" si="78">SUM(Q116:Q121)</f>
        <v>16952661.59316</v>
      </c>
      <c r="R122" s="16">
        <f t="shared" si="78"/>
        <v>6518242.4342999989</v>
      </c>
      <c r="S122" s="16">
        <f t="shared" si="78"/>
        <v>29496.119919999997</v>
      </c>
      <c r="T122" s="16">
        <f t="shared" si="78"/>
        <v>16562.620770000001</v>
      </c>
      <c r="U122" s="16">
        <f t="shared" si="78"/>
        <v>492255.58299999998</v>
      </c>
      <c r="V122" s="16">
        <f t="shared" si="78"/>
        <v>413707.87561999995</v>
      </c>
      <c r="W122" s="16">
        <f t="shared" si="78"/>
        <v>5821452</v>
      </c>
      <c r="X122" s="9">
        <f t="shared" si="77"/>
        <v>18601474.226769999</v>
      </c>
    </row>
    <row r="123" spans="1:24" x14ac:dyDescent="0.25">
      <c r="A123" s="22"/>
      <c r="B123" s="22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189"/>
      <c r="O123" s="8"/>
      <c r="P123" s="8"/>
      <c r="Q123" s="20"/>
      <c r="R123" s="21"/>
      <c r="S123" s="21"/>
      <c r="T123" s="21"/>
      <c r="U123" s="21"/>
      <c r="V123" s="21"/>
      <c r="W123" s="111"/>
      <c r="X123" s="9">
        <f t="shared" si="77"/>
        <v>0</v>
      </c>
    </row>
    <row r="124" spans="1:24" x14ac:dyDescent="0.25">
      <c r="A124" s="5" t="s">
        <v>104</v>
      </c>
      <c r="B124" s="6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84"/>
      <c r="O124" s="8"/>
      <c r="P124" s="8"/>
      <c r="Q124" s="9"/>
      <c r="R124" s="10"/>
      <c r="S124" s="10"/>
      <c r="T124" s="10"/>
      <c r="U124" s="10"/>
      <c r="V124" s="10"/>
      <c r="W124" s="110"/>
      <c r="X124" s="9">
        <f t="shared" si="77"/>
        <v>0</v>
      </c>
    </row>
    <row r="125" spans="1:24" x14ac:dyDescent="0.25">
      <c r="A125" s="6" t="s">
        <v>105</v>
      </c>
      <c r="B125" s="6"/>
      <c r="C125" s="11">
        <f>'Sandnes bykasse'!B103/1000</f>
        <v>406499.56708999997</v>
      </c>
      <c r="D125" s="12"/>
      <c r="E125" s="12">
        <f>'Sandnes eiendomsselskap KF'!B103/1000</f>
        <v>54338.34</v>
      </c>
      <c r="F125" s="12"/>
      <c r="G125" s="12">
        <f>'Sandnes parkering KF'!B103/1000</f>
        <v>1222.2143999999998</v>
      </c>
      <c r="H125" s="12"/>
      <c r="I125" s="12">
        <f>'Sandnes kunst- og kulturhus KF'!B103/1000</f>
        <v>861.7527</v>
      </c>
      <c r="J125" s="12"/>
      <c r="K125" s="12">
        <f>('Sandnes tomteselskap KF'!D56+'Sandnes tomteselskap KF'!D57)/1000</f>
        <v>143732.94099999999</v>
      </c>
      <c r="L125" s="12"/>
      <c r="M125" s="12">
        <f>'Sandnes havn KF'!C73/1000</f>
        <v>1892.943</v>
      </c>
      <c r="N125" s="184"/>
      <c r="O125" s="8"/>
      <c r="P125" s="8"/>
      <c r="Q125" s="9">
        <f t="shared" ref="Q125:Q130" si="79">C125</f>
        <v>406499.56708999997</v>
      </c>
      <c r="R125" s="10">
        <f>E125</f>
        <v>54338.34</v>
      </c>
      <c r="S125" s="10">
        <f>G125</f>
        <v>1222.2143999999998</v>
      </c>
      <c r="T125" s="10">
        <f>I125</f>
        <v>861.7527</v>
      </c>
      <c r="U125" s="10">
        <f>K125</f>
        <v>143732.94099999999</v>
      </c>
      <c r="V125" s="10">
        <f>M125</f>
        <v>1892.943</v>
      </c>
      <c r="W125" s="110">
        <f>D125+F125+H125+J125+L125+N125</f>
        <v>0</v>
      </c>
      <c r="X125" s="9">
        <f t="shared" si="77"/>
        <v>608547.75818999996</v>
      </c>
    </row>
    <row r="126" spans="1:24" x14ac:dyDescent="0.25">
      <c r="A126" s="6" t="s">
        <v>123</v>
      </c>
      <c r="B126" s="6"/>
      <c r="C126" s="11">
        <f>'Sandnes bykasse'!B104/1000</f>
        <v>45213.142999999996</v>
      </c>
      <c r="D126" s="184">
        <f>117+24826</f>
        <v>24943</v>
      </c>
      <c r="E126" s="12">
        <f>'Sandnes eiendomsselskap KF'!B104/1000</f>
        <v>28312.7389</v>
      </c>
      <c r="F126" s="12">
        <v>28313</v>
      </c>
      <c r="G126" s="12">
        <f>'Sandnes parkering KF'!B104/1000</f>
        <v>0</v>
      </c>
      <c r="H126" s="12"/>
      <c r="I126" s="12">
        <f>'Sandnes kunst- og kulturhus KF'!B104/1000</f>
        <v>0</v>
      </c>
      <c r="J126" s="12"/>
      <c r="K126" s="12"/>
      <c r="L126" s="12"/>
      <c r="M126" s="12">
        <f>('Sandnes havn KF'!C74+'Sandnes havn KF'!C72)/1000</f>
        <v>556.18899999999996</v>
      </c>
      <c r="N126" s="184">
        <f>556</f>
        <v>556</v>
      </c>
      <c r="O126" s="8"/>
      <c r="P126" s="8"/>
      <c r="Q126" s="9">
        <f t="shared" si="79"/>
        <v>45213.142999999996</v>
      </c>
      <c r="R126" s="10">
        <f>E126</f>
        <v>28312.7389</v>
      </c>
      <c r="S126" s="10">
        <f>G126</f>
        <v>0</v>
      </c>
      <c r="T126" s="10">
        <f>I126</f>
        <v>0</v>
      </c>
      <c r="U126" s="10">
        <f>K126</f>
        <v>0</v>
      </c>
      <c r="V126" s="10">
        <f>M126</f>
        <v>556.18899999999996</v>
      </c>
      <c r="W126" s="110">
        <f>D126+F126+H126+J126+L126+N126</f>
        <v>53812</v>
      </c>
      <c r="X126" s="9">
        <f t="shared" si="77"/>
        <v>20270.070899999992</v>
      </c>
    </row>
    <row r="127" spans="1:24" x14ac:dyDescent="0.25">
      <c r="A127" s="6" t="s">
        <v>107</v>
      </c>
      <c r="B127" s="6"/>
      <c r="C127" s="11">
        <f>'Sandnes bykasse'!B105/1000</f>
        <v>329594.25592000003</v>
      </c>
      <c r="D127" s="12"/>
      <c r="E127" s="12">
        <f>'Sandnes eiendomsselskap KF'!B105/1000</f>
        <v>-181.566</v>
      </c>
      <c r="F127" s="12"/>
      <c r="G127" s="12">
        <f>'Sandnes parkering KF'!B105/1000</f>
        <v>1154.4580000000001</v>
      </c>
      <c r="H127" s="12"/>
      <c r="I127" s="12">
        <f>'Sandnes kunst- og kulturhus KF'!B105/1000</f>
        <v>9.3510000000000009</v>
      </c>
      <c r="J127" s="12"/>
      <c r="K127" s="12"/>
      <c r="L127" s="12"/>
      <c r="M127" s="12">
        <f>('Sandnes havn KF'!C70+'Sandnes havn KF'!C71)/1000</f>
        <v>1034.81709</v>
      </c>
      <c r="N127" s="184"/>
      <c r="O127" s="8"/>
      <c r="P127" s="8"/>
      <c r="Q127" s="9">
        <f t="shared" si="79"/>
        <v>329594.25592000003</v>
      </c>
      <c r="R127" s="10">
        <f>E127</f>
        <v>-181.566</v>
      </c>
      <c r="S127" s="10">
        <f>G127</f>
        <v>1154.4580000000001</v>
      </c>
      <c r="T127" s="10">
        <f>I127</f>
        <v>9.3510000000000009</v>
      </c>
      <c r="U127" s="10">
        <f>K127</f>
        <v>0</v>
      </c>
      <c r="V127" s="10">
        <f>M127</f>
        <v>1034.81709</v>
      </c>
      <c r="W127" s="110">
        <f>D127+F127+H127+J127+L127+N127</f>
        <v>0</v>
      </c>
      <c r="X127" s="9">
        <f>SUM(Q127:V127)-W127</f>
        <v>331611.31601000007</v>
      </c>
    </row>
    <row r="128" spans="1:24" x14ac:dyDescent="0.25">
      <c r="A128" s="6" t="s">
        <v>102</v>
      </c>
      <c r="B128" s="6"/>
      <c r="C128" s="11">
        <f>'Sandnes bykasse'!B106/1000</f>
        <v>61014.781000000003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84"/>
      <c r="O128" s="8"/>
      <c r="P128" s="8"/>
      <c r="Q128" s="9">
        <f t="shared" si="79"/>
        <v>61014.781000000003</v>
      </c>
      <c r="R128" s="10">
        <f>E128</f>
        <v>0</v>
      </c>
      <c r="S128" s="10">
        <f>G128</f>
        <v>0</v>
      </c>
      <c r="T128" s="10">
        <f>I128</f>
        <v>0</v>
      </c>
      <c r="U128" s="10">
        <f>K128</f>
        <v>0</v>
      </c>
      <c r="V128" s="10">
        <f>M128</f>
        <v>0</v>
      </c>
      <c r="W128" s="110">
        <f>SUM(D128+F128+H128+J128+L128+N128)</f>
        <v>0</v>
      </c>
      <c r="X128" s="9">
        <f>SUM(Q128:V128)-W128</f>
        <v>61014.781000000003</v>
      </c>
    </row>
    <row r="129" spans="1:24" x14ac:dyDescent="0.25">
      <c r="A129" s="6" t="s">
        <v>111</v>
      </c>
      <c r="B129" s="6"/>
      <c r="C129" s="11">
        <f>'Sandnes bykasse'!B108/1000</f>
        <v>40086.463759999999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84"/>
      <c r="O129" s="8"/>
      <c r="P129" s="8"/>
      <c r="Q129" s="9">
        <f t="shared" si="79"/>
        <v>40086.463759999999</v>
      </c>
      <c r="R129" s="187"/>
      <c r="S129" s="187"/>
      <c r="T129" s="187"/>
      <c r="U129" s="187"/>
      <c r="V129" s="187"/>
      <c r="W129" s="187"/>
      <c r="X129" s="9">
        <f>SUM(Q129:V129)-W129</f>
        <v>40086.463759999999</v>
      </c>
    </row>
    <row r="130" spans="1:24" x14ac:dyDescent="0.25">
      <c r="A130" s="6" t="s">
        <v>113</v>
      </c>
      <c r="B130" s="6"/>
      <c r="C130" s="11">
        <f>'Sandnes bykasse'!B110/1000</f>
        <v>1080705.6591099999</v>
      </c>
      <c r="D130" s="12"/>
      <c r="E130" s="12">
        <f>'Sandnes eiendomsselskap KF'!B110/1000</f>
        <v>79272.87414</v>
      </c>
      <c r="F130" s="12"/>
      <c r="G130" s="12">
        <f>'Sandnes parkering KF'!B110/1000</f>
        <v>37892.073790000002</v>
      </c>
      <c r="H130" s="12"/>
      <c r="I130" s="12">
        <f>'Sandnes kunst- og kulturhus KF'!B110/1000</f>
        <v>4358.8521200000005</v>
      </c>
      <c r="J130" s="12"/>
      <c r="K130" s="12">
        <f>'Sandnes tomteselskap KF'!D58/1000</f>
        <v>213094.72899999999</v>
      </c>
      <c r="L130" s="12"/>
      <c r="M130" s="12">
        <f>'Sandnes havn KF'!C75/1000</f>
        <v>31731.423940000001</v>
      </c>
      <c r="N130" s="184"/>
      <c r="O130" s="8"/>
      <c r="P130" s="8"/>
      <c r="Q130" s="9">
        <f t="shared" si="79"/>
        <v>1080705.6591099999</v>
      </c>
      <c r="R130" s="10">
        <f>E130</f>
        <v>79272.87414</v>
      </c>
      <c r="S130" s="10">
        <f>G130</f>
        <v>37892.073790000002</v>
      </c>
      <c r="T130" s="10">
        <f>I130</f>
        <v>4358.8521200000005</v>
      </c>
      <c r="U130" s="10">
        <f>K130</f>
        <v>213094.72899999999</v>
      </c>
      <c r="V130" s="10">
        <f>M130</f>
        <v>31731.423940000001</v>
      </c>
      <c r="W130" s="110">
        <f>D130+F130+H130+J130+L130+N130</f>
        <v>0</v>
      </c>
      <c r="X130" s="9">
        <f t="shared" si="77"/>
        <v>1447055.6120999998</v>
      </c>
    </row>
    <row r="131" spans="1:24" ht="15.75" thickBot="1" x14ac:dyDescent="0.3">
      <c r="A131" s="13" t="s">
        <v>127</v>
      </c>
      <c r="B131" s="14"/>
      <c r="C131" s="11">
        <f>SUM(C125:C130)</f>
        <v>1963113.8698799997</v>
      </c>
      <c r="D131" s="11">
        <f>SUM(D125:D130)</f>
        <v>24943</v>
      </c>
      <c r="E131" s="11">
        <f>SUM(E125:E130)</f>
        <v>161742.38704</v>
      </c>
      <c r="F131" s="11"/>
      <c r="G131" s="11">
        <f>SUM(G125:G130)</f>
        <v>40268.746190000005</v>
      </c>
      <c r="H131" s="11"/>
      <c r="I131" s="11">
        <f>SUM(I125:I130)</f>
        <v>5229.9558200000001</v>
      </c>
      <c r="J131" s="11"/>
      <c r="K131" s="11">
        <f>SUM(K125:K130)</f>
        <v>356827.67</v>
      </c>
      <c r="L131" s="11"/>
      <c r="M131" s="11">
        <f>SUM(M125:M130)</f>
        <v>35215.373030000002</v>
      </c>
      <c r="N131" s="188"/>
      <c r="O131" s="8"/>
      <c r="P131" s="8"/>
      <c r="Q131" s="15">
        <f t="shared" ref="Q131:V131" si="80">SUM(Q125:Q130)</f>
        <v>1963113.8698799997</v>
      </c>
      <c r="R131" s="16">
        <f t="shared" si="80"/>
        <v>161742.38704</v>
      </c>
      <c r="S131" s="16">
        <f>SUM(S125:S130)</f>
        <v>40268.746190000005</v>
      </c>
      <c r="T131" s="16">
        <f t="shared" si="80"/>
        <v>5229.9558200000001</v>
      </c>
      <c r="U131" s="16">
        <f t="shared" si="80"/>
        <v>356827.67</v>
      </c>
      <c r="V131" s="16">
        <f t="shared" si="80"/>
        <v>35215.373030000002</v>
      </c>
      <c r="W131" s="16">
        <f>SUM(W125:W130)</f>
        <v>53812</v>
      </c>
      <c r="X131" s="9">
        <f>SUM(Q131:V131)-W131</f>
        <v>2508586.0019599991</v>
      </c>
    </row>
    <row r="132" spans="1:24" x14ac:dyDescent="0.25">
      <c r="A132" s="22"/>
      <c r="B132" s="22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189"/>
      <c r="O132" s="8"/>
      <c r="P132" s="8"/>
      <c r="Q132" s="20"/>
      <c r="R132" s="21"/>
      <c r="S132" s="21"/>
      <c r="T132" s="21"/>
      <c r="U132" s="21"/>
      <c r="V132" s="21"/>
      <c r="W132" s="111"/>
      <c r="X132" s="9">
        <f t="shared" si="77"/>
        <v>0</v>
      </c>
    </row>
    <row r="133" spans="1:24" ht="15.75" thickBot="1" x14ac:dyDescent="0.3">
      <c r="A133" s="13" t="s">
        <v>114</v>
      </c>
      <c r="B133" s="14"/>
      <c r="C133" s="11">
        <f>C122+C131</f>
        <v>18915775.463039998</v>
      </c>
      <c r="D133" s="11">
        <f>D122+D131</f>
        <v>5743237</v>
      </c>
      <c r="E133" s="11">
        <f>E122+E131</f>
        <v>6679984.8213399993</v>
      </c>
      <c r="F133" s="11">
        <f>F122+F131</f>
        <v>0</v>
      </c>
      <c r="G133" s="11">
        <f>G122+G131</f>
        <v>69764.866110000003</v>
      </c>
      <c r="H133" s="11"/>
      <c r="I133" s="11">
        <f>I122+I131</f>
        <v>21792.576590000001</v>
      </c>
      <c r="J133" s="11"/>
      <c r="K133" s="11">
        <f>K122+K131</f>
        <v>849083.25300000003</v>
      </c>
      <c r="L133" s="11">
        <f>L122+L131</f>
        <v>0</v>
      </c>
      <c r="M133" s="11">
        <f>M122+M131</f>
        <v>448923.24864999996</v>
      </c>
      <c r="N133" s="188">
        <f>N122+N131</f>
        <v>0</v>
      </c>
      <c r="O133" s="8"/>
      <c r="P133" s="8"/>
      <c r="Q133" s="15">
        <f t="shared" ref="Q133:W133" si="81">Q122+Q131</f>
        <v>18915775.463039998</v>
      </c>
      <c r="R133" s="16">
        <f>R122+R131</f>
        <v>6679984.8213399993</v>
      </c>
      <c r="S133" s="16">
        <f t="shared" si="81"/>
        <v>69764.866110000003</v>
      </c>
      <c r="T133" s="16">
        <f t="shared" si="81"/>
        <v>21792.576590000001</v>
      </c>
      <c r="U133" s="16">
        <f t="shared" si="81"/>
        <v>849083.25300000003</v>
      </c>
      <c r="V133" s="16">
        <f t="shared" si="81"/>
        <v>448923.24864999996</v>
      </c>
      <c r="W133" s="16">
        <f t="shared" si="81"/>
        <v>5875264</v>
      </c>
      <c r="X133" s="9">
        <f t="shared" si="77"/>
        <v>21110060.228729997</v>
      </c>
    </row>
    <row r="134" spans="1:24" x14ac:dyDescent="0.25">
      <c r="A134" s="22"/>
      <c r="B134" s="22"/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189"/>
      <c r="O134" s="8"/>
      <c r="P134" s="8"/>
      <c r="Q134" s="20"/>
      <c r="R134" s="21"/>
      <c r="S134" s="21"/>
      <c r="T134" s="21"/>
      <c r="U134" s="21"/>
      <c r="V134" s="21"/>
      <c r="W134" s="111"/>
      <c r="X134" s="9">
        <f t="shared" si="77"/>
        <v>0</v>
      </c>
    </row>
    <row r="135" spans="1:24" x14ac:dyDescent="0.25">
      <c r="A135" s="5" t="s">
        <v>115</v>
      </c>
      <c r="B135" s="6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84"/>
      <c r="O135" s="8"/>
      <c r="P135" s="8"/>
      <c r="Q135" s="9"/>
      <c r="R135" s="10"/>
      <c r="S135" s="10"/>
      <c r="T135" s="10"/>
      <c r="U135" s="10"/>
      <c r="V135" s="10"/>
      <c r="W135" s="110"/>
      <c r="X135" s="9">
        <f t="shared" si="77"/>
        <v>0</v>
      </c>
    </row>
    <row r="136" spans="1:24" x14ac:dyDescent="0.25">
      <c r="A136" s="6"/>
      <c r="B136" s="6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84"/>
      <c r="O136" s="8"/>
      <c r="P136" s="8"/>
      <c r="Q136" s="9"/>
      <c r="R136" s="10"/>
      <c r="S136" s="10"/>
      <c r="T136" s="10"/>
      <c r="U136" s="10"/>
      <c r="V136" s="10"/>
      <c r="W136" s="110"/>
      <c r="X136" s="9">
        <f t="shared" si="77"/>
        <v>0</v>
      </c>
    </row>
    <row r="137" spans="1:24" x14ac:dyDescent="0.25">
      <c r="A137" s="5" t="s">
        <v>116</v>
      </c>
      <c r="B137" s="6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84"/>
      <c r="O137" s="8"/>
      <c r="P137" s="8"/>
      <c r="Q137" s="9"/>
      <c r="R137" s="10"/>
      <c r="S137" s="10"/>
      <c r="T137" s="10"/>
      <c r="U137" s="10"/>
      <c r="V137" s="10"/>
      <c r="W137" s="10"/>
      <c r="X137" s="9">
        <f t="shared" si="77"/>
        <v>0</v>
      </c>
    </row>
    <row r="138" spans="1:24" x14ac:dyDescent="0.25">
      <c r="A138" s="6" t="s">
        <v>117</v>
      </c>
      <c r="B138" s="6"/>
      <c r="C138" s="11">
        <f>'Sandnes bykasse'!B115/1000</f>
        <v>635691.13867999997</v>
      </c>
      <c r="D138" s="12"/>
      <c r="E138" s="12">
        <f>'Sandnes eiendomsselskap KF'!B115/1000</f>
        <v>16019.097</v>
      </c>
      <c r="F138" s="12"/>
      <c r="G138" s="12">
        <f>'Sandnes parkering KF'!B115/1000</f>
        <v>36187.330750000001</v>
      </c>
      <c r="H138" s="12"/>
      <c r="I138" s="12">
        <f>'Sandnes kunst- og kulturhus KF'!B115/1000</f>
        <v>0</v>
      </c>
      <c r="J138" s="12"/>
      <c r="K138" s="12">
        <f>'Sandnes tomteselskap KF'!D68/1000</f>
        <v>369929.07299999997</v>
      </c>
      <c r="L138" s="12"/>
      <c r="M138" s="12">
        <f>-'Sandnes havn KF'!C81/1000</f>
        <v>32976.737000000001</v>
      </c>
      <c r="N138" s="184"/>
      <c r="O138" s="8"/>
      <c r="P138" s="8"/>
      <c r="Q138" s="9">
        <f t="shared" ref="Q138:Q146" si="82">C138</f>
        <v>635691.13867999997</v>
      </c>
      <c r="R138" s="10">
        <f t="shared" ref="R138:R146" si="83">E138</f>
        <v>16019.097</v>
      </c>
      <c r="S138" s="10">
        <f t="shared" ref="S138:S146" si="84">G138</f>
        <v>36187.330750000001</v>
      </c>
      <c r="T138" s="10">
        <f t="shared" ref="T138:T146" si="85">I138</f>
        <v>0</v>
      </c>
      <c r="U138" s="10">
        <f t="shared" ref="U138:U146" si="86">K138</f>
        <v>369929.07299999997</v>
      </c>
      <c r="V138" s="10">
        <f t="shared" ref="V138:V146" si="87">M138</f>
        <v>32976.737000000001</v>
      </c>
      <c r="W138" s="10">
        <f>D138+F138+H138+J138+L138+N138</f>
        <v>0</v>
      </c>
      <c r="X138" s="9">
        <f t="shared" si="77"/>
        <v>1090803.3764299999</v>
      </c>
    </row>
    <row r="139" spans="1:24" x14ac:dyDescent="0.25">
      <c r="A139" s="6" t="s">
        <v>119</v>
      </c>
      <c r="B139" s="6"/>
      <c r="C139" s="11">
        <f>'Sandnes bykasse'!B116/1000</f>
        <v>134759.38253</v>
      </c>
      <c r="D139" s="12"/>
      <c r="E139" s="12">
        <f>'Sandnes eiendomsselskap KF'!B116/1000</f>
        <v>3481.3429999999998</v>
      </c>
      <c r="F139" s="12"/>
      <c r="G139" s="12">
        <f>'Sandnes parkering KF'!B116/1000</f>
        <v>0</v>
      </c>
      <c r="H139" s="12"/>
      <c r="I139" s="12">
        <f>'Sandnes kunst- og kulturhus KF'!B116/1000</f>
        <v>389.9</v>
      </c>
      <c r="J139" s="12"/>
      <c r="K139" s="12"/>
      <c r="L139" s="12"/>
      <c r="M139" s="12"/>
      <c r="N139" s="184"/>
      <c r="O139" s="8"/>
      <c r="P139" s="8"/>
      <c r="Q139" s="9">
        <f t="shared" si="82"/>
        <v>134759.38253</v>
      </c>
      <c r="R139" s="10">
        <f t="shared" si="83"/>
        <v>3481.3429999999998</v>
      </c>
      <c r="S139" s="10">
        <f>G139</f>
        <v>0</v>
      </c>
      <c r="T139" s="10">
        <f>I139</f>
        <v>389.9</v>
      </c>
      <c r="U139" s="10">
        <f t="shared" si="86"/>
        <v>0</v>
      </c>
      <c r="V139" s="10">
        <f t="shared" si="87"/>
        <v>0</v>
      </c>
      <c r="W139" s="10">
        <f>D139+F139+H139+J139+L139+N139</f>
        <v>0</v>
      </c>
      <c r="X139" s="9">
        <f t="shared" si="77"/>
        <v>138630.62552999999</v>
      </c>
    </row>
    <row r="140" spans="1:24" x14ac:dyDescent="0.25">
      <c r="A140" s="6" t="s">
        <v>120</v>
      </c>
      <c r="B140" s="6"/>
      <c r="C140" s="11">
        <f>'Sandnes bykasse'!B117/1000</f>
        <v>6010.3254100000004</v>
      </c>
      <c r="D140" s="12"/>
      <c r="E140" s="12">
        <f>'Sandnes eiendomsselskap KF'!B117/1000</f>
        <v>0</v>
      </c>
      <c r="F140" s="12"/>
      <c r="G140" s="12">
        <f>'Sandnes parkering KF'!B117/1000</f>
        <v>0</v>
      </c>
      <c r="H140" s="12"/>
      <c r="I140" s="12">
        <f>'Sandnes kunst- og kulturhus KF'!B117/1000</f>
        <v>0</v>
      </c>
      <c r="J140" s="12"/>
      <c r="K140" s="12"/>
      <c r="L140" s="12"/>
      <c r="M140" s="12"/>
      <c r="N140" s="184"/>
      <c r="O140" s="8"/>
      <c r="P140" s="8"/>
      <c r="Q140" s="9">
        <f t="shared" si="82"/>
        <v>6010.3254100000004</v>
      </c>
      <c r="R140" s="10">
        <f t="shared" si="83"/>
        <v>0</v>
      </c>
      <c r="S140" s="10">
        <f t="shared" si="84"/>
        <v>0</v>
      </c>
      <c r="T140" s="10">
        <f t="shared" si="85"/>
        <v>0</v>
      </c>
      <c r="U140" s="10">
        <f t="shared" si="86"/>
        <v>0</v>
      </c>
      <c r="V140" s="10">
        <f t="shared" si="87"/>
        <v>0</v>
      </c>
      <c r="W140" s="10">
        <f>D140+F140+H140+J140+L140+N140</f>
        <v>0</v>
      </c>
      <c r="X140" s="9">
        <f t="shared" si="77"/>
        <v>6010.3254100000004</v>
      </c>
    </row>
    <row r="141" spans="1:24" x14ac:dyDescent="0.25">
      <c r="A141" s="6" t="s">
        <v>121</v>
      </c>
      <c r="B141" s="6"/>
      <c r="C141" s="11">
        <f>'Sandnes bykasse'!B118/1000</f>
        <v>85650.073799999998</v>
      </c>
      <c r="D141" s="12"/>
      <c r="E141" s="12">
        <f>'Sandnes eiendomsselskap KF'!B118/1000</f>
        <v>622.22699999999998</v>
      </c>
      <c r="F141" s="12"/>
      <c r="G141" s="12">
        <f>'Sandnes parkering KF'!B118/1000</f>
        <v>0</v>
      </c>
      <c r="H141" s="12"/>
      <c r="I141" s="12">
        <f>'Sandnes kunst- og kulturhus KF'!B118/1000</f>
        <v>0</v>
      </c>
      <c r="J141" s="12"/>
      <c r="K141" s="12"/>
      <c r="L141" s="12"/>
      <c r="M141" s="12"/>
      <c r="N141" s="184"/>
      <c r="O141" s="8"/>
      <c r="P141" s="8"/>
      <c r="Q141" s="9">
        <f t="shared" si="82"/>
        <v>85650.073799999998</v>
      </c>
      <c r="R141" s="10">
        <f t="shared" si="83"/>
        <v>622.22699999999998</v>
      </c>
      <c r="S141" s="10">
        <f t="shared" si="84"/>
        <v>0</v>
      </c>
      <c r="T141" s="10">
        <f t="shared" si="85"/>
        <v>0</v>
      </c>
      <c r="U141" s="10">
        <f t="shared" si="86"/>
        <v>0</v>
      </c>
      <c r="V141" s="10">
        <f t="shared" si="87"/>
        <v>0</v>
      </c>
      <c r="W141" s="10">
        <f>D141+F141+H141+J141+L141+N141</f>
        <v>0</v>
      </c>
      <c r="X141" s="9">
        <f t="shared" si="77"/>
        <v>86272.300799999997</v>
      </c>
    </row>
    <row r="142" spans="1:24" x14ac:dyDescent="0.25">
      <c r="A142" s="6" t="s">
        <v>122</v>
      </c>
      <c r="B142" s="6"/>
      <c r="C142" s="11">
        <f>'Sandnes bykasse'!B119/1000</f>
        <v>16366.784599999999</v>
      </c>
      <c r="D142" s="12"/>
      <c r="E142" s="12">
        <f>'Sandnes eiendomsselskap KF'!B119/1000</f>
        <v>1925.4843899999998</v>
      </c>
      <c r="F142" s="12"/>
      <c r="G142" s="12">
        <f>'Sandnes parkering KF'!B119/1000</f>
        <v>1211.3274899999999</v>
      </c>
      <c r="H142" s="12"/>
      <c r="I142" s="12">
        <f>'Sandnes kunst- og kulturhus KF'!B119/1000</f>
        <v>0</v>
      </c>
      <c r="J142" s="12"/>
      <c r="K142" s="12"/>
      <c r="L142" s="12"/>
      <c r="M142" s="12">
        <f>-'Sandnes havn KF'!C82/1000</f>
        <v>0</v>
      </c>
      <c r="N142" s="184"/>
      <c r="O142" s="8"/>
      <c r="P142" s="8"/>
      <c r="Q142" s="9">
        <f t="shared" si="82"/>
        <v>16366.784599999999</v>
      </c>
      <c r="R142" s="10">
        <f t="shared" si="83"/>
        <v>1925.4843899999998</v>
      </c>
      <c r="S142" s="10">
        <f t="shared" si="84"/>
        <v>1211.3274899999999</v>
      </c>
      <c r="T142" s="10">
        <f t="shared" si="85"/>
        <v>0</v>
      </c>
      <c r="U142" s="10">
        <f t="shared" si="86"/>
        <v>0</v>
      </c>
      <c r="V142" s="10">
        <f t="shared" si="87"/>
        <v>0</v>
      </c>
      <c r="W142" s="10">
        <f>D142+F142+H142+J142+L142+N142</f>
        <v>0</v>
      </c>
      <c r="X142" s="9">
        <f t="shared" si="77"/>
        <v>19503.59648</v>
      </c>
    </row>
    <row r="143" spans="1:24" x14ac:dyDescent="0.25">
      <c r="A143" s="6" t="s">
        <v>124</v>
      </c>
      <c r="B143" s="6"/>
      <c r="C143" s="11">
        <f>'Sandnes bykasse'!B120/1000</f>
        <v>0</v>
      </c>
      <c r="D143" s="12"/>
      <c r="E143" s="12">
        <f>'Sandnes eiendomsselskap KF'!B120/1000</f>
        <v>0</v>
      </c>
      <c r="F143" s="12"/>
      <c r="G143" s="12">
        <f>'Sandnes parkering KF'!B120/1000</f>
        <v>0</v>
      </c>
      <c r="H143" s="12"/>
      <c r="I143" s="12">
        <f>'Sandnes kunst- og kulturhus KF'!B120/1000</f>
        <v>-13.31373</v>
      </c>
      <c r="J143" s="12"/>
      <c r="K143" s="12"/>
      <c r="L143" s="12"/>
      <c r="M143" s="12"/>
      <c r="N143" s="184"/>
      <c r="O143" s="8"/>
      <c r="P143" s="8"/>
      <c r="Q143" s="9">
        <f t="shared" si="82"/>
        <v>0</v>
      </c>
      <c r="R143" s="10">
        <f t="shared" si="83"/>
        <v>0</v>
      </c>
      <c r="S143" s="10">
        <f t="shared" si="84"/>
        <v>0</v>
      </c>
      <c r="T143" s="10">
        <f t="shared" si="85"/>
        <v>-13.31373</v>
      </c>
      <c r="U143" s="10">
        <f t="shared" si="86"/>
        <v>0</v>
      </c>
      <c r="V143" s="10">
        <f t="shared" si="87"/>
        <v>0</v>
      </c>
      <c r="W143" s="10">
        <f>SUM(D143+F143+H143+J143+L143+N143)</f>
        <v>0</v>
      </c>
      <c r="X143" s="9">
        <f>SUM(Q143:V143)-W143</f>
        <v>-13.31373</v>
      </c>
    </row>
    <row r="144" spans="1:24" x14ac:dyDescent="0.25">
      <c r="A144" s="6" t="s">
        <v>125</v>
      </c>
      <c r="B144" s="6"/>
      <c r="C144" s="11">
        <f>'Sandnes bykasse'!B121/1000</f>
        <v>0</v>
      </c>
      <c r="D144" s="12"/>
      <c r="E144" s="12">
        <f>'Sandnes eiendomsselskap KF'!B121/1000</f>
        <v>0</v>
      </c>
      <c r="F144" s="12"/>
      <c r="G144" s="12">
        <f>'Sandnes parkering KF'!B121/1000</f>
        <v>0</v>
      </c>
      <c r="H144" s="12"/>
      <c r="I144" s="12">
        <f>'Sandnes kunst- og kulturhus KF'!B121/1000</f>
        <v>87.592749999999995</v>
      </c>
      <c r="J144" s="12"/>
      <c r="K144" s="12"/>
      <c r="L144" s="12"/>
      <c r="M144" s="12"/>
      <c r="N144" s="184"/>
      <c r="O144" s="8"/>
      <c r="P144" s="8"/>
      <c r="Q144" s="9">
        <f t="shared" si="82"/>
        <v>0</v>
      </c>
      <c r="R144" s="10">
        <f t="shared" si="83"/>
        <v>0</v>
      </c>
      <c r="S144" s="10">
        <f t="shared" si="84"/>
        <v>0</v>
      </c>
      <c r="T144" s="10">
        <f t="shared" si="85"/>
        <v>87.592749999999995</v>
      </c>
      <c r="U144" s="10">
        <f t="shared" si="86"/>
        <v>0</v>
      </c>
      <c r="V144" s="10">
        <f t="shared" si="87"/>
        <v>0</v>
      </c>
      <c r="W144" s="10">
        <f>SUM(D144+F144+H144+J144+L144+N144)</f>
        <v>0</v>
      </c>
      <c r="X144" s="9">
        <f t="shared" si="77"/>
        <v>87.592749999999995</v>
      </c>
    </row>
    <row r="145" spans="1:24" x14ac:dyDescent="0.25">
      <c r="A145" s="6" t="s">
        <v>128</v>
      </c>
      <c r="B145" s="6"/>
      <c r="C145" s="11">
        <f>'Sandnes bykasse'!B123/1000</f>
        <v>5476697.2126199994</v>
      </c>
      <c r="D145" s="12"/>
      <c r="E145" s="12">
        <f>'Sandnes eiendomsselskap KF'!B123/1000</f>
        <v>868943.73788999999</v>
      </c>
      <c r="F145" s="12"/>
      <c r="G145" s="12">
        <f>'Sandnes parkering KF'!B123/1000</f>
        <v>18113.99092</v>
      </c>
      <c r="H145" s="12"/>
      <c r="I145" s="12">
        <f>'Sandnes kunst- og kulturhus KF'!B123/1000</f>
        <v>2004.59177</v>
      </c>
      <c r="J145" s="12"/>
      <c r="K145" s="12">
        <f>'Sandnes tomteselskap KF'!D67/1000</f>
        <v>100322.564</v>
      </c>
      <c r="L145" s="12"/>
      <c r="M145" s="12">
        <f>-'Sandnes havn KF'!C83/1000</f>
        <v>404826.723</v>
      </c>
      <c r="N145" s="184"/>
      <c r="O145" s="8"/>
      <c r="P145" s="8"/>
      <c r="Q145" s="9">
        <f t="shared" si="82"/>
        <v>5476697.2126199994</v>
      </c>
      <c r="R145" s="10">
        <f t="shared" si="83"/>
        <v>868943.73788999999</v>
      </c>
      <c r="S145" s="10">
        <f t="shared" si="84"/>
        <v>18113.99092</v>
      </c>
      <c r="T145" s="10">
        <f t="shared" si="85"/>
        <v>2004.59177</v>
      </c>
      <c r="U145" s="10">
        <f t="shared" si="86"/>
        <v>100322.564</v>
      </c>
      <c r="V145" s="10">
        <f t="shared" si="87"/>
        <v>404826.723</v>
      </c>
      <c r="W145" s="10">
        <f>D145+F145+H145+J145+L145+N145</f>
        <v>0</v>
      </c>
      <c r="X145" s="9">
        <f t="shared" si="77"/>
        <v>6870908.820199999</v>
      </c>
    </row>
    <row r="146" spans="1:24" x14ac:dyDescent="0.25">
      <c r="A146" s="6" t="s">
        <v>139</v>
      </c>
      <c r="B146" s="6"/>
      <c r="C146" s="11">
        <f>'Sandnes bykasse'!B124/1000</f>
        <v>0</v>
      </c>
      <c r="D146" s="12"/>
      <c r="E146" s="12">
        <f>'Sandnes eiendomsselskap KF'!B124/1000</f>
        <v>0</v>
      </c>
      <c r="F146" s="12"/>
      <c r="G146" s="12">
        <f>'Sandnes parkering KF'!B124/1000</f>
        <v>0</v>
      </c>
      <c r="H146" s="12"/>
      <c r="I146" s="12">
        <f>'Sandnes kunst- og kulturhus KF'!B124/1000</f>
        <v>0</v>
      </c>
      <c r="J146" s="12"/>
      <c r="K146" s="12"/>
      <c r="L146" s="12"/>
      <c r="M146" s="12"/>
      <c r="N146" s="184"/>
      <c r="O146" s="8"/>
      <c r="P146" s="8"/>
      <c r="Q146" s="9">
        <f t="shared" si="82"/>
        <v>0</v>
      </c>
      <c r="R146" s="10">
        <f t="shared" si="83"/>
        <v>0</v>
      </c>
      <c r="S146" s="10">
        <f t="shared" si="84"/>
        <v>0</v>
      </c>
      <c r="T146" s="10">
        <f t="shared" si="85"/>
        <v>0</v>
      </c>
      <c r="U146" s="10">
        <f t="shared" si="86"/>
        <v>0</v>
      </c>
      <c r="V146" s="10">
        <f t="shared" si="87"/>
        <v>0</v>
      </c>
      <c r="W146" s="10">
        <f>D146+F146+H146+J146+L146+N146</f>
        <v>0</v>
      </c>
      <c r="X146" s="9">
        <f t="shared" si="77"/>
        <v>0</v>
      </c>
    </row>
    <row r="147" spans="1:24" ht="15.75" thickBot="1" x14ac:dyDescent="0.3">
      <c r="A147" s="13" t="s">
        <v>141</v>
      </c>
      <c r="B147" s="14"/>
      <c r="C147" s="11">
        <f>SUM(C138:C146)</f>
        <v>6355174.9176399997</v>
      </c>
      <c r="D147" s="11">
        <f>SUM(D138:D146)</f>
        <v>0</v>
      </c>
      <c r="E147" s="11">
        <f>SUM(E138:E146)</f>
        <v>890991.88928</v>
      </c>
      <c r="F147" s="11">
        <f>SUM(F138:F146)</f>
        <v>0</v>
      </c>
      <c r="G147" s="11">
        <f>SUM(G138:G146)</f>
        <v>55512.649160000001</v>
      </c>
      <c r="H147" s="11"/>
      <c r="I147" s="11">
        <f>SUM(I138:I146)</f>
        <v>2468.77079</v>
      </c>
      <c r="J147" s="11"/>
      <c r="K147" s="11">
        <f>SUM(K138:K146)</f>
        <v>470251.63699999999</v>
      </c>
      <c r="L147" s="11">
        <f>SUM(L138:L146)</f>
        <v>0</v>
      </c>
      <c r="M147" s="11">
        <f>SUM(M138:M146)</f>
        <v>437803.46</v>
      </c>
      <c r="N147" s="188">
        <f>SUM(N138:N146)</f>
        <v>0</v>
      </c>
      <c r="O147" s="8"/>
      <c r="P147" s="8"/>
      <c r="Q147" s="15">
        <f>SUM(Q138:Q146)</f>
        <v>6355174.9176399997</v>
      </c>
      <c r="R147" s="16">
        <f t="shared" ref="R147:W147" si="88">SUM(R138:R146)</f>
        <v>890991.88928</v>
      </c>
      <c r="S147" s="16">
        <f>SUM(S138:S146)</f>
        <v>55512.649160000001</v>
      </c>
      <c r="T147" s="16">
        <f t="shared" si="88"/>
        <v>2468.77079</v>
      </c>
      <c r="U147" s="16">
        <f t="shared" si="88"/>
        <v>470251.63699999999</v>
      </c>
      <c r="V147" s="16">
        <f t="shared" si="88"/>
        <v>437803.46</v>
      </c>
      <c r="W147" s="16">
        <f t="shared" si="88"/>
        <v>0</v>
      </c>
      <c r="X147" s="9">
        <f>SUM(Q147:V147)-W147</f>
        <v>8212203.3238699995</v>
      </c>
    </row>
    <row r="148" spans="1:24" x14ac:dyDescent="0.25">
      <c r="A148" s="22"/>
      <c r="B148" s="22"/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189"/>
      <c r="O148" s="8"/>
      <c r="P148" s="8"/>
      <c r="Q148" s="20"/>
      <c r="R148" s="21"/>
      <c r="S148" s="21"/>
      <c r="T148" s="21"/>
      <c r="U148" s="21"/>
      <c r="V148" s="21"/>
      <c r="W148" s="21"/>
      <c r="X148" s="9">
        <f t="shared" si="77"/>
        <v>0</v>
      </c>
    </row>
    <row r="149" spans="1:24" x14ac:dyDescent="0.25">
      <c r="A149" s="5" t="s">
        <v>131</v>
      </c>
      <c r="B149" s="5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86"/>
      <c r="O149" s="8"/>
      <c r="P149" s="8"/>
      <c r="Q149" s="33"/>
      <c r="R149" s="34"/>
      <c r="S149" s="34"/>
      <c r="T149" s="34"/>
      <c r="U149" s="34"/>
      <c r="V149" s="34"/>
      <c r="W149" s="34"/>
      <c r="X149" s="9">
        <f t="shared" si="77"/>
        <v>0</v>
      </c>
    </row>
    <row r="150" spans="1:24" x14ac:dyDescent="0.25">
      <c r="A150" s="6" t="s">
        <v>132</v>
      </c>
      <c r="B150" s="6"/>
      <c r="C150" s="11">
        <f>'Sandnes bykasse'!B128/1000</f>
        <v>5767832.6242399998</v>
      </c>
      <c r="D150" s="12"/>
      <c r="E150" s="12">
        <f>'Sandnes eiendomsselskap KF'!B128/1000</f>
        <v>30673.811000000002</v>
      </c>
      <c r="F150" s="12"/>
      <c r="G150" s="12">
        <f>'Sandnes parkering KF'!B128/1000</f>
        <v>11382.129000000001</v>
      </c>
      <c r="H150" s="12"/>
      <c r="I150" s="12">
        <f>'Sandnes kunst- og kulturhus KF'!B128/1000</f>
        <v>14558.029</v>
      </c>
      <c r="J150" s="12"/>
      <c r="K150" s="12">
        <f>'Sandnes tomteselskap KF'!D72/1000</f>
        <v>1473.2929999999999</v>
      </c>
      <c r="L150" s="12"/>
      <c r="M150" s="12">
        <f>-('Sandnes havn KF'!C86+'Sandnes havn KF'!C87)/1000</f>
        <v>8881.2122899999995</v>
      </c>
      <c r="N150" s="184"/>
      <c r="O150" s="8"/>
      <c r="P150" s="8"/>
      <c r="Q150" s="9">
        <f>C150</f>
        <v>5767832.6242399998</v>
      </c>
      <c r="R150" s="10">
        <f>E150</f>
        <v>30673.811000000002</v>
      </c>
      <c r="S150" s="10">
        <f>G150</f>
        <v>11382.129000000001</v>
      </c>
      <c r="T150" s="10">
        <f>I150</f>
        <v>14558.029</v>
      </c>
      <c r="U150" s="10">
        <f>K150</f>
        <v>1473.2929999999999</v>
      </c>
      <c r="V150" s="10">
        <f>M150</f>
        <v>8881.2122899999995</v>
      </c>
      <c r="W150" s="10">
        <f>D150+F150+H150+J150+L150+N150</f>
        <v>0</v>
      </c>
      <c r="X150" s="9">
        <f t="shared" si="77"/>
        <v>5834801.0985299991</v>
      </c>
    </row>
    <row r="151" spans="1:24" x14ac:dyDescent="0.25">
      <c r="A151" s="6" t="s">
        <v>134</v>
      </c>
      <c r="B151" s="6"/>
      <c r="C151" s="11">
        <f>'Sandnes bykasse'!B130/1000</f>
        <v>2925000</v>
      </c>
      <c r="D151" s="12"/>
      <c r="E151" s="12">
        <f>'Sandnes eiendomsselskap KF'!B129/1000</f>
        <v>0</v>
      </c>
      <c r="F151" s="12"/>
      <c r="G151" s="12">
        <f>'Sandnes parkering KF'!B130/1000</f>
        <v>0</v>
      </c>
      <c r="H151" s="12"/>
      <c r="I151" s="12">
        <f>'Sandnes kunst- og kulturhus KF'!B130/1000</f>
        <v>0</v>
      </c>
      <c r="J151" s="12"/>
      <c r="K151" s="12"/>
      <c r="L151" s="12"/>
      <c r="M151" s="12"/>
      <c r="N151" s="184"/>
      <c r="O151" s="8"/>
      <c r="P151" s="8"/>
      <c r="Q151" s="9">
        <f>C151</f>
        <v>2925000</v>
      </c>
      <c r="R151" s="10">
        <f>E151</f>
        <v>0</v>
      </c>
      <c r="S151" s="10">
        <f>G151</f>
        <v>0</v>
      </c>
      <c r="T151" s="10">
        <f>I151</f>
        <v>0</v>
      </c>
      <c r="U151" s="10">
        <f>K151</f>
        <v>0</v>
      </c>
      <c r="V151" s="10">
        <f>M151</f>
        <v>0</v>
      </c>
      <c r="W151" s="10">
        <f>D151+F151+H151+J151+L151+N151</f>
        <v>0</v>
      </c>
      <c r="X151" s="9">
        <f t="shared" si="77"/>
        <v>2925000</v>
      </c>
    </row>
    <row r="152" spans="1:24" x14ac:dyDescent="0.25">
      <c r="A152" s="6" t="s">
        <v>135</v>
      </c>
      <c r="B152" s="6"/>
      <c r="C152" s="11">
        <f>'Sandnes bykasse'!B131/1000</f>
        <v>2941201.571</v>
      </c>
      <c r="D152" s="12"/>
      <c r="E152" s="12">
        <f>'Sandnes eiendomsselskap KF'!B130/1000</f>
        <v>0</v>
      </c>
      <c r="F152" s="12"/>
      <c r="G152" s="12">
        <f>'Sandnes parkering KF'!B131/1000</f>
        <v>0</v>
      </c>
      <c r="H152" s="12"/>
      <c r="I152" s="12">
        <f>'Sandnes kunst- og kulturhus KF'!B131/1000</f>
        <v>0</v>
      </c>
      <c r="J152" s="12"/>
      <c r="K152" s="12">
        <f>'Sandnes tomteselskap KF'!D74/1000</f>
        <v>273.02499999999998</v>
      </c>
      <c r="L152" s="12"/>
      <c r="M152" s="12"/>
      <c r="N152" s="184"/>
      <c r="O152" s="8"/>
      <c r="P152" s="8"/>
      <c r="Q152" s="9">
        <f>C152</f>
        <v>2941201.571</v>
      </c>
      <c r="R152" s="10">
        <f>E152</f>
        <v>0</v>
      </c>
      <c r="S152" s="10">
        <f>G152</f>
        <v>0</v>
      </c>
      <c r="T152" s="10">
        <f>I152</f>
        <v>0</v>
      </c>
      <c r="U152" s="10">
        <f>K152</f>
        <v>273.02499999999998</v>
      </c>
      <c r="V152" s="10">
        <f>M152</f>
        <v>0</v>
      </c>
      <c r="W152" s="110">
        <f>D152+F152+H152+J152+L152+N152</f>
        <v>0</v>
      </c>
      <c r="X152" s="9">
        <f t="shared" si="77"/>
        <v>2941474.5959999999</v>
      </c>
    </row>
    <row r="153" spans="1:24" x14ac:dyDescent="0.25">
      <c r="A153" s="6" t="s">
        <v>136</v>
      </c>
      <c r="B153" s="6"/>
      <c r="C153" s="11">
        <f>'Sandnes bykasse'!B132/1000</f>
        <v>10000</v>
      </c>
      <c r="D153" s="184">
        <v>10000</v>
      </c>
      <c r="E153" s="12">
        <f>'Sandnes eiendomsselskap KF'!B132/1000</f>
        <v>5618624.8854099996</v>
      </c>
      <c r="F153" s="184">
        <v>5618625</v>
      </c>
      <c r="G153" s="12">
        <f>'Sandnes parkering KF'!B132/1000</f>
        <v>0</v>
      </c>
      <c r="H153" s="12"/>
      <c r="I153" s="12">
        <f>'Sandnes kunst- og kulturhus KF'!B132/1000</f>
        <v>0</v>
      </c>
      <c r="J153" s="12"/>
      <c r="K153" s="12">
        <f>('Sandnes tomteselskap KF'!D75+'Sandnes tomteselskap KF'!D76)/1000</f>
        <v>192826.541</v>
      </c>
      <c r="L153" s="184">
        <f>93158+99669</f>
        <v>192827</v>
      </c>
      <c r="M153" s="12"/>
      <c r="N153" s="184"/>
      <c r="O153" s="8"/>
      <c r="P153" s="8"/>
      <c r="Q153" s="9">
        <f>C153</f>
        <v>10000</v>
      </c>
      <c r="R153" s="10">
        <f>E153</f>
        <v>5618624.8854099996</v>
      </c>
      <c r="S153" s="10">
        <f>G153</f>
        <v>0</v>
      </c>
      <c r="T153" s="10">
        <f>I153</f>
        <v>0</v>
      </c>
      <c r="U153" s="10">
        <f>K153</f>
        <v>192826.541</v>
      </c>
      <c r="V153" s="10">
        <f>M153</f>
        <v>0</v>
      </c>
      <c r="W153" s="110">
        <f>D153+F153+H153+J153+L153+N153</f>
        <v>5821452</v>
      </c>
      <c r="X153" s="9">
        <f>SUM(Q153:V153)-W153+1</f>
        <v>0.42640999983996153</v>
      </c>
    </row>
    <row r="154" spans="1:24" ht="15.75" thickBot="1" x14ac:dyDescent="0.3">
      <c r="A154" s="13" t="s">
        <v>146</v>
      </c>
      <c r="B154" s="14"/>
      <c r="C154" s="11">
        <f>SUM(C150:C153)</f>
        <v>11644034.19524</v>
      </c>
      <c r="D154" s="11">
        <f>SUM(D150:D153)</f>
        <v>10000</v>
      </c>
      <c r="E154" s="11">
        <f>SUM(E150:E153)</f>
        <v>5649298.6964099994</v>
      </c>
      <c r="F154" s="11">
        <f>SUM(F150:F153)</f>
        <v>5618625</v>
      </c>
      <c r="G154" s="11">
        <f>SUM(G150:G153)</f>
        <v>11382.129000000001</v>
      </c>
      <c r="H154" s="11"/>
      <c r="I154" s="11">
        <f>SUM(I150:I153)</f>
        <v>14558.029</v>
      </c>
      <c r="J154" s="11"/>
      <c r="K154" s="11">
        <f>SUM(K150:K153)</f>
        <v>194572.859</v>
      </c>
      <c r="L154" s="11">
        <f>SUM(L150:L153)</f>
        <v>192827</v>
      </c>
      <c r="M154" s="11">
        <f>SUM(M150:M153)</f>
        <v>8881.2122899999995</v>
      </c>
      <c r="N154" s="188">
        <f>SUM(N150:N153)</f>
        <v>0</v>
      </c>
      <c r="O154" s="8"/>
      <c r="P154" s="8"/>
      <c r="Q154" s="15">
        <f t="shared" ref="Q154:W154" si="89">SUM(Q150:Q153)</f>
        <v>11644034.19524</v>
      </c>
      <c r="R154" s="16">
        <f t="shared" si="89"/>
        <v>5649298.6964099994</v>
      </c>
      <c r="S154" s="16">
        <f t="shared" si="89"/>
        <v>11382.129000000001</v>
      </c>
      <c r="T154" s="16">
        <f t="shared" si="89"/>
        <v>14558.029</v>
      </c>
      <c r="U154" s="16">
        <f t="shared" si="89"/>
        <v>194572.859</v>
      </c>
      <c r="V154" s="16">
        <f t="shared" si="89"/>
        <v>8881.2122899999995</v>
      </c>
      <c r="W154" s="16">
        <f t="shared" si="89"/>
        <v>5821452</v>
      </c>
      <c r="X154" s="9">
        <f t="shared" si="77"/>
        <v>11701275.12094</v>
      </c>
    </row>
    <row r="155" spans="1:24" x14ac:dyDescent="0.25">
      <c r="A155" s="22"/>
      <c r="B155" s="22"/>
      <c r="C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89"/>
      <c r="O155" s="8"/>
      <c r="P155" s="8"/>
      <c r="Q155" s="20"/>
      <c r="R155" s="21"/>
      <c r="S155" s="21"/>
      <c r="T155" s="21"/>
      <c r="U155" s="21"/>
      <c r="V155" s="21"/>
      <c r="W155" s="111"/>
      <c r="X155" s="9">
        <f t="shared" si="77"/>
        <v>0</v>
      </c>
    </row>
    <row r="156" spans="1:24" x14ac:dyDescent="0.25">
      <c r="A156" s="5" t="s">
        <v>137</v>
      </c>
      <c r="B156" s="6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84"/>
      <c r="O156" s="8"/>
      <c r="P156" s="8"/>
      <c r="Q156" s="9"/>
      <c r="R156" s="10"/>
      <c r="S156" s="10"/>
      <c r="T156" s="10"/>
      <c r="U156" s="10"/>
      <c r="V156" s="10"/>
      <c r="W156" s="110"/>
      <c r="X156" s="9">
        <f t="shared" si="77"/>
        <v>0</v>
      </c>
    </row>
    <row r="157" spans="1:24" x14ac:dyDescent="0.25">
      <c r="A157" s="6" t="s">
        <v>140</v>
      </c>
      <c r="B157" s="6"/>
      <c r="C157" s="11">
        <f>'Sandnes bykasse'!B136/1000</f>
        <v>888253.68125999998</v>
      </c>
      <c r="D157" s="12"/>
      <c r="E157" s="12">
        <f>'Sandnes eiendomsselskap KF'!B136/1000</f>
        <v>139694.23565000002</v>
      </c>
      <c r="F157" s="12"/>
      <c r="G157" s="12">
        <f>'Sandnes parkering KF'!B136/1000</f>
        <v>2870.0879500000001</v>
      </c>
      <c r="H157" s="12"/>
      <c r="I157" s="12">
        <f>'Sandnes kunst- og kulturhus KF'!B136/1000</f>
        <v>4765.7767999999996</v>
      </c>
      <c r="J157" s="12"/>
      <c r="K157" s="12">
        <f>('Sandnes tomteselskap KF'!D80+'Sandnes tomteselskap KF'!D84+'Sandnes tomteselskap KF'!D73+'Sandnes tomteselskap KF'!D83+'Sandnes tomteselskap KF'!D81)/1000</f>
        <v>159432.666</v>
      </c>
      <c r="L157" s="184">
        <v>556</v>
      </c>
      <c r="M157" s="12">
        <f>-SUM('Sandnes havn KF'!C91:C97)/1000</f>
        <v>2121.5351199999996</v>
      </c>
      <c r="N157" s="184"/>
      <c r="O157" s="8"/>
      <c r="P157" s="8"/>
      <c r="Q157" s="9">
        <f>C157</f>
        <v>888253.68125999998</v>
      </c>
      <c r="R157" s="10">
        <f>E157</f>
        <v>139694.23565000002</v>
      </c>
      <c r="S157" s="10">
        <f>G157</f>
        <v>2870.0879500000001</v>
      </c>
      <c r="T157" s="10">
        <f>I157</f>
        <v>4765.7767999999996</v>
      </c>
      <c r="U157" s="10">
        <f>K157</f>
        <v>159432.666</v>
      </c>
      <c r="V157" s="10">
        <f>M157</f>
        <v>2121.5351199999996</v>
      </c>
      <c r="W157" s="110">
        <f>D157+F157+H157+J157+L157+N157</f>
        <v>556</v>
      </c>
      <c r="X157" s="9">
        <f t="shared" si="77"/>
        <v>1196581.98278</v>
      </c>
    </row>
    <row r="158" spans="1:24" x14ac:dyDescent="0.25">
      <c r="A158" s="6" t="s">
        <v>142</v>
      </c>
      <c r="B158" s="6"/>
      <c r="C158" s="11">
        <f>'Sandnes bykasse'!B138/1000</f>
        <v>28312.668899999997</v>
      </c>
      <c r="D158" s="12">
        <v>28313</v>
      </c>
      <c r="E158" s="12">
        <f>'Sandnes eiendomsselskap KF'!B138/1000</f>
        <v>0</v>
      </c>
      <c r="F158" s="12"/>
      <c r="G158" s="12">
        <f>'Sandnes parkering KF'!B138/1000</f>
        <v>0</v>
      </c>
      <c r="H158" s="12"/>
      <c r="I158" s="12">
        <f>'Sandnes kunst- og kulturhus KF'!B138/1000</f>
        <v>0</v>
      </c>
      <c r="J158" s="12"/>
      <c r="K158" s="12">
        <f>'Sandnes tomteselskap KF'!D82/1000</f>
        <v>24826.091</v>
      </c>
      <c r="L158" s="184">
        <f>24826</f>
        <v>24826</v>
      </c>
      <c r="M158" s="12">
        <f>-'Sandnes havn KF'!C90/1000</f>
        <v>117.042</v>
      </c>
      <c r="N158" s="184">
        <v>117</v>
      </c>
      <c r="O158" s="8"/>
      <c r="P158" s="8"/>
      <c r="Q158" s="9">
        <f>C158</f>
        <v>28312.668899999997</v>
      </c>
      <c r="R158" s="10">
        <f>E158</f>
        <v>0</v>
      </c>
      <c r="S158" s="10">
        <f>G158</f>
        <v>0</v>
      </c>
      <c r="T158" s="10">
        <f>I158</f>
        <v>0</v>
      </c>
      <c r="U158" s="10">
        <f>K158</f>
        <v>24826.091</v>
      </c>
      <c r="V158" s="10">
        <f>M158</f>
        <v>117.042</v>
      </c>
      <c r="W158" s="110">
        <f>D158+F158+H158+J158+L158+N158</f>
        <v>53256</v>
      </c>
      <c r="X158" s="9">
        <f>SUM(Q158:V158)-W158</f>
        <v>-0.19810000000143191</v>
      </c>
    </row>
    <row r="159" spans="1:24" ht="15.75" thickBot="1" x14ac:dyDescent="0.3">
      <c r="A159" s="13" t="s">
        <v>151</v>
      </c>
      <c r="B159" s="14"/>
      <c r="C159" s="11">
        <f>SUM(C157:C158)</f>
        <v>916566.35016000003</v>
      </c>
      <c r="D159" s="11">
        <f>SUM(D157:D158)</f>
        <v>28313</v>
      </c>
      <c r="E159" s="11">
        <f>SUM(E157:E158)</f>
        <v>139694.23565000002</v>
      </c>
      <c r="F159" s="11">
        <f>SUM(F157:F158)</f>
        <v>0</v>
      </c>
      <c r="G159" s="11">
        <f>SUM(G157:G158)</f>
        <v>2870.0879500000001</v>
      </c>
      <c r="H159" s="11"/>
      <c r="I159" s="11">
        <f>SUM(I157:I158)</f>
        <v>4765.7767999999996</v>
      </c>
      <c r="J159" s="11"/>
      <c r="K159" s="11">
        <f>SUM(K157:K158)</f>
        <v>184258.75699999998</v>
      </c>
      <c r="L159" s="11">
        <f>SUM(L157:L158)</f>
        <v>25382</v>
      </c>
      <c r="M159" s="11">
        <f>SUM(M157:M158)</f>
        <v>2238.5771199999995</v>
      </c>
      <c r="N159" s="11">
        <f>SUM(N157:N158)</f>
        <v>117</v>
      </c>
      <c r="O159" s="8"/>
      <c r="P159" s="8"/>
      <c r="Q159" s="15">
        <f t="shared" ref="Q159:W159" si="90">SUM(Q157:Q158)</f>
        <v>916566.35016000003</v>
      </c>
      <c r="R159" s="16">
        <f t="shared" si="90"/>
        <v>139694.23565000002</v>
      </c>
      <c r="S159" s="16">
        <f t="shared" si="90"/>
        <v>2870.0879500000001</v>
      </c>
      <c r="T159" s="16">
        <f t="shared" si="90"/>
        <v>4765.7767999999996</v>
      </c>
      <c r="U159" s="16">
        <f t="shared" si="90"/>
        <v>184258.75699999998</v>
      </c>
      <c r="V159" s="16">
        <f t="shared" si="90"/>
        <v>2238.5771199999995</v>
      </c>
      <c r="W159" s="16">
        <f t="shared" si="90"/>
        <v>53812</v>
      </c>
      <c r="X159" s="9">
        <f t="shared" si="77"/>
        <v>1196581.7846800003</v>
      </c>
    </row>
    <row r="160" spans="1:24" x14ac:dyDescent="0.25">
      <c r="A160" s="6"/>
      <c r="B160" s="6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8"/>
      <c r="P160" s="8"/>
      <c r="Q160" s="9"/>
      <c r="R160" s="10"/>
      <c r="S160" s="10"/>
      <c r="T160" s="10"/>
      <c r="U160" s="10"/>
      <c r="V160" s="10"/>
      <c r="W160" s="110"/>
      <c r="X160" s="9">
        <f t="shared" si="77"/>
        <v>0</v>
      </c>
    </row>
    <row r="161" spans="1:24" ht="15.75" thickBot="1" x14ac:dyDescent="0.3">
      <c r="A161" s="13" t="s">
        <v>143</v>
      </c>
      <c r="B161" s="14"/>
      <c r="C161" s="11">
        <f>C147+C154+C159</f>
        <v>18915775.463039998</v>
      </c>
      <c r="D161" s="11">
        <f>D147+D154+D159</f>
        <v>38313</v>
      </c>
      <c r="E161" s="11">
        <f t="shared" ref="E161:N161" si="91">E147+E154+E159</f>
        <v>6679984.8213399993</v>
      </c>
      <c r="F161" s="11">
        <f t="shared" si="91"/>
        <v>5618625</v>
      </c>
      <c r="G161" s="11">
        <f t="shared" si="91"/>
        <v>69764.866110000003</v>
      </c>
      <c r="H161" s="11">
        <f t="shared" si="91"/>
        <v>0</v>
      </c>
      <c r="I161" s="11">
        <f t="shared" si="91"/>
        <v>21792.576590000001</v>
      </c>
      <c r="J161" s="11">
        <f t="shared" si="91"/>
        <v>0</v>
      </c>
      <c r="K161" s="11">
        <f>K147+K154+K159</f>
        <v>849083.25300000003</v>
      </c>
      <c r="L161" s="11">
        <f t="shared" si="91"/>
        <v>218209</v>
      </c>
      <c r="M161" s="11">
        <f t="shared" si="91"/>
        <v>448923.24940999999</v>
      </c>
      <c r="N161" s="11">
        <f t="shared" si="91"/>
        <v>117</v>
      </c>
      <c r="O161" s="8"/>
      <c r="P161" s="8"/>
      <c r="Q161" s="15">
        <f t="shared" ref="Q161:W161" si="92">Q147+Q154+Q159</f>
        <v>18915775.463039998</v>
      </c>
      <c r="R161" s="16">
        <f t="shared" si="92"/>
        <v>6679984.8213399993</v>
      </c>
      <c r="S161" s="16">
        <f t="shared" si="92"/>
        <v>69764.866110000003</v>
      </c>
      <c r="T161" s="16">
        <f t="shared" si="92"/>
        <v>21792.576590000001</v>
      </c>
      <c r="U161" s="16">
        <f>U147+U154+U159</f>
        <v>849083.25300000003</v>
      </c>
      <c r="V161" s="16">
        <f>V147+V154+V159</f>
        <v>448923.24940999999</v>
      </c>
      <c r="W161" s="16">
        <f t="shared" si="92"/>
        <v>5875264</v>
      </c>
      <c r="X161" s="9">
        <f>SUM(Q161:V161)-W161</f>
        <v>21110060.229489997</v>
      </c>
    </row>
    <row r="162" spans="1:24" x14ac:dyDescent="0.25">
      <c r="A162" s="22"/>
      <c r="B162" s="22"/>
      <c r="C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8"/>
      <c r="P162" s="8"/>
      <c r="Q162" s="20"/>
      <c r="R162" s="21"/>
      <c r="S162" s="21"/>
      <c r="T162" s="21"/>
      <c r="U162" s="21"/>
      <c r="V162" s="21"/>
      <c r="W162" s="21"/>
      <c r="X162" s="9">
        <f t="shared" si="77"/>
        <v>0</v>
      </c>
    </row>
    <row r="163" spans="1:24" x14ac:dyDescent="0.25">
      <c r="A163" s="5" t="s">
        <v>144</v>
      </c>
      <c r="B163" s="6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8"/>
      <c r="P163" s="8"/>
      <c r="Q163" s="9"/>
      <c r="R163" s="10"/>
      <c r="S163" s="10"/>
      <c r="T163" s="10"/>
      <c r="U163" s="10"/>
      <c r="V163" s="10"/>
      <c r="W163" s="10"/>
      <c r="X163" s="9">
        <f t="shared" si="77"/>
        <v>0</v>
      </c>
    </row>
    <row r="164" spans="1:24" x14ac:dyDescent="0.25">
      <c r="A164" s="6" t="s">
        <v>147</v>
      </c>
      <c r="B164" s="6"/>
      <c r="C164" s="11">
        <f>'Sandnes bykasse'!B144/1000</f>
        <v>168069.81552999999</v>
      </c>
      <c r="D164" s="12"/>
      <c r="E164" s="12">
        <f>'Sandnes eiendomsselskap KF'!B144/1000</f>
        <v>0</v>
      </c>
      <c r="F164" s="12"/>
      <c r="G164" s="12">
        <f>'Sandnes parkering KF'!B144/1000</f>
        <v>0</v>
      </c>
      <c r="H164" s="12"/>
      <c r="I164" s="12">
        <f>'Sandnes kunst- og kulturhus KF'!B144/1000</f>
        <v>0</v>
      </c>
      <c r="J164" s="12"/>
      <c r="K164" s="12"/>
      <c r="L164" s="12"/>
      <c r="M164" s="12"/>
      <c r="N164" s="12"/>
      <c r="O164" s="8"/>
      <c r="P164" s="8"/>
      <c r="Q164" s="9">
        <f>C164</f>
        <v>168069.81552999999</v>
      </c>
      <c r="R164" s="10">
        <f>E164</f>
        <v>0</v>
      </c>
      <c r="S164" s="10">
        <f>G164</f>
        <v>0</v>
      </c>
      <c r="T164" s="10">
        <f>I164</f>
        <v>0</v>
      </c>
      <c r="U164" s="10">
        <f>K164</f>
        <v>0</v>
      </c>
      <c r="V164" s="10">
        <f>M164</f>
        <v>0</v>
      </c>
      <c r="W164" s="10">
        <f>D164+F164+H164+J164+L164+N164</f>
        <v>0</v>
      </c>
      <c r="X164" s="9">
        <f t="shared" si="77"/>
        <v>168069.81552999999</v>
      </c>
    </row>
    <row r="165" spans="1:24" x14ac:dyDescent="0.25">
      <c r="A165" s="6" t="s">
        <v>150</v>
      </c>
      <c r="B165" s="6"/>
      <c r="C165" s="11">
        <f>'Sandnes bykasse'!B147/1000</f>
        <v>-168069.81552999999</v>
      </c>
      <c r="D165" s="12"/>
      <c r="E165" s="12">
        <f>'Sandnes eiendomsselskap KF'!B147/1000</f>
        <v>0</v>
      </c>
      <c r="F165" s="12"/>
      <c r="G165" s="12">
        <f>'Sandnes parkering KF'!B147/1000</f>
        <v>0</v>
      </c>
      <c r="H165" s="12"/>
      <c r="I165" s="12">
        <f>'Sandnes kunst- og kulturhus KF'!B147/1000</f>
        <v>0</v>
      </c>
      <c r="J165" s="12"/>
      <c r="K165" s="12"/>
      <c r="L165" s="12"/>
      <c r="M165" s="12"/>
      <c r="N165" s="12"/>
      <c r="O165" s="8"/>
      <c r="P165" s="8"/>
      <c r="Q165" s="9">
        <f>C165</f>
        <v>-168069.81552999999</v>
      </c>
      <c r="R165" s="10">
        <f>E165</f>
        <v>0</v>
      </c>
      <c r="S165" s="10">
        <f>G165</f>
        <v>0</v>
      </c>
      <c r="T165" s="10">
        <f>I165</f>
        <v>0</v>
      </c>
      <c r="U165" s="10">
        <f>K165</f>
        <v>0</v>
      </c>
      <c r="V165" s="10">
        <f>M165</f>
        <v>0</v>
      </c>
      <c r="W165" s="10">
        <f>D165+F165+H165+J165+L165+N165</f>
        <v>0</v>
      </c>
      <c r="X165" s="9">
        <f t="shared" si="77"/>
        <v>-168069.81552999999</v>
      </c>
    </row>
    <row r="167" spans="1:24" x14ac:dyDescent="0.25">
      <c r="W167" s="8"/>
    </row>
    <row r="168" spans="1:24" x14ac:dyDescent="0.25">
      <c r="K168" s="8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  <ignoredErrors>
    <ignoredError sqref="M157" formulaRange="1"/>
    <ignoredError sqref="Q15 R15:V15 V5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9" workbookViewId="0">
      <selection activeCell="K92" sqref="K92"/>
    </sheetView>
  </sheetViews>
  <sheetFormatPr baseColWidth="10" defaultRowHeight="15" x14ac:dyDescent="0.25"/>
  <cols>
    <col min="2" max="2" width="33.28515625" customWidth="1"/>
    <col min="3" max="3" width="17.28515625" customWidth="1"/>
    <col min="4" max="4" width="14.140625" bestFit="1" customWidth="1"/>
    <col min="5" max="5" width="15.7109375" bestFit="1" customWidth="1"/>
  </cols>
  <sheetData>
    <row r="1" spans="1:6" ht="23.25" x14ac:dyDescent="0.35">
      <c r="A1" s="81"/>
      <c r="B1" s="158" t="s">
        <v>202</v>
      </c>
      <c r="C1" s="159" t="s">
        <v>263</v>
      </c>
      <c r="D1" s="82"/>
      <c r="E1" s="82"/>
      <c r="F1" s="178"/>
    </row>
    <row r="2" spans="1:6" ht="15.75" x14ac:dyDescent="0.25">
      <c r="A2" s="83"/>
      <c r="B2" s="59" t="s">
        <v>17</v>
      </c>
      <c r="C2" s="118" t="s">
        <v>262</v>
      </c>
      <c r="D2" s="84" t="s">
        <v>264</v>
      </c>
      <c r="E2" s="93" t="s">
        <v>249</v>
      </c>
    </row>
    <row r="3" spans="1:6" x14ac:dyDescent="0.25">
      <c r="A3" s="85"/>
      <c r="B3" s="50"/>
      <c r="C3" s="99"/>
      <c r="D3" s="86"/>
      <c r="E3" s="88"/>
    </row>
    <row r="4" spans="1:6" x14ac:dyDescent="0.25">
      <c r="A4" s="85"/>
      <c r="B4" s="50" t="s">
        <v>203</v>
      </c>
      <c r="C4" s="99">
        <v>6608224</v>
      </c>
      <c r="D4" s="87">
        <v>4000000</v>
      </c>
      <c r="E4" s="88">
        <v>3674747</v>
      </c>
    </row>
    <row r="5" spans="1:6" x14ac:dyDescent="0.25">
      <c r="A5" s="85"/>
      <c r="B5" s="50" t="s">
        <v>204</v>
      </c>
      <c r="C5" s="99">
        <v>9336485</v>
      </c>
      <c r="D5" s="87">
        <v>8100000</v>
      </c>
      <c r="E5" s="88">
        <v>7590338</v>
      </c>
    </row>
    <row r="6" spans="1:6" x14ac:dyDescent="0.25">
      <c r="A6" s="85"/>
      <c r="B6" s="50" t="s">
        <v>205</v>
      </c>
      <c r="C6" s="99">
        <v>1971722</v>
      </c>
      <c r="D6" s="87">
        <v>2000000</v>
      </c>
      <c r="E6" s="88">
        <v>2856766</v>
      </c>
    </row>
    <row r="7" spans="1:6" ht="16.5" thickBot="1" x14ac:dyDescent="0.3">
      <c r="A7" s="85"/>
      <c r="B7" s="90" t="s">
        <v>30</v>
      </c>
      <c r="C7" s="119">
        <f>SUM(C4:C6)</f>
        <v>17916431</v>
      </c>
      <c r="D7" s="91">
        <f>SUM(D4:D6)</f>
        <v>14100000</v>
      </c>
      <c r="E7" s="120">
        <f>SUM(E4:E6)</f>
        <v>14121851</v>
      </c>
    </row>
    <row r="8" spans="1:6" x14ac:dyDescent="0.25">
      <c r="A8" s="85"/>
      <c r="B8" s="50"/>
      <c r="C8" s="99"/>
      <c r="D8" s="92"/>
      <c r="E8" s="88"/>
    </row>
    <row r="9" spans="1:6" x14ac:dyDescent="0.25">
      <c r="A9" s="93"/>
      <c r="B9" s="59" t="s">
        <v>31</v>
      </c>
      <c r="C9" s="121"/>
      <c r="D9" s="95"/>
      <c r="E9" s="108"/>
    </row>
    <row r="10" spans="1:6" x14ac:dyDescent="0.25">
      <c r="A10" s="85"/>
      <c r="B10" s="50" t="s">
        <v>206</v>
      </c>
      <c r="C10" s="99">
        <v>2911488</v>
      </c>
      <c r="D10" s="89">
        <v>3200000</v>
      </c>
      <c r="E10" s="88">
        <v>3107971</v>
      </c>
    </row>
    <row r="11" spans="1:6" x14ac:dyDescent="0.25">
      <c r="A11" s="85"/>
      <c r="B11" s="50" t="s">
        <v>207</v>
      </c>
      <c r="C11" s="99">
        <v>36398</v>
      </c>
      <c r="D11" s="89">
        <v>0</v>
      </c>
      <c r="E11" s="88">
        <v>57390</v>
      </c>
    </row>
    <row r="12" spans="1:6" x14ac:dyDescent="0.25">
      <c r="A12" s="85"/>
      <c r="B12" s="50" t="s">
        <v>208</v>
      </c>
      <c r="C12" s="99">
        <v>1040253</v>
      </c>
      <c r="D12" s="89">
        <v>1250000</v>
      </c>
      <c r="E12" s="88">
        <v>1032365</v>
      </c>
    </row>
    <row r="13" spans="1:6" x14ac:dyDescent="0.25">
      <c r="A13" s="85"/>
      <c r="B13" s="50" t="s">
        <v>209</v>
      </c>
      <c r="C13" s="99">
        <v>5526271</v>
      </c>
      <c r="D13" s="89">
        <v>5250000</v>
      </c>
      <c r="E13" s="88">
        <v>5580678</v>
      </c>
    </row>
    <row r="14" spans="1:6" x14ac:dyDescent="0.25">
      <c r="A14" s="85"/>
      <c r="B14" s="50" t="s">
        <v>37</v>
      </c>
      <c r="C14" s="99">
        <v>4719648</v>
      </c>
      <c r="D14" s="89">
        <v>4000000</v>
      </c>
      <c r="E14" s="88">
        <v>3874907</v>
      </c>
    </row>
    <row r="15" spans="1:6" ht="15.75" x14ac:dyDescent="0.25">
      <c r="A15" s="93"/>
      <c r="B15" s="59" t="s">
        <v>39</v>
      </c>
      <c r="C15" s="122">
        <f>SUM(C10:C14)</f>
        <v>14234058</v>
      </c>
      <c r="D15" s="95">
        <f>SUM(D10:D14)</f>
        <v>13700000</v>
      </c>
      <c r="E15" s="108">
        <f>SUM(E10:E14)</f>
        <v>13653311</v>
      </c>
    </row>
    <row r="16" spans="1:6" x14ac:dyDescent="0.25">
      <c r="A16" s="85"/>
      <c r="B16" s="50"/>
      <c r="C16" s="99"/>
      <c r="D16" s="89"/>
      <c r="E16" s="88"/>
    </row>
    <row r="17" spans="1:5" x14ac:dyDescent="0.25">
      <c r="A17" s="85"/>
      <c r="B17" s="50" t="s">
        <v>171</v>
      </c>
      <c r="C17" s="92">
        <f>C7-C15</f>
        <v>3682373</v>
      </c>
      <c r="D17" s="92">
        <f>D7-D15</f>
        <v>400000</v>
      </c>
      <c r="E17" s="87">
        <f>E7-E15</f>
        <v>468540</v>
      </c>
    </row>
    <row r="18" spans="1:5" x14ac:dyDescent="0.25">
      <c r="A18" s="85"/>
      <c r="B18" s="50" t="s">
        <v>172</v>
      </c>
      <c r="C18" s="99"/>
      <c r="D18" s="92"/>
      <c r="E18" s="88"/>
    </row>
    <row r="19" spans="1:5" x14ac:dyDescent="0.25">
      <c r="A19" s="85"/>
      <c r="B19" s="50" t="s">
        <v>210</v>
      </c>
      <c r="C19" s="99">
        <v>459771</v>
      </c>
      <c r="D19" s="87">
        <v>600000</v>
      </c>
      <c r="E19" s="88">
        <v>561211</v>
      </c>
    </row>
    <row r="20" spans="1:5" x14ac:dyDescent="0.25">
      <c r="A20" s="85"/>
      <c r="B20" s="50" t="s">
        <v>211</v>
      </c>
      <c r="C20" s="99">
        <v>162000</v>
      </c>
      <c r="D20" s="87">
        <v>300000</v>
      </c>
      <c r="E20" s="88">
        <v>330000</v>
      </c>
    </row>
    <row r="21" spans="1:5" x14ac:dyDescent="0.25">
      <c r="A21" s="85"/>
      <c r="B21" s="50" t="s">
        <v>212</v>
      </c>
      <c r="C21" s="99">
        <v>-1865</v>
      </c>
      <c r="D21" s="87">
        <v>0</v>
      </c>
      <c r="E21" s="88">
        <v>-3013</v>
      </c>
    </row>
    <row r="22" spans="1:5" x14ac:dyDescent="0.25">
      <c r="A22" s="85"/>
      <c r="B22" s="50" t="s">
        <v>176</v>
      </c>
      <c r="C22" s="123">
        <f>SUM(C19:C21)</f>
        <v>619906</v>
      </c>
      <c r="D22" s="92">
        <f>SUM(D19:D21)</f>
        <v>900000</v>
      </c>
      <c r="E22" s="87">
        <f>SUM(E19:E21)</f>
        <v>888198</v>
      </c>
    </row>
    <row r="23" spans="1:5" x14ac:dyDescent="0.25">
      <c r="A23" s="85"/>
      <c r="B23" s="50"/>
      <c r="C23" s="99"/>
      <c r="D23" s="92"/>
      <c r="E23" s="88"/>
    </row>
    <row r="24" spans="1:5" x14ac:dyDescent="0.25">
      <c r="A24" s="85"/>
      <c r="B24" s="50" t="s">
        <v>53</v>
      </c>
      <c r="C24" s="99">
        <v>4719648</v>
      </c>
      <c r="D24" s="89">
        <v>4000000</v>
      </c>
      <c r="E24" s="88">
        <v>3874907</v>
      </c>
    </row>
    <row r="25" spans="1:5" x14ac:dyDescent="0.25">
      <c r="A25" s="85"/>
      <c r="B25" s="50" t="s">
        <v>213</v>
      </c>
      <c r="C25" s="96">
        <f>C17+C22+C24</f>
        <v>9021927</v>
      </c>
      <c r="D25" s="96">
        <f>D17+D22+D24</f>
        <v>5300000</v>
      </c>
      <c r="E25" s="100">
        <f>E17+E22+E24</f>
        <v>5231645</v>
      </c>
    </row>
    <row r="26" spans="1:5" x14ac:dyDescent="0.25">
      <c r="A26" s="85"/>
      <c r="B26" s="50" t="s">
        <v>214</v>
      </c>
      <c r="C26" s="99"/>
      <c r="D26" s="92"/>
      <c r="E26" s="88"/>
    </row>
    <row r="27" spans="1:5" x14ac:dyDescent="0.25">
      <c r="A27" s="85"/>
      <c r="B27" s="50" t="s">
        <v>215</v>
      </c>
      <c r="C27" s="99">
        <v>931645</v>
      </c>
      <c r="D27" s="92"/>
      <c r="E27" s="88">
        <v>4813419</v>
      </c>
    </row>
    <row r="28" spans="1:5" x14ac:dyDescent="0.25">
      <c r="A28" s="85"/>
      <c r="B28" s="50" t="s">
        <v>216</v>
      </c>
      <c r="C28" s="99"/>
      <c r="D28" s="92"/>
      <c r="E28" s="88"/>
    </row>
    <row r="29" spans="1:5" x14ac:dyDescent="0.25">
      <c r="A29" s="85"/>
      <c r="B29" s="50" t="s">
        <v>217</v>
      </c>
      <c r="C29" s="99">
        <v>-931645</v>
      </c>
      <c r="D29" s="92"/>
      <c r="E29" s="88">
        <v>-4813419</v>
      </c>
    </row>
    <row r="30" spans="1:5" x14ac:dyDescent="0.25">
      <c r="A30" s="85"/>
      <c r="B30" s="50" t="s">
        <v>218</v>
      </c>
      <c r="C30" s="99">
        <v>-9021927</v>
      </c>
      <c r="D30" s="87">
        <v>-5300000</v>
      </c>
      <c r="E30" s="88">
        <v>-4300000</v>
      </c>
    </row>
    <row r="31" spans="1:5" x14ac:dyDescent="0.25">
      <c r="A31" s="85"/>
      <c r="B31" s="50" t="s">
        <v>64</v>
      </c>
      <c r="C31" s="99">
        <f>SUM(C26:C30)</f>
        <v>-9021927</v>
      </c>
      <c r="D31" s="99">
        <f t="shared" ref="D31:E31" si="0">SUM(D26:D30)</f>
        <v>-5300000</v>
      </c>
      <c r="E31" s="99">
        <f t="shared" si="0"/>
        <v>-4300000</v>
      </c>
    </row>
    <row r="32" spans="1:5" ht="16.5" thickBot="1" x14ac:dyDescent="0.3">
      <c r="A32" s="97"/>
      <c r="B32" s="90" t="s">
        <v>219</v>
      </c>
      <c r="C32" s="160">
        <f>C25+C31</f>
        <v>0</v>
      </c>
      <c r="D32" s="160">
        <f t="shared" ref="D32:E32" si="1">D25+D31</f>
        <v>0</v>
      </c>
      <c r="E32" s="160">
        <f t="shared" si="1"/>
        <v>931645</v>
      </c>
    </row>
    <row r="33" spans="1:5" x14ac:dyDescent="0.25">
      <c r="A33" s="85"/>
      <c r="B33" s="50"/>
      <c r="C33" s="88"/>
      <c r="D33" s="98"/>
      <c r="E33" s="81"/>
    </row>
    <row r="34" spans="1:5" ht="16.5" thickBot="1" x14ac:dyDescent="0.3">
      <c r="A34" s="85"/>
      <c r="B34" s="156" t="s">
        <v>265</v>
      </c>
      <c r="C34" s="88"/>
      <c r="D34" s="157"/>
      <c r="E34" s="81"/>
    </row>
    <row r="35" spans="1:5" ht="15.75" thickBot="1" x14ac:dyDescent="0.3">
      <c r="A35" s="85"/>
      <c r="B35" s="124" t="s">
        <v>220</v>
      </c>
      <c r="C35" s="125" t="s">
        <v>262</v>
      </c>
      <c r="D35" s="126" t="s">
        <v>264</v>
      </c>
      <c r="E35" s="127" t="s">
        <v>249</v>
      </c>
    </row>
    <row r="36" spans="1:5" x14ac:dyDescent="0.25">
      <c r="A36" s="85"/>
      <c r="B36" s="128" t="s">
        <v>220</v>
      </c>
      <c r="C36" s="129">
        <v>11867985</v>
      </c>
      <c r="D36" s="130">
        <v>10000000</v>
      </c>
      <c r="E36" s="131">
        <v>17556566</v>
      </c>
    </row>
    <row r="37" spans="1:5" x14ac:dyDescent="0.25">
      <c r="A37" s="85"/>
      <c r="B37" s="128" t="s">
        <v>221</v>
      </c>
      <c r="C37" s="132"/>
      <c r="D37" s="133">
        <v>16100000</v>
      </c>
      <c r="E37" s="134"/>
    </row>
    <row r="38" spans="1:5" x14ac:dyDescent="0.25">
      <c r="A38" s="85"/>
      <c r="B38" s="128"/>
      <c r="C38" s="132"/>
      <c r="D38" s="133"/>
      <c r="E38" s="135"/>
    </row>
    <row r="39" spans="1:5" x14ac:dyDescent="0.25">
      <c r="A39" s="85"/>
      <c r="B39" s="128"/>
      <c r="C39" s="132"/>
      <c r="D39" s="133"/>
      <c r="E39" s="135"/>
    </row>
    <row r="40" spans="1:5" x14ac:dyDescent="0.25">
      <c r="A40" s="85"/>
      <c r="B40" s="128"/>
      <c r="C40" s="132"/>
      <c r="D40" s="133"/>
      <c r="E40" s="135"/>
    </row>
    <row r="41" spans="1:5" x14ac:dyDescent="0.25">
      <c r="A41" s="85"/>
      <c r="B41" s="128"/>
      <c r="C41" s="132"/>
      <c r="D41" s="136"/>
      <c r="E41" s="135"/>
    </row>
    <row r="42" spans="1:5" x14ac:dyDescent="0.25">
      <c r="A42" s="85"/>
      <c r="B42" s="128"/>
      <c r="C42" s="132"/>
      <c r="D42" s="136"/>
      <c r="E42" s="135"/>
    </row>
    <row r="43" spans="1:5" x14ac:dyDescent="0.25">
      <c r="A43" s="85"/>
      <c r="B43" s="128"/>
      <c r="C43" s="132"/>
      <c r="D43" s="136"/>
      <c r="E43" s="135"/>
    </row>
    <row r="44" spans="1:5" x14ac:dyDescent="0.25">
      <c r="A44" s="85"/>
      <c r="B44" s="128"/>
      <c r="C44" s="132"/>
      <c r="D44" s="136"/>
      <c r="E44" s="135"/>
    </row>
    <row r="45" spans="1:5" x14ac:dyDescent="0.25">
      <c r="A45" s="85"/>
      <c r="B45" s="128"/>
      <c r="C45" s="132"/>
      <c r="D45" s="133"/>
      <c r="E45" s="135"/>
    </row>
    <row r="46" spans="1:5" x14ac:dyDescent="0.25">
      <c r="A46" s="85"/>
      <c r="B46" s="128"/>
      <c r="C46" s="132"/>
      <c r="D46" s="133"/>
      <c r="E46" s="135"/>
    </row>
    <row r="47" spans="1:5" ht="15.75" thickBot="1" x14ac:dyDescent="0.3">
      <c r="A47" s="85"/>
      <c r="B47" s="128"/>
      <c r="C47" s="137"/>
      <c r="D47" s="138"/>
      <c r="E47" s="139"/>
    </row>
    <row r="48" spans="1:5" ht="15.75" thickBot="1" x14ac:dyDescent="0.3">
      <c r="A48" s="85"/>
      <c r="B48" s="140" t="s">
        <v>222</v>
      </c>
      <c r="C48" s="141">
        <f>SUM(C36:C47)</f>
        <v>11867985</v>
      </c>
      <c r="D48" s="142">
        <f>SUM(D36:D47)</f>
        <v>26100000</v>
      </c>
      <c r="E48" s="143">
        <f>SUM(E36:E41)</f>
        <v>17556566</v>
      </c>
    </row>
    <row r="49" spans="1:5" ht="15.75" thickBot="1" x14ac:dyDescent="0.3">
      <c r="A49" s="85"/>
      <c r="B49" s="144"/>
      <c r="C49" s="141"/>
      <c r="D49" s="143"/>
      <c r="E49" s="143"/>
    </row>
    <row r="50" spans="1:5" ht="15.75" thickBot="1" x14ac:dyDescent="0.3">
      <c r="A50" s="85"/>
      <c r="B50" s="145" t="s">
        <v>223</v>
      </c>
      <c r="C50" s="146" t="s">
        <v>249</v>
      </c>
      <c r="D50" s="147" t="s">
        <v>250</v>
      </c>
      <c r="E50" s="147" t="s">
        <v>251</v>
      </c>
    </row>
    <row r="51" spans="1:5" x14ac:dyDescent="0.25">
      <c r="A51" s="85"/>
      <c r="B51" s="128" t="s">
        <v>87</v>
      </c>
      <c r="C51" s="182">
        <v>9021927</v>
      </c>
      <c r="D51" s="130">
        <v>5300000</v>
      </c>
      <c r="E51" s="131">
        <v>4300000</v>
      </c>
    </row>
    <row r="52" spans="1:5" x14ac:dyDescent="0.25">
      <c r="A52" s="85"/>
      <c r="B52" s="128" t="s">
        <v>266</v>
      </c>
      <c r="C52" s="133">
        <v>269061</v>
      </c>
      <c r="D52" s="148"/>
      <c r="E52" s="134"/>
    </row>
    <row r="53" spans="1:5" x14ac:dyDescent="0.25">
      <c r="A53" s="85"/>
      <c r="B53" s="128" t="s">
        <v>267</v>
      </c>
      <c r="C53" s="133">
        <v>0</v>
      </c>
      <c r="D53" s="148">
        <v>20800000</v>
      </c>
      <c r="E53" s="134"/>
    </row>
    <row r="54" spans="1:5" ht="15.75" thickBot="1" x14ac:dyDescent="0.3">
      <c r="A54" s="85"/>
      <c r="B54" s="128" t="s">
        <v>216</v>
      </c>
      <c r="C54" s="133">
        <v>2576997</v>
      </c>
      <c r="D54" s="148"/>
      <c r="E54" s="134">
        <v>13256566</v>
      </c>
    </row>
    <row r="55" spans="1:5" ht="15.75" thickBot="1" x14ac:dyDescent="0.3">
      <c r="A55" s="85"/>
      <c r="B55" s="149" t="s">
        <v>92</v>
      </c>
      <c r="C55" s="143">
        <f>SUM(C51:C54)</f>
        <v>11867985</v>
      </c>
      <c r="D55" s="143">
        <f>SUM(D51:D54)</f>
        <v>26100000</v>
      </c>
      <c r="E55" s="143">
        <f>SUM(E51:E54)</f>
        <v>17556566</v>
      </c>
    </row>
    <row r="59" spans="1:5" ht="18" x14ac:dyDescent="0.25">
      <c r="B59" s="154" t="s">
        <v>202</v>
      </c>
      <c r="C59" s="155" t="s">
        <v>224</v>
      </c>
    </row>
    <row r="60" spans="1:5" ht="16.5" thickBot="1" x14ac:dyDescent="0.3">
      <c r="A60" t="s">
        <v>109</v>
      </c>
      <c r="B60" s="150" t="s">
        <v>95</v>
      </c>
      <c r="C60" s="151">
        <v>43465</v>
      </c>
      <c r="D60" s="151">
        <v>43100</v>
      </c>
    </row>
    <row r="61" spans="1:5" x14ac:dyDescent="0.25">
      <c r="A61" s="42"/>
      <c r="B61" s="103" t="s">
        <v>181</v>
      </c>
      <c r="C61" s="96"/>
      <c r="D61" s="96"/>
    </row>
    <row r="62" spans="1:5" x14ac:dyDescent="0.25">
      <c r="A62" s="42">
        <v>7</v>
      </c>
      <c r="B62" s="101" t="s">
        <v>225</v>
      </c>
      <c r="C62" s="100">
        <v>299758671.62</v>
      </c>
      <c r="D62" s="100">
        <v>292480493</v>
      </c>
    </row>
    <row r="63" spans="1:5" x14ac:dyDescent="0.25">
      <c r="A63" s="42">
        <v>7</v>
      </c>
      <c r="B63" s="101" t="s">
        <v>226</v>
      </c>
      <c r="C63" s="100">
        <v>10179224</v>
      </c>
      <c r="D63" s="100">
        <v>10309066</v>
      </c>
    </row>
    <row r="64" spans="1:5" x14ac:dyDescent="0.25">
      <c r="A64" s="42">
        <v>3</v>
      </c>
      <c r="B64" s="81" t="s">
        <v>227</v>
      </c>
      <c r="C64" s="88">
        <v>1000000</v>
      </c>
      <c r="D64" s="88">
        <v>1000000</v>
      </c>
    </row>
    <row r="65" spans="1:4" x14ac:dyDescent="0.25">
      <c r="A65" s="42"/>
      <c r="B65" s="81" t="s">
        <v>228</v>
      </c>
      <c r="C65" s="88">
        <v>93000</v>
      </c>
      <c r="D65" s="88">
        <v>93000</v>
      </c>
    </row>
    <row r="66" spans="1:4" x14ac:dyDescent="0.25">
      <c r="A66" s="42">
        <v>9</v>
      </c>
      <c r="B66" s="101" t="s">
        <v>229</v>
      </c>
      <c r="C66" s="100">
        <v>9519439</v>
      </c>
      <c r="D66" s="100">
        <v>8025483</v>
      </c>
    </row>
    <row r="67" spans="1:4" x14ac:dyDescent="0.25">
      <c r="A67" s="42"/>
      <c r="B67" s="101" t="s">
        <v>230</v>
      </c>
      <c r="C67" s="100">
        <v>93157541</v>
      </c>
      <c r="D67" s="100">
        <v>93157541</v>
      </c>
    </row>
    <row r="68" spans="1:4" x14ac:dyDescent="0.25">
      <c r="A68" s="42"/>
      <c r="B68" s="104" t="s">
        <v>118</v>
      </c>
      <c r="C68" s="105">
        <f>SUM(C62:C67)</f>
        <v>413707875.62</v>
      </c>
      <c r="D68" s="105">
        <f>SUM(D62:D67)</f>
        <v>405065583</v>
      </c>
    </row>
    <row r="69" spans="1:4" x14ac:dyDescent="0.25">
      <c r="A69" s="42"/>
      <c r="B69" s="103" t="s">
        <v>185</v>
      </c>
      <c r="C69" s="96"/>
      <c r="D69" s="96"/>
    </row>
    <row r="70" spans="1:4" x14ac:dyDescent="0.25">
      <c r="A70" s="42">
        <v>9</v>
      </c>
      <c r="B70" s="81" t="s">
        <v>231</v>
      </c>
      <c r="C70" s="88">
        <v>906933</v>
      </c>
      <c r="D70" s="88">
        <v>938834</v>
      </c>
    </row>
    <row r="71" spans="1:4" x14ac:dyDescent="0.25">
      <c r="A71" s="42">
        <v>9</v>
      </c>
      <c r="B71" s="81" t="s">
        <v>232</v>
      </c>
      <c r="C71" s="88">
        <v>127884.09</v>
      </c>
      <c r="D71" s="88">
        <v>132381</v>
      </c>
    </row>
    <row r="72" spans="1:4" x14ac:dyDescent="0.25">
      <c r="A72" s="42"/>
      <c r="B72" s="101" t="s">
        <v>233</v>
      </c>
      <c r="C72" s="100">
        <v>556189</v>
      </c>
      <c r="D72" s="100">
        <v>394189</v>
      </c>
    </row>
    <row r="73" spans="1:4" x14ac:dyDescent="0.25">
      <c r="A73" s="42">
        <v>8</v>
      </c>
      <c r="B73" s="81" t="s">
        <v>234</v>
      </c>
      <c r="C73" s="88">
        <v>1892943</v>
      </c>
      <c r="D73" s="88">
        <v>1504699</v>
      </c>
    </row>
    <row r="74" spans="1:4" x14ac:dyDescent="0.25">
      <c r="A74" s="42"/>
      <c r="B74" s="81" t="s">
        <v>252</v>
      </c>
      <c r="C74" s="88"/>
      <c r="D74" s="88">
        <v>1314048</v>
      </c>
    </row>
    <row r="75" spans="1:4" x14ac:dyDescent="0.25">
      <c r="A75" s="42"/>
      <c r="B75" s="101" t="s">
        <v>235</v>
      </c>
      <c r="C75" s="100">
        <v>31731423.940000001</v>
      </c>
      <c r="D75" s="100">
        <v>32013795</v>
      </c>
    </row>
    <row r="76" spans="1:4" x14ac:dyDescent="0.25">
      <c r="A76" s="42"/>
      <c r="B76" s="104" t="s">
        <v>127</v>
      </c>
      <c r="C76" s="105">
        <f>SUM(C70:C75)</f>
        <v>35215373.030000001</v>
      </c>
      <c r="D76" s="94">
        <f>SUM(D70:D75)</f>
        <v>36297946</v>
      </c>
    </row>
    <row r="77" spans="1:4" x14ac:dyDescent="0.25">
      <c r="A77" s="42"/>
      <c r="B77" s="104" t="s">
        <v>114</v>
      </c>
      <c r="C77" s="105">
        <f>C68+C76</f>
        <v>448923248.64999998</v>
      </c>
      <c r="D77" s="105">
        <f>D68+D76</f>
        <v>441363529</v>
      </c>
    </row>
    <row r="78" spans="1:4" x14ac:dyDescent="0.25">
      <c r="A78" s="42"/>
      <c r="B78" s="106"/>
      <c r="C78" s="107"/>
      <c r="D78" s="107"/>
    </row>
    <row r="79" spans="1:4" ht="15.75" thickBot="1" x14ac:dyDescent="0.3">
      <c r="A79" s="42"/>
      <c r="B79" s="109" t="s">
        <v>236</v>
      </c>
      <c r="C79" s="152">
        <v>43100</v>
      </c>
      <c r="D79" s="102">
        <v>42735</v>
      </c>
    </row>
    <row r="80" spans="1:4" x14ac:dyDescent="0.25">
      <c r="A80" s="42"/>
      <c r="B80" s="103" t="s">
        <v>116</v>
      </c>
      <c r="C80" s="96"/>
      <c r="D80" s="96"/>
    </row>
    <row r="81" spans="1:4" x14ac:dyDescent="0.25">
      <c r="A81" s="153" t="s">
        <v>253</v>
      </c>
      <c r="B81" s="101" t="s">
        <v>117</v>
      </c>
      <c r="C81" s="100">
        <v>-32976737</v>
      </c>
      <c r="D81" s="100">
        <v>-34622089</v>
      </c>
    </row>
    <row r="82" spans="1:4" x14ac:dyDescent="0.25">
      <c r="A82" s="42"/>
      <c r="B82" s="101" t="s">
        <v>237</v>
      </c>
      <c r="C82" s="100">
        <v>0</v>
      </c>
      <c r="D82" s="100">
        <v>-931645</v>
      </c>
    </row>
    <row r="83" spans="1:4" x14ac:dyDescent="0.25">
      <c r="A83" s="42">
        <v>5</v>
      </c>
      <c r="B83" s="101" t="s">
        <v>238</v>
      </c>
      <c r="C83" s="100">
        <v>-404826723</v>
      </c>
      <c r="D83" s="100">
        <v>-396782570</v>
      </c>
    </row>
    <row r="84" spans="1:4" x14ac:dyDescent="0.25">
      <c r="A84" s="42"/>
      <c r="B84" s="104" t="s">
        <v>141</v>
      </c>
      <c r="C84" s="105">
        <f>SUM(C81:C83)</f>
        <v>-437803460</v>
      </c>
      <c r="D84" s="105">
        <f>SUM(D81:D83)</f>
        <v>-432336304</v>
      </c>
    </row>
    <row r="85" spans="1:4" x14ac:dyDescent="0.25">
      <c r="A85" s="42"/>
      <c r="B85" s="103" t="s">
        <v>131</v>
      </c>
      <c r="C85" s="96"/>
      <c r="D85" s="96"/>
    </row>
    <row r="86" spans="1:4" x14ac:dyDescent="0.25">
      <c r="A86" s="42">
        <v>9</v>
      </c>
      <c r="B86" s="101" t="s">
        <v>239</v>
      </c>
      <c r="C86" s="100">
        <v>-8960082</v>
      </c>
      <c r="D86" s="100">
        <v>-8251241</v>
      </c>
    </row>
    <row r="87" spans="1:4" x14ac:dyDescent="0.25">
      <c r="A87" s="42">
        <v>9</v>
      </c>
      <c r="B87" s="101" t="s">
        <v>240</v>
      </c>
      <c r="C87" s="100">
        <v>78869.710000000006</v>
      </c>
      <c r="D87" s="100">
        <v>-31831</v>
      </c>
    </row>
    <row r="88" spans="1:4" x14ac:dyDescent="0.25">
      <c r="A88" s="42"/>
      <c r="B88" s="104" t="s">
        <v>146</v>
      </c>
      <c r="C88" s="105">
        <f>SUM(C86:C87)</f>
        <v>-8881212.2899999991</v>
      </c>
      <c r="D88" s="105">
        <f>SUM(D86:D87)</f>
        <v>-8283072</v>
      </c>
    </row>
    <row r="89" spans="1:4" x14ac:dyDescent="0.25">
      <c r="A89" s="42"/>
      <c r="B89" s="103" t="s">
        <v>198</v>
      </c>
      <c r="C89" s="96"/>
      <c r="D89" s="96"/>
    </row>
    <row r="90" spans="1:4" x14ac:dyDescent="0.25">
      <c r="A90" s="42"/>
      <c r="B90" s="81" t="s">
        <v>241</v>
      </c>
      <c r="C90" s="88">
        <v>-117042</v>
      </c>
      <c r="D90" s="88">
        <v>-122363</v>
      </c>
    </row>
    <row r="91" spans="1:4" x14ac:dyDescent="0.25">
      <c r="A91" s="42"/>
      <c r="B91" s="81" t="s">
        <v>242</v>
      </c>
      <c r="C91" s="88">
        <v>-2113002.2999999998</v>
      </c>
      <c r="D91" s="88">
        <v>-1457075</v>
      </c>
    </row>
    <row r="92" spans="1:4" x14ac:dyDescent="0.25">
      <c r="A92" s="42"/>
      <c r="B92" s="81" t="s">
        <v>268</v>
      </c>
      <c r="C92" s="88">
        <v>430511</v>
      </c>
      <c r="D92" s="88"/>
    </row>
    <row r="93" spans="1:4" x14ac:dyDescent="0.25">
      <c r="A93" s="42"/>
      <c r="B93" s="81" t="s">
        <v>243</v>
      </c>
      <c r="C93" s="88">
        <v>-16530</v>
      </c>
      <c r="D93" s="88">
        <v>974521</v>
      </c>
    </row>
    <row r="94" spans="1:4" x14ac:dyDescent="0.25">
      <c r="A94" s="42"/>
      <c r="B94" s="81" t="s">
        <v>244</v>
      </c>
      <c r="C94" s="88">
        <v>-285155.76</v>
      </c>
      <c r="D94" s="88">
        <v>-252727</v>
      </c>
    </row>
    <row r="95" spans="1:4" x14ac:dyDescent="0.25">
      <c r="A95" s="42"/>
      <c r="B95" s="81" t="s">
        <v>245</v>
      </c>
      <c r="C95" s="88">
        <v>-140083</v>
      </c>
      <c r="D95" s="88">
        <v>-117059</v>
      </c>
    </row>
    <row r="96" spans="1:4" x14ac:dyDescent="0.25">
      <c r="A96" s="42"/>
      <c r="B96" s="81" t="s">
        <v>246</v>
      </c>
      <c r="C96" s="88">
        <v>-88218.9</v>
      </c>
      <c r="D96" s="88">
        <v>-109446</v>
      </c>
    </row>
    <row r="97" spans="1:4" x14ac:dyDescent="0.25">
      <c r="A97" s="42"/>
      <c r="B97" s="81" t="s">
        <v>140</v>
      </c>
      <c r="C97" s="88">
        <v>90943.84</v>
      </c>
      <c r="D97" s="88">
        <v>339996</v>
      </c>
    </row>
    <row r="98" spans="1:4" x14ac:dyDescent="0.25">
      <c r="A98" s="42"/>
      <c r="B98" s="104" t="s">
        <v>151</v>
      </c>
      <c r="C98" s="105">
        <f>SUM(C90:C97)</f>
        <v>-2238577.1199999996</v>
      </c>
      <c r="D98" s="105">
        <f>SUM(D90:D97)</f>
        <v>-744153</v>
      </c>
    </row>
    <row r="99" spans="1:4" x14ac:dyDescent="0.25">
      <c r="B99" s="104" t="s">
        <v>247</v>
      </c>
      <c r="C99" s="105">
        <f>C84+C88+C98</f>
        <v>-448923249.41000003</v>
      </c>
      <c r="D99" s="105">
        <f>D84+D88+D98</f>
        <v>-441363529</v>
      </c>
    </row>
    <row r="100" spans="1:4" x14ac:dyDescent="0.25">
      <c r="B100" s="81"/>
      <c r="C100" s="183"/>
      <c r="D100" s="88"/>
    </row>
    <row r="101" spans="1:4" x14ac:dyDescent="0.25">
      <c r="B101" s="81"/>
      <c r="C101" s="88"/>
      <c r="D101" s="8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7"/>
  <sheetViews>
    <sheetView topLeftCell="A61" workbookViewId="0">
      <selection activeCell="J19" sqref="J19"/>
    </sheetView>
  </sheetViews>
  <sheetFormatPr baseColWidth="10" defaultRowHeight="15" x14ac:dyDescent="0.25"/>
  <cols>
    <col min="1" max="1" width="47.5703125" bestFit="1" customWidth="1"/>
    <col min="2" max="3" width="13.85546875" bestFit="1" customWidth="1"/>
    <col min="4" max="4" width="12.7109375" bestFit="1" customWidth="1"/>
    <col min="5" max="5" width="14" bestFit="1" customWidth="1"/>
  </cols>
  <sheetData>
    <row r="1" spans="1:5" x14ac:dyDescent="0.25">
      <c r="A1" t="s">
        <v>18</v>
      </c>
      <c r="B1" s="117"/>
    </row>
    <row r="2" spans="1:5" x14ac:dyDescent="0.25">
      <c r="A2" t="s">
        <v>20</v>
      </c>
      <c r="B2" t="s">
        <v>21</v>
      </c>
      <c r="C2" t="s">
        <v>152</v>
      </c>
      <c r="D2" t="s">
        <v>153</v>
      </c>
      <c r="E2" t="s">
        <v>154</v>
      </c>
    </row>
    <row r="3" spans="1:5" x14ac:dyDescent="0.25">
      <c r="A3" t="s">
        <v>17</v>
      </c>
    </row>
    <row r="4" spans="1:5" x14ac:dyDescent="0.25">
      <c r="A4" t="s">
        <v>19</v>
      </c>
      <c r="B4">
        <v>204308421.83000001</v>
      </c>
      <c r="C4">
        <v>199271000</v>
      </c>
      <c r="D4">
        <v>195789000</v>
      </c>
      <c r="E4">
        <v>194913490.66</v>
      </c>
    </row>
    <row r="5" spans="1:5" x14ac:dyDescent="0.25">
      <c r="A5" t="s">
        <v>22</v>
      </c>
      <c r="B5">
        <v>444990216.37</v>
      </c>
      <c r="C5">
        <v>423858191</v>
      </c>
      <c r="D5">
        <v>422310000</v>
      </c>
      <c r="E5">
        <v>422808244.88999999</v>
      </c>
    </row>
    <row r="6" spans="1:5" x14ac:dyDescent="0.25">
      <c r="A6" t="s">
        <v>23</v>
      </c>
      <c r="B6">
        <v>803893168.60000002</v>
      </c>
      <c r="C6">
        <v>465001752</v>
      </c>
      <c r="D6">
        <v>287689000</v>
      </c>
      <c r="E6">
        <v>686355427.70000005</v>
      </c>
    </row>
    <row r="7" spans="1:5" x14ac:dyDescent="0.25">
      <c r="A7" t="s">
        <v>24</v>
      </c>
      <c r="B7">
        <v>1712826966</v>
      </c>
      <c r="C7">
        <v>1680702000</v>
      </c>
      <c r="D7">
        <v>1672000000</v>
      </c>
      <c r="E7">
        <v>1616307319.45</v>
      </c>
    </row>
    <row r="8" spans="1:5" x14ac:dyDescent="0.25">
      <c r="A8" t="s">
        <v>25</v>
      </c>
      <c r="B8">
        <v>197459899.28</v>
      </c>
      <c r="C8">
        <v>179657000</v>
      </c>
      <c r="D8">
        <v>134666000</v>
      </c>
      <c r="E8">
        <v>217498518</v>
      </c>
    </row>
    <row r="9" spans="1:5" x14ac:dyDescent="0.25">
      <c r="A9" t="s">
        <v>26</v>
      </c>
      <c r="B9">
        <v>23265708.960000001</v>
      </c>
      <c r="C9">
        <v>32267000</v>
      </c>
      <c r="D9">
        <v>25866000</v>
      </c>
      <c r="E9">
        <v>20184457.239999998</v>
      </c>
    </row>
    <row r="10" spans="1:5" x14ac:dyDescent="0.25">
      <c r="A10" t="s">
        <v>27</v>
      </c>
      <c r="B10">
        <v>2335661111.3299999</v>
      </c>
      <c r="C10">
        <v>2351500000</v>
      </c>
      <c r="D10">
        <v>2335000000</v>
      </c>
      <c r="E10">
        <v>2267326359.5300002</v>
      </c>
    </row>
    <row r="11" spans="1:5" x14ac:dyDescent="0.25">
      <c r="A11" t="s">
        <v>28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29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30</v>
      </c>
      <c r="B13">
        <v>5722405492.3699999</v>
      </c>
      <c r="C13">
        <v>5332256943</v>
      </c>
      <c r="D13">
        <v>5073320000</v>
      </c>
      <c r="E13">
        <v>5425393817.4700003</v>
      </c>
    </row>
    <row r="14" spans="1:5" x14ac:dyDescent="0.25">
      <c r="A14" t="s">
        <v>31</v>
      </c>
    </row>
    <row r="15" spans="1:5" x14ac:dyDescent="0.25">
      <c r="A15" t="s">
        <v>32</v>
      </c>
      <c r="B15">
        <v>2857775994.1900001</v>
      </c>
      <c r="C15">
        <v>2725559155</v>
      </c>
      <c r="D15">
        <v>2602170000</v>
      </c>
      <c r="E15">
        <v>2640086666.5900002</v>
      </c>
    </row>
    <row r="16" spans="1:5" x14ac:dyDescent="0.25">
      <c r="A16" t="s">
        <v>33</v>
      </c>
      <c r="B16">
        <v>738140713.00999999</v>
      </c>
      <c r="C16">
        <v>763334663</v>
      </c>
      <c r="D16">
        <v>735528000</v>
      </c>
      <c r="E16">
        <v>704867279.62</v>
      </c>
    </row>
    <row r="17" spans="1:5" x14ac:dyDescent="0.25">
      <c r="A17" t="s">
        <v>34</v>
      </c>
      <c r="B17">
        <v>519201628.45999998</v>
      </c>
      <c r="C17">
        <v>480597799</v>
      </c>
      <c r="D17">
        <v>440657000</v>
      </c>
      <c r="E17">
        <v>548644793.30999994</v>
      </c>
    </row>
    <row r="18" spans="1:5" x14ac:dyDescent="0.25">
      <c r="A18" t="s">
        <v>35</v>
      </c>
      <c r="B18">
        <v>1405181710.46</v>
      </c>
      <c r="C18">
        <v>1258747889</v>
      </c>
      <c r="D18">
        <v>1237524000</v>
      </c>
      <c r="E18">
        <v>1232624962.24</v>
      </c>
    </row>
    <row r="19" spans="1:5" x14ac:dyDescent="0.25">
      <c r="A19" t="s">
        <v>36</v>
      </c>
      <c r="B19">
        <v>312153245.89999998</v>
      </c>
      <c r="C19">
        <v>240004500</v>
      </c>
      <c r="D19">
        <v>231160000</v>
      </c>
      <c r="E19">
        <v>327817060.69999999</v>
      </c>
    </row>
    <row r="20" spans="1:5" x14ac:dyDescent="0.25">
      <c r="A20" t="s">
        <v>37</v>
      </c>
      <c r="B20">
        <v>67187221</v>
      </c>
      <c r="C20">
        <v>69000000</v>
      </c>
      <c r="D20">
        <v>69000000</v>
      </c>
      <c r="E20">
        <v>62848271</v>
      </c>
    </row>
    <row r="21" spans="1:5" x14ac:dyDescent="0.25">
      <c r="A21" t="s">
        <v>38</v>
      </c>
      <c r="B21">
        <v>-177144183.16999999</v>
      </c>
      <c r="C21">
        <v>-149155700</v>
      </c>
      <c r="D21">
        <v>-109429000</v>
      </c>
      <c r="E21">
        <v>-180508276</v>
      </c>
    </row>
    <row r="22" spans="1:5" x14ac:dyDescent="0.25">
      <c r="A22" t="s">
        <v>39</v>
      </c>
      <c r="B22">
        <v>5722496329.8500004</v>
      </c>
      <c r="C22">
        <v>5388088306</v>
      </c>
      <c r="D22">
        <v>5206610000</v>
      </c>
      <c r="E22">
        <v>5336380757.46</v>
      </c>
    </row>
    <row r="23" spans="1:5" x14ac:dyDescent="0.25">
      <c r="A23" t="s">
        <v>40</v>
      </c>
      <c r="B23">
        <v>-90837.48</v>
      </c>
      <c r="C23">
        <v>-55831363</v>
      </c>
      <c r="D23">
        <v>-133290000</v>
      </c>
      <c r="E23">
        <v>89013060.010000005</v>
      </c>
    </row>
    <row r="24" spans="1:5" x14ac:dyDescent="0.25">
      <c r="A24" t="s">
        <v>41</v>
      </c>
    </row>
    <row r="25" spans="1:5" x14ac:dyDescent="0.25">
      <c r="A25" t="s">
        <v>42</v>
      </c>
      <c r="B25">
        <v>280413139.42000002</v>
      </c>
      <c r="C25">
        <v>270864426.68000001</v>
      </c>
      <c r="D25">
        <v>273501000</v>
      </c>
      <c r="E25">
        <v>293725823.74000001</v>
      </c>
    </row>
    <row r="26" spans="1:5" x14ac:dyDescent="0.25">
      <c r="A26" t="s">
        <v>43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44</v>
      </c>
      <c r="B27">
        <v>128694751.12</v>
      </c>
      <c r="C27">
        <v>129898000</v>
      </c>
      <c r="D27">
        <v>135328000</v>
      </c>
      <c r="E27">
        <v>119119905.06999999</v>
      </c>
    </row>
    <row r="28" spans="1:5" x14ac:dyDescent="0.25">
      <c r="A28" t="s">
        <v>45</v>
      </c>
      <c r="B28">
        <v>409107890.54000002</v>
      </c>
      <c r="C28">
        <v>400762426.68000001</v>
      </c>
      <c r="D28">
        <v>408829000</v>
      </c>
      <c r="E28">
        <v>412845728.81</v>
      </c>
    </row>
    <row r="29" spans="1:5" x14ac:dyDescent="0.25">
      <c r="A29" t="s">
        <v>46</v>
      </c>
    </row>
    <row r="30" spans="1:5" x14ac:dyDescent="0.25">
      <c r="A30" t="s">
        <v>47</v>
      </c>
      <c r="B30">
        <v>86829787.739999995</v>
      </c>
      <c r="C30">
        <v>90421000</v>
      </c>
      <c r="D30">
        <v>99421000</v>
      </c>
      <c r="E30">
        <v>88476282.049999997</v>
      </c>
    </row>
    <row r="31" spans="1:5" x14ac:dyDescent="0.25">
      <c r="A31" t="s">
        <v>48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t="s">
        <v>49</v>
      </c>
      <c r="B32">
        <v>225201000</v>
      </c>
      <c r="C32">
        <v>225201000</v>
      </c>
      <c r="D32">
        <v>225201000</v>
      </c>
      <c r="E32">
        <v>209953000</v>
      </c>
    </row>
    <row r="33" spans="1:5" x14ac:dyDescent="0.25">
      <c r="A33" t="s">
        <v>50</v>
      </c>
      <c r="B33">
        <v>1872224.71</v>
      </c>
      <c r="C33">
        <v>970000</v>
      </c>
      <c r="D33">
        <v>500000</v>
      </c>
      <c r="E33">
        <v>1127400.6599999999</v>
      </c>
    </row>
    <row r="34" spans="1:5" x14ac:dyDescent="0.25">
      <c r="A34" t="s">
        <v>51</v>
      </c>
      <c r="B34">
        <v>313903012.44999999</v>
      </c>
      <c r="C34">
        <v>316592000</v>
      </c>
      <c r="D34">
        <v>325122000</v>
      </c>
      <c r="E34">
        <v>299556682.70999998</v>
      </c>
    </row>
    <row r="35" spans="1:5" x14ac:dyDescent="0.25">
      <c r="A35" t="s">
        <v>52</v>
      </c>
      <c r="B35">
        <v>95204878.090000004</v>
      </c>
      <c r="C35">
        <v>84170426.680000007</v>
      </c>
      <c r="D35">
        <v>83707000</v>
      </c>
      <c r="E35">
        <v>113289046.09999999</v>
      </c>
    </row>
    <row r="36" spans="1:5" x14ac:dyDescent="0.25">
      <c r="A36" t="s">
        <v>53</v>
      </c>
      <c r="B36">
        <v>67187221</v>
      </c>
      <c r="C36">
        <v>69000000</v>
      </c>
      <c r="D36">
        <v>69000000</v>
      </c>
      <c r="E36">
        <v>62848271</v>
      </c>
    </row>
    <row r="37" spans="1:5" x14ac:dyDescent="0.25">
      <c r="A37" t="s">
        <v>54</v>
      </c>
      <c r="B37">
        <v>162301261.61000001</v>
      </c>
      <c r="C37">
        <v>97339063.680000007</v>
      </c>
      <c r="D37">
        <v>19417000</v>
      </c>
      <c r="E37">
        <v>265150377.11000001</v>
      </c>
    </row>
    <row r="38" spans="1:5" x14ac:dyDescent="0.25">
      <c r="A38" t="s">
        <v>55</v>
      </c>
    </row>
    <row r="39" spans="1:5" x14ac:dyDescent="0.25">
      <c r="A39" t="s">
        <v>56</v>
      </c>
      <c r="B39">
        <v>68402000</v>
      </c>
      <c r="C39">
        <v>68402000</v>
      </c>
      <c r="D39">
        <v>0</v>
      </c>
      <c r="E39">
        <v>111594000</v>
      </c>
    </row>
    <row r="40" spans="1:5" x14ac:dyDescent="0.25">
      <c r="A40" t="s">
        <v>57</v>
      </c>
      <c r="B40">
        <v>151533500.31999999</v>
      </c>
      <c r="C40">
        <v>132133573.31999999</v>
      </c>
      <c r="D40">
        <v>54063000</v>
      </c>
      <c r="E40">
        <v>74350218</v>
      </c>
    </row>
    <row r="41" spans="1:5" x14ac:dyDescent="0.25">
      <c r="A41" t="s">
        <v>58</v>
      </c>
      <c r="B41">
        <v>49810533.810000002</v>
      </c>
      <c r="C41">
        <v>51446488</v>
      </c>
      <c r="D41">
        <v>23953000</v>
      </c>
      <c r="E41">
        <v>36150398.82</v>
      </c>
    </row>
    <row r="42" spans="1:5" x14ac:dyDescent="0.25">
      <c r="A42" t="s">
        <v>59</v>
      </c>
      <c r="B42">
        <v>269746034.13</v>
      </c>
      <c r="C42">
        <v>251982061.31999999</v>
      </c>
      <c r="D42">
        <v>78016000</v>
      </c>
      <c r="E42">
        <v>222094616.81999999</v>
      </c>
    </row>
    <row r="43" spans="1:5" x14ac:dyDescent="0.25">
      <c r="A43" t="s">
        <v>60</v>
      </c>
      <c r="B43">
        <v>134023000</v>
      </c>
      <c r="C43">
        <v>134023000</v>
      </c>
      <c r="D43">
        <v>95056000</v>
      </c>
      <c r="E43">
        <v>123135900.76000001</v>
      </c>
    </row>
    <row r="44" spans="1:5" x14ac:dyDescent="0.25">
      <c r="A44" t="s">
        <v>61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t="s">
        <v>62</v>
      </c>
      <c r="B45">
        <v>249028609</v>
      </c>
      <c r="C45">
        <v>189801000</v>
      </c>
      <c r="D45">
        <v>0</v>
      </c>
      <c r="E45">
        <v>191076277</v>
      </c>
    </row>
    <row r="46" spans="1:5" x14ac:dyDescent="0.25">
      <c r="A46" t="s">
        <v>63</v>
      </c>
      <c r="B46">
        <v>32707806.5</v>
      </c>
      <c r="C46">
        <v>25497125</v>
      </c>
      <c r="D46">
        <v>2377000</v>
      </c>
      <c r="E46">
        <v>104630390.56999999</v>
      </c>
    </row>
    <row r="47" spans="1:5" x14ac:dyDescent="0.25">
      <c r="A47" t="s">
        <v>64</v>
      </c>
      <c r="B47">
        <v>415759415.5</v>
      </c>
      <c r="C47">
        <v>349321125</v>
      </c>
      <c r="D47">
        <v>97433000</v>
      </c>
      <c r="E47">
        <v>418842568.32999998</v>
      </c>
    </row>
    <row r="48" spans="1:5" x14ac:dyDescent="0.25">
      <c r="A48" t="s">
        <v>65</v>
      </c>
      <c r="B48">
        <v>16287880.24</v>
      </c>
      <c r="C48">
        <v>0</v>
      </c>
      <c r="D48">
        <v>0</v>
      </c>
      <c r="E48">
        <v>68402425.599999994</v>
      </c>
    </row>
    <row r="49" spans="1:5" x14ac:dyDescent="0.25">
      <c r="A49" t="s">
        <v>18</v>
      </c>
    </row>
    <row r="50" spans="1:5" x14ac:dyDescent="0.25">
      <c r="A50" t="s">
        <v>66</v>
      </c>
      <c r="B50" t="s">
        <v>21</v>
      </c>
      <c r="C50" t="s">
        <v>152</v>
      </c>
      <c r="D50" t="s">
        <v>153</v>
      </c>
      <c r="E50" t="s">
        <v>154</v>
      </c>
    </row>
    <row r="51" spans="1:5" x14ac:dyDescent="0.25">
      <c r="A51" t="s">
        <v>67</v>
      </c>
    </row>
    <row r="52" spans="1:5" x14ac:dyDescent="0.25">
      <c r="A52" t="s">
        <v>68</v>
      </c>
      <c r="B52">
        <v>22965</v>
      </c>
      <c r="C52">
        <v>5000000</v>
      </c>
      <c r="D52">
        <v>5000000</v>
      </c>
      <c r="E52">
        <v>15684</v>
      </c>
    </row>
    <row r="53" spans="1:5" x14ac:dyDescent="0.25">
      <c r="A53" t="s">
        <v>69</v>
      </c>
      <c r="B53">
        <v>502395</v>
      </c>
      <c r="C53">
        <v>0</v>
      </c>
      <c r="D53">
        <v>0</v>
      </c>
      <c r="E53">
        <v>4677893</v>
      </c>
    </row>
    <row r="54" spans="1:5" x14ac:dyDescent="0.25">
      <c r="A54" t="s">
        <v>23</v>
      </c>
      <c r="B54">
        <v>111598534.48999999</v>
      </c>
      <c r="C54">
        <v>98872010</v>
      </c>
      <c r="D54">
        <v>0</v>
      </c>
      <c r="E54">
        <v>175740493.16999999</v>
      </c>
    </row>
    <row r="55" spans="1:5" x14ac:dyDescent="0.25">
      <c r="A55" t="s">
        <v>70</v>
      </c>
      <c r="B55">
        <v>50575142.329999998</v>
      </c>
      <c r="C55">
        <v>69445898</v>
      </c>
      <c r="D55">
        <v>56738000</v>
      </c>
      <c r="E55">
        <v>31480669.239999998</v>
      </c>
    </row>
    <row r="56" spans="1:5" x14ac:dyDescent="0.25">
      <c r="A56" t="s">
        <v>71</v>
      </c>
      <c r="B56">
        <v>10256000</v>
      </c>
      <c r="C56">
        <v>3750000</v>
      </c>
      <c r="D56">
        <v>2250000</v>
      </c>
      <c r="E56">
        <v>2324928</v>
      </c>
    </row>
    <row r="57" spans="1:5" x14ac:dyDescent="0.25">
      <c r="A57" t="s">
        <v>26</v>
      </c>
      <c r="B57">
        <v>16438775</v>
      </c>
      <c r="C57">
        <v>0</v>
      </c>
      <c r="D57">
        <v>0</v>
      </c>
      <c r="E57">
        <v>12500000</v>
      </c>
    </row>
    <row r="58" spans="1:5" x14ac:dyDescent="0.25">
      <c r="A58" t="s">
        <v>42</v>
      </c>
      <c r="B58">
        <v>0</v>
      </c>
      <c r="C58">
        <v>0</v>
      </c>
      <c r="D58">
        <v>0</v>
      </c>
      <c r="E58">
        <v>0</v>
      </c>
    </row>
    <row r="59" spans="1:5" x14ac:dyDescent="0.25">
      <c r="A59" t="s">
        <v>73</v>
      </c>
      <c r="B59">
        <v>189393811.81999999</v>
      </c>
      <c r="C59">
        <v>177067908</v>
      </c>
      <c r="D59">
        <v>63988000</v>
      </c>
      <c r="E59">
        <v>226739667.41</v>
      </c>
    </row>
    <row r="60" spans="1:5" x14ac:dyDescent="0.25">
      <c r="A60" t="s">
        <v>74</v>
      </c>
    </row>
    <row r="61" spans="1:5" x14ac:dyDescent="0.25">
      <c r="A61" t="s">
        <v>32</v>
      </c>
      <c r="B61">
        <v>0</v>
      </c>
      <c r="C61">
        <v>0</v>
      </c>
      <c r="D61">
        <v>0</v>
      </c>
      <c r="E61">
        <v>-53.64</v>
      </c>
    </row>
    <row r="62" spans="1:5" x14ac:dyDescent="0.25">
      <c r="A62" t="s">
        <v>33</v>
      </c>
      <c r="B62">
        <v>0</v>
      </c>
      <c r="C62">
        <v>0</v>
      </c>
      <c r="D62">
        <v>0</v>
      </c>
      <c r="E62">
        <v>0</v>
      </c>
    </row>
    <row r="63" spans="1:5" x14ac:dyDescent="0.25">
      <c r="A63" t="s">
        <v>34</v>
      </c>
      <c r="B63">
        <v>343956285.30000001</v>
      </c>
      <c r="C63">
        <v>457351766</v>
      </c>
      <c r="D63">
        <v>368698000</v>
      </c>
      <c r="E63">
        <v>253590070.97</v>
      </c>
    </row>
    <row r="64" spans="1:5" x14ac:dyDescent="0.25">
      <c r="A64" t="s">
        <v>35</v>
      </c>
      <c r="B64">
        <v>6536133</v>
      </c>
      <c r="C64">
        <v>6500000</v>
      </c>
      <c r="D64">
        <v>0</v>
      </c>
      <c r="E64">
        <v>168426.97</v>
      </c>
    </row>
    <row r="65" spans="1:5" x14ac:dyDescent="0.25">
      <c r="A65" t="s">
        <v>36</v>
      </c>
      <c r="B65">
        <v>54762422.530000001</v>
      </c>
      <c r="C65">
        <v>21687278.199999999</v>
      </c>
      <c r="D65">
        <v>300000</v>
      </c>
      <c r="E65">
        <v>34774972.670000002</v>
      </c>
    </row>
    <row r="66" spans="1:5" x14ac:dyDescent="0.25">
      <c r="A66" t="s">
        <v>75</v>
      </c>
      <c r="B66">
        <v>0</v>
      </c>
      <c r="C66">
        <v>0</v>
      </c>
      <c r="D66">
        <v>0</v>
      </c>
      <c r="E66">
        <v>1742.31</v>
      </c>
    </row>
    <row r="67" spans="1:5" x14ac:dyDescent="0.25">
      <c r="A67" t="s">
        <v>38</v>
      </c>
      <c r="B67">
        <v>0</v>
      </c>
      <c r="C67">
        <v>0</v>
      </c>
      <c r="D67">
        <v>0</v>
      </c>
      <c r="E67">
        <v>0</v>
      </c>
    </row>
    <row r="68" spans="1:5" x14ac:dyDescent="0.25">
      <c r="A68" t="s">
        <v>76</v>
      </c>
      <c r="B68">
        <v>405254840.82999998</v>
      </c>
      <c r="C68">
        <v>485539044.19999999</v>
      </c>
      <c r="D68">
        <v>368998000</v>
      </c>
      <c r="E68">
        <v>288535159.27999997</v>
      </c>
    </row>
    <row r="69" spans="1:5" x14ac:dyDescent="0.25">
      <c r="A69" t="s">
        <v>77</v>
      </c>
    </row>
    <row r="70" spans="1:5" x14ac:dyDescent="0.25">
      <c r="A70" t="s">
        <v>49</v>
      </c>
      <c r="B70">
        <v>74284161</v>
      </c>
      <c r="C70">
        <v>140000000</v>
      </c>
      <c r="D70">
        <v>140000000</v>
      </c>
      <c r="E70">
        <v>71707029</v>
      </c>
    </row>
    <row r="71" spans="1:5" x14ac:dyDescent="0.25">
      <c r="A71" t="s">
        <v>50</v>
      </c>
      <c r="B71">
        <v>830831328.61000001</v>
      </c>
      <c r="C71">
        <v>888815000</v>
      </c>
      <c r="D71">
        <v>1046508000</v>
      </c>
      <c r="E71">
        <v>694283674.65999997</v>
      </c>
    </row>
    <row r="72" spans="1:5" x14ac:dyDescent="0.25">
      <c r="A72" t="s">
        <v>78</v>
      </c>
      <c r="B72">
        <v>17898075</v>
      </c>
      <c r="C72">
        <v>17300000</v>
      </c>
      <c r="D72">
        <v>17300000</v>
      </c>
      <c r="E72">
        <v>24948717</v>
      </c>
    </row>
    <row r="73" spans="1:5" x14ac:dyDescent="0.25">
      <c r="A73" t="s">
        <v>79</v>
      </c>
      <c r="B73">
        <v>0</v>
      </c>
      <c r="C73">
        <v>0</v>
      </c>
      <c r="D73">
        <v>0</v>
      </c>
      <c r="E73">
        <v>0</v>
      </c>
    </row>
    <row r="74" spans="1:5" x14ac:dyDescent="0.25">
      <c r="A74" t="s">
        <v>80</v>
      </c>
      <c r="B74">
        <v>0</v>
      </c>
      <c r="C74">
        <v>0</v>
      </c>
      <c r="D74">
        <v>0</v>
      </c>
      <c r="E74">
        <v>0</v>
      </c>
    </row>
    <row r="75" spans="1:5" x14ac:dyDescent="0.25">
      <c r="A75" t="s">
        <v>81</v>
      </c>
      <c r="B75">
        <v>500000</v>
      </c>
      <c r="C75">
        <v>0</v>
      </c>
      <c r="D75">
        <v>0</v>
      </c>
      <c r="E75">
        <v>90722172</v>
      </c>
    </row>
    <row r="76" spans="1:5" x14ac:dyDescent="0.25">
      <c r="A76" t="s">
        <v>82</v>
      </c>
      <c r="B76">
        <v>923513564.61000001</v>
      </c>
      <c r="C76">
        <v>1046115000</v>
      </c>
      <c r="D76">
        <v>1203808000</v>
      </c>
      <c r="E76">
        <v>881661592.65999997</v>
      </c>
    </row>
    <row r="77" spans="1:5" x14ac:dyDescent="0.25">
      <c r="A77" t="s">
        <v>83</v>
      </c>
      <c r="B77">
        <v>1139374593.6199999</v>
      </c>
      <c r="C77">
        <v>1354586136.2</v>
      </c>
      <c r="D77">
        <v>1508818000</v>
      </c>
      <c r="E77">
        <v>943457084.52999997</v>
      </c>
    </row>
    <row r="78" spans="1:5" x14ac:dyDescent="0.25">
      <c r="A78" t="s">
        <v>84</v>
      </c>
    </row>
    <row r="79" spans="1:5" x14ac:dyDescent="0.25">
      <c r="A79" t="s">
        <v>85</v>
      </c>
      <c r="B79">
        <v>868752971.65999997</v>
      </c>
      <c r="C79">
        <v>1018493000</v>
      </c>
      <c r="D79">
        <v>1249104000</v>
      </c>
      <c r="E79">
        <v>686022766.25</v>
      </c>
    </row>
    <row r="80" spans="1:5" x14ac:dyDescent="0.25">
      <c r="A80" t="s">
        <v>86</v>
      </c>
      <c r="B80">
        <v>0</v>
      </c>
      <c r="C80">
        <v>0</v>
      </c>
      <c r="D80">
        <v>0</v>
      </c>
      <c r="E80">
        <v>0</v>
      </c>
    </row>
    <row r="81" spans="1:5" x14ac:dyDescent="0.25">
      <c r="A81" t="s">
        <v>44</v>
      </c>
      <c r="B81">
        <v>98081485.760000005</v>
      </c>
      <c r="C81">
        <v>163863000</v>
      </c>
      <c r="D81">
        <v>163863000</v>
      </c>
      <c r="E81">
        <v>105807882.52</v>
      </c>
    </row>
    <row r="82" spans="1:5" x14ac:dyDescent="0.25">
      <c r="A82" t="s">
        <v>87</v>
      </c>
      <c r="B82">
        <v>134023000</v>
      </c>
      <c r="C82">
        <v>134023000</v>
      </c>
      <c r="D82">
        <v>95056000</v>
      </c>
      <c r="E82">
        <v>123135900.76000001</v>
      </c>
    </row>
    <row r="83" spans="1:5" x14ac:dyDescent="0.25">
      <c r="A83" t="s">
        <v>88</v>
      </c>
      <c r="B83">
        <v>0</v>
      </c>
      <c r="C83">
        <v>0</v>
      </c>
      <c r="D83">
        <v>0</v>
      </c>
      <c r="E83">
        <v>0</v>
      </c>
    </row>
    <row r="84" spans="1:5" x14ac:dyDescent="0.25">
      <c r="A84" t="s">
        <v>57</v>
      </c>
      <c r="B84">
        <v>17809506</v>
      </c>
      <c r="C84">
        <v>18955697.199999999</v>
      </c>
      <c r="D84">
        <v>795000</v>
      </c>
      <c r="E84">
        <v>6556625</v>
      </c>
    </row>
    <row r="85" spans="1:5" x14ac:dyDescent="0.25">
      <c r="A85" t="s">
        <v>89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t="s">
        <v>90</v>
      </c>
      <c r="B86">
        <v>0</v>
      </c>
      <c r="C86">
        <v>0</v>
      </c>
      <c r="D86">
        <v>0</v>
      </c>
      <c r="E86">
        <v>0</v>
      </c>
    </row>
    <row r="87" spans="1:5" x14ac:dyDescent="0.25">
      <c r="A87" t="s">
        <v>91</v>
      </c>
      <c r="B87">
        <v>20707630.199999999</v>
      </c>
      <c r="C87">
        <v>19251439</v>
      </c>
      <c r="D87">
        <v>0</v>
      </c>
      <c r="E87">
        <v>21933910</v>
      </c>
    </row>
    <row r="88" spans="1:5" x14ac:dyDescent="0.25">
      <c r="A88" t="s">
        <v>92</v>
      </c>
      <c r="B88">
        <v>1139374593.6199999</v>
      </c>
      <c r="C88">
        <v>1354586136.2</v>
      </c>
      <c r="D88">
        <v>1508818000</v>
      </c>
      <c r="E88">
        <v>943457084.52999997</v>
      </c>
    </row>
    <row r="89" spans="1:5" x14ac:dyDescent="0.25">
      <c r="A89" t="s">
        <v>93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t="s">
        <v>18</v>
      </c>
    </row>
    <row r="91" spans="1:5" x14ac:dyDescent="0.25">
      <c r="A91" t="s">
        <v>94</v>
      </c>
      <c r="B91" t="s">
        <v>262</v>
      </c>
      <c r="C91" t="s">
        <v>249</v>
      </c>
    </row>
    <row r="92" spans="1:5" x14ac:dyDescent="0.25">
      <c r="A92" t="s">
        <v>95</v>
      </c>
    </row>
    <row r="93" spans="1:5" x14ac:dyDescent="0.25">
      <c r="A93" t="s">
        <v>97</v>
      </c>
      <c r="B93">
        <v>16952661593.16</v>
      </c>
      <c r="C93">
        <v>15402936197.809999</v>
      </c>
    </row>
    <row r="94" spans="1:5" x14ac:dyDescent="0.25">
      <c r="A94" t="s">
        <v>98</v>
      </c>
    </row>
    <row r="95" spans="1:5" x14ac:dyDescent="0.25">
      <c r="A95" t="s">
        <v>99</v>
      </c>
      <c r="B95">
        <v>3588698617</v>
      </c>
      <c r="C95">
        <v>3322777075.3499999</v>
      </c>
    </row>
    <row r="96" spans="1:5" x14ac:dyDescent="0.25">
      <c r="A96" t="s">
        <v>100</v>
      </c>
      <c r="B96">
        <v>156984315.49000001</v>
      </c>
      <c r="C96">
        <v>98322712</v>
      </c>
    </row>
    <row r="97" spans="1:3" x14ac:dyDescent="0.25">
      <c r="A97" t="s">
        <v>50</v>
      </c>
      <c r="B97">
        <v>1584531393.1900001</v>
      </c>
      <c r="C97">
        <v>1456875314.9000001</v>
      </c>
    </row>
    <row r="98" spans="1:3" x14ac:dyDescent="0.25">
      <c r="A98" t="s">
        <v>101</v>
      </c>
      <c r="B98">
        <v>5718293887.8299999</v>
      </c>
      <c r="C98">
        <v>5230059134.9099998</v>
      </c>
    </row>
    <row r="99" spans="1:3" x14ac:dyDescent="0.25">
      <c r="A99" t="s">
        <v>102</v>
      </c>
      <c r="B99">
        <v>420206589.64999998</v>
      </c>
      <c r="C99">
        <v>402308514.64999998</v>
      </c>
    </row>
    <row r="100" spans="1:3" x14ac:dyDescent="0.25">
      <c r="A100" t="s">
        <v>103</v>
      </c>
      <c r="B100">
        <v>5483946790</v>
      </c>
      <c r="C100">
        <v>4892593446</v>
      </c>
    </row>
    <row r="101" spans="1:3" x14ac:dyDescent="0.25">
      <c r="A101" t="s">
        <v>104</v>
      </c>
      <c r="B101">
        <v>1963113869.8800001</v>
      </c>
      <c r="C101">
        <v>2225854290.04</v>
      </c>
    </row>
    <row r="102" spans="1:3" x14ac:dyDescent="0.25">
      <c r="A102" t="s">
        <v>98</v>
      </c>
    </row>
    <row r="103" spans="1:3" x14ac:dyDescent="0.25">
      <c r="A103" t="s">
        <v>105</v>
      </c>
      <c r="B103">
        <v>406499567.08999997</v>
      </c>
      <c r="C103">
        <v>353481668.95999998</v>
      </c>
    </row>
    <row r="104" spans="1:3" x14ac:dyDescent="0.25">
      <c r="A104" t="s">
        <v>106</v>
      </c>
      <c r="B104">
        <v>45213143</v>
      </c>
      <c r="C104">
        <v>43219180</v>
      </c>
    </row>
    <row r="105" spans="1:3" x14ac:dyDescent="0.25">
      <c r="A105" t="s">
        <v>107</v>
      </c>
      <c r="B105">
        <v>329594255.92000002</v>
      </c>
      <c r="C105">
        <v>289058717.92000002</v>
      </c>
    </row>
    <row r="106" spans="1:3" x14ac:dyDescent="0.25">
      <c r="A106" t="s">
        <v>102</v>
      </c>
      <c r="B106">
        <v>61014781</v>
      </c>
      <c r="C106">
        <v>34277606</v>
      </c>
    </row>
    <row r="107" spans="1:3" x14ac:dyDescent="0.25">
      <c r="A107" t="s">
        <v>110</v>
      </c>
      <c r="B107">
        <v>0</v>
      </c>
      <c r="C107">
        <v>0</v>
      </c>
    </row>
    <row r="108" spans="1:3" x14ac:dyDescent="0.25">
      <c r="A108" t="s">
        <v>111</v>
      </c>
      <c r="B108">
        <v>40086463.759999998</v>
      </c>
      <c r="C108">
        <v>0</v>
      </c>
    </row>
    <row r="109" spans="1:3" x14ac:dyDescent="0.25">
      <c r="A109" t="s">
        <v>112</v>
      </c>
      <c r="B109">
        <v>0</v>
      </c>
      <c r="C109">
        <v>0</v>
      </c>
    </row>
    <row r="110" spans="1:3" x14ac:dyDescent="0.25">
      <c r="A110" t="s">
        <v>113</v>
      </c>
      <c r="B110">
        <v>1080705659.1099999</v>
      </c>
      <c r="C110">
        <v>1505817117.1600001</v>
      </c>
    </row>
    <row r="111" spans="1:3" x14ac:dyDescent="0.25">
      <c r="A111" t="s">
        <v>114</v>
      </c>
      <c r="B111">
        <v>18915775463.040001</v>
      </c>
      <c r="C111">
        <v>17628790487.849998</v>
      </c>
    </row>
    <row r="112" spans="1:3" x14ac:dyDescent="0.25">
      <c r="A112" t="s">
        <v>115</v>
      </c>
    </row>
    <row r="113" spans="1:3" x14ac:dyDescent="0.25">
      <c r="A113" t="s">
        <v>116</v>
      </c>
      <c r="B113">
        <v>6355174917.6400003</v>
      </c>
      <c r="C113">
        <v>5607644937.5299997</v>
      </c>
    </row>
    <row r="114" spans="1:3" x14ac:dyDescent="0.25">
      <c r="A114" t="s">
        <v>98</v>
      </c>
    </row>
    <row r="115" spans="1:3" x14ac:dyDescent="0.25">
      <c r="A115" t="s">
        <v>117</v>
      </c>
      <c r="B115">
        <v>635691138.67999995</v>
      </c>
      <c r="C115">
        <v>557093536</v>
      </c>
    </row>
    <row r="116" spans="1:3" x14ac:dyDescent="0.25">
      <c r="A116" t="s">
        <v>119</v>
      </c>
      <c r="B116">
        <v>134759382.53</v>
      </c>
      <c r="C116">
        <v>150826795.84</v>
      </c>
    </row>
    <row r="117" spans="1:3" x14ac:dyDescent="0.25">
      <c r="A117" t="s">
        <v>120</v>
      </c>
      <c r="B117">
        <v>6010325.4100000001</v>
      </c>
      <c r="C117">
        <v>6010325.4100000001</v>
      </c>
    </row>
    <row r="118" spans="1:3" x14ac:dyDescent="0.25">
      <c r="A118" t="s">
        <v>121</v>
      </c>
      <c r="B118">
        <v>85650073.799999997</v>
      </c>
      <c r="C118">
        <v>105805018</v>
      </c>
    </row>
    <row r="119" spans="1:3" x14ac:dyDescent="0.25">
      <c r="A119" t="s">
        <v>122</v>
      </c>
      <c r="B119">
        <v>16366784.6</v>
      </c>
      <c r="C119">
        <v>68480904.359999999</v>
      </c>
    </row>
    <row r="120" spans="1:3" x14ac:dyDescent="0.25">
      <c r="A120" t="s">
        <v>124</v>
      </c>
      <c r="B120">
        <v>0</v>
      </c>
      <c r="C120">
        <v>0</v>
      </c>
    </row>
    <row r="121" spans="1:3" x14ac:dyDescent="0.25">
      <c r="A121" t="s">
        <v>125</v>
      </c>
      <c r="B121">
        <v>0</v>
      </c>
      <c r="C121">
        <v>0</v>
      </c>
    </row>
    <row r="122" spans="1:3" x14ac:dyDescent="0.25">
      <c r="A122" t="s">
        <v>126</v>
      </c>
      <c r="B122">
        <v>0</v>
      </c>
      <c r="C122">
        <v>0</v>
      </c>
    </row>
    <row r="123" spans="1:3" x14ac:dyDescent="0.25">
      <c r="A123" t="s">
        <v>128</v>
      </c>
      <c r="B123">
        <v>5476697212.6199999</v>
      </c>
      <c r="C123">
        <v>4719428357.9200001</v>
      </c>
    </row>
    <row r="124" spans="1:3" x14ac:dyDescent="0.25">
      <c r="A124" t="s">
        <v>129</v>
      </c>
      <c r="B124">
        <v>0</v>
      </c>
      <c r="C124">
        <v>0</v>
      </c>
    </row>
    <row r="125" spans="1:3" x14ac:dyDescent="0.25">
      <c r="A125" t="s">
        <v>130</v>
      </c>
      <c r="B125">
        <v>0</v>
      </c>
      <c r="C125">
        <v>0</v>
      </c>
    </row>
    <row r="126" spans="1:3" x14ac:dyDescent="0.25">
      <c r="A126" t="s">
        <v>131</v>
      </c>
      <c r="B126">
        <v>11644034195.24</v>
      </c>
      <c r="C126">
        <v>11111986083.24</v>
      </c>
    </row>
    <row r="127" spans="1:3" x14ac:dyDescent="0.25">
      <c r="A127" t="s">
        <v>98</v>
      </c>
    </row>
    <row r="128" spans="1:3" x14ac:dyDescent="0.25">
      <c r="A128" t="s">
        <v>132</v>
      </c>
      <c r="B128">
        <v>5767832624.2399998</v>
      </c>
      <c r="C128">
        <v>5545590351.2399998</v>
      </c>
    </row>
    <row r="129" spans="1:3" x14ac:dyDescent="0.25">
      <c r="A129" t="s">
        <v>133</v>
      </c>
      <c r="B129">
        <v>0</v>
      </c>
      <c r="C129">
        <v>0</v>
      </c>
    </row>
    <row r="130" spans="1:3" x14ac:dyDescent="0.25">
      <c r="A130" t="s">
        <v>134</v>
      </c>
      <c r="B130">
        <v>2925000000</v>
      </c>
      <c r="C130">
        <v>2714000000</v>
      </c>
    </row>
    <row r="131" spans="1:3" x14ac:dyDescent="0.25">
      <c r="A131" t="s">
        <v>135</v>
      </c>
      <c r="B131">
        <v>2941201571</v>
      </c>
      <c r="C131">
        <v>2842395732</v>
      </c>
    </row>
    <row r="132" spans="1:3" x14ac:dyDescent="0.25">
      <c r="A132" t="s">
        <v>136</v>
      </c>
      <c r="B132">
        <v>10000000</v>
      </c>
      <c r="C132">
        <v>10000000</v>
      </c>
    </row>
    <row r="133" spans="1:3" x14ac:dyDescent="0.25">
      <c r="A133" t="s">
        <v>137</v>
      </c>
      <c r="B133">
        <v>916566350.15999997</v>
      </c>
      <c r="C133">
        <v>909159467.08000004</v>
      </c>
    </row>
    <row r="134" spans="1:3" x14ac:dyDescent="0.25">
      <c r="A134" t="s">
        <v>98</v>
      </c>
    </row>
    <row r="135" spans="1:3" x14ac:dyDescent="0.25">
      <c r="A135" t="s">
        <v>138</v>
      </c>
      <c r="B135">
        <v>0</v>
      </c>
      <c r="C135">
        <v>0</v>
      </c>
    </row>
    <row r="136" spans="1:3" x14ac:dyDescent="0.25">
      <c r="A136" t="s">
        <v>140</v>
      </c>
      <c r="B136">
        <v>888253681.25999999</v>
      </c>
      <c r="C136">
        <v>860638074.96000004</v>
      </c>
    </row>
    <row r="137" spans="1:3" x14ac:dyDescent="0.25">
      <c r="A137" t="s">
        <v>112</v>
      </c>
      <c r="B137">
        <v>0</v>
      </c>
      <c r="C137">
        <v>0</v>
      </c>
    </row>
    <row r="138" spans="1:3" x14ac:dyDescent="0.25">
      <c r="A138" t="s">
        <v>142</v>
      </c>
      <c r="B138">
        <v>28312668.899999999</v>
      </c>
      <c r="C138">
        <v>48521392.119999997</v>
      </c>
    </row>
    <row r="139" spans="1:3" x14ac:dyDescent="0.25">
      <c r="A139" t="s">
        <v>107</v>
      </c>
      <c r="B139">
        <v>0</v>
      </c>
      <c r="C139">
        <v>0</v>
      </c>
    </row>
    <row r="140" spans="1:3" x14ac:dyDescent="0.25">
      <c r="A140" t="s">
        <v>143</v>
      </c>
      <c r="B140">
        <v>18915775463.040001</v>
      </c>
      <c r="C140">
        <v>17628790487.849998</v>
      </c>
    </row>
    <row r="141" spans="1:3" x14ac:dyDescent="0.25">
      <c r="A141" t="s">
        <v>144</v>
      </c>
    </row>
    <row r="142" spans="1:3" x14ac:dyDescent="0.25">
      <c r="A142" t="s">
        <v>145</v>
      </c>
      <c r="B142">
        <v>168069815.53</v>
      </c>
      <c r="C142">
        <v>428478244.18000001</v>
      </c>
    </row>
    <row r="143" spans="1:3" x14ac:dyDescent="0.25">
      <c r="A143" t="s">
        <v>98</v>
      </c>
    </row>
    <row r="144" spans="1:3" x14ac:dyDescent="0.25">
      <c r="A144" t="s">
        <v>147</v>
      </c>
      <c r="B144">
        <v>168069815.53</v>
      </c>
      <c r="C144">
        <v>428478244.18000001</v>
      </c>
    </row>
    <row r="145" spans="1:3" x14ac:dyDescent="0.25">
      <c r="A145" t="s">
        <v>148</v>
      </c>
      <c r="B145">
        <v>0</v>
      </c>
      <c r="C145">
        <v>0</v>
      </c>
    </row>
    <row r="146" spans="1:3" x14ac:dyDescent="0.25">
      <c r="A146" t="s">
        <v>149</v>
      </c>
      <c r="B146">
        <v>0</v>
      </c>
      <c r="C146">
        <v>0</v>
      </c>
    </row>
    <row r="147" spans="1:3" x14ac:dyDescent="0.25">
      <c r="A147" t="s">
        <v>150</v>
      </c>
      <c r="B147">
        <v>-168069815.53</v>
      </c>
      <c r="C147">
        <v>-428478244.18000001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7"/>
  <sheetViews>
    <sheetView topLeftCell="A109" workbookViewId="0">
      <selection activeCell="C138" sqref="C138"/>
    </sheetView>
  </sheetViews>
  <sheetFormatPr baseColWidth="10" defaultRowHeight="15" x14ac:dyDescent="0.25"/>
  <cols>
    <col min="1" max="1" width="47.5703125" bestFit="1" customWidth="1"/>
    <col min="2" max="3" width="13.85546875" bestFit="1" customWidth="1"/>
    <col min="4" max="4" width="12.7109375" bestFit="1" customWidth="1"/>
    <col min="5" max="5" width="14" bestFit="1" customWidth="1"/>
  </cols>
  <sheetData>
    <row r="1" spans="1:5" x14ac:dyDescent="0.25">
      <c r="A1" t="s">
        <v>18</v>
      </c>
      <c r="B1" s="117"/>
    </row>
    <row r="2" spans="1:5" x14ac:dyDescent="0.25">
      <c r="A2" t="s">
        <v>20</v>
      </c>
      <c r="B2" t="s">
        <v>21</v>
      </c>
      <c r="C2" t="s">
        <v>152</v>
      </c>
      <c r="D2" t="s">
        <v>153</v>
      </c>
      <c r="E2" t="s">
        <v>154</v>
      </c>
    </row>
    <row r="3" spans="1:5" x14ac:dyDescent="0.25">
      <c r="A3" t="s">
        <v>17</v>
      </c>
    </row>
    <row r="4" spans="1:5" x14ac:dyDescent="0.25">
      <c r="A4" t="s">
        <v>19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22</v>
      </c>
      <c r="B5">
        <v>32453603.289999999</v>
      </c>
      <c r="C5">
        <v>26050000</v>
      </c>
      <c r="D5">
        <v>26050000</v>
      </c>
      <c r="E5">
        <v>29649557.23</v>
      </c>
    </row>
    <row r="6" spans="1:5" x14ac:dyDescent="0.25">
      <c r="A6" t="s">
        <v>23</v>
      </c>
      <c r="B6">
        <v>487918426.77999997</v>
      </c>
      <c r="C6">
        <v>470067000</v>
      </c>
      <c r="D6">
        <v>463202000</v>
      </c>
      <c r="E6">
        <v>504156508.95999998</v>
      </c>
    </row>
    <row r="7" spans="1:5" x14ac:dyDescent="0.25">
      <c r="A7" t="s">
        <v>24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25</v>
      </c>
      <c r="B8">
        <v>0</v>
      </c>
      <c r="C8">
        <v>0</v>
      </c>
      <c r="D8">
        <v>0</v>
      </c>
      <c r="E8">
        <v>0</v>
      </c>
    </row>
    <row r="9" spans="1:5" x14ac:dyDescent="0.25">
      <c r="A9" t="s">
        <v>26</v>
      </c>
      <c r="B9">
        <v>0</v>
      </c>
      <c r="C9">
        <v>0</v>
      </c>
      <c r="D9">
        <v>0</v>
      </c>
      <c r="E9">
        <v>665854</v>
      </c>
    </row>
    <row r="10" spans="1:5" x14ac:dyDescent="0.25">
      <c r="A10" t="s">
        <v>27</v>
      </c>
      <c r="B10">
        <v>0</v>
      </c>
      <c r="C10">
        <v>0</v>
      </c>
      <c r="D10">
        <v>0</v>
      </c>
      <c r="E10">
        <v>0</v>
      </c>
    </row>
    <row r="11" spans="1:5" x14ac:dyDescent="0.25">
      <c r="A11" t="s">
        <v>28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29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30</v>
      </c>
      <c r="B13">
        <v>520372030.06999999</v>
      </c>
      <c r="C13">
        <v>496117000</v>
      </c>
      <c r="D13">
        <v>489252000</v>
      </c>
      <c r="E13">
        <v>534471920.19</v>
      </c>
    </row>
    <row r="14" spans="1:5" x14ac:dyDescent="0.25">
      <c r="A14" t="s">
        <v>31</v>
      </c>
    </row>
    <row r="15" spans="1:5" x14ac:dyDescent="0.25">
      <c r="A15" t="s">
        <v>32</v>
      </c>
      <c r="B15">
        <v>18938365.739999998</v>
      </c>
      <c r="C15">
        <v>17670000</v>
      </c>
      <c r="D15">
        <v>17670000</v>
      </c>
      <c r="E15">
        <v>17727573.18</v>
      </c>
    </row>
    <row r="16" spans="1:5" x14ac:dyDescent="0.25">
      <c r="A16" t="s">
        <v>33</v>
      </c>
      <c r="B16">
        <v>4577869.79</v>
      </c>
      <c r="C16">
        <v>5500000</v>
      </c>
      <c r="D16">
        <v>5500000</v>
      </c>
      <c r="E16">
        <v>4886170.05</v>
      </c>
    </row>
    <row r="17" spans="1:5" x14ac:dyDescent="0.25">
      <c r="A17" t="s">
        <v>34</v>
      </c>
      <c r="B17">
        <v>156756801.16</v>
      </c>
      <c r="C17">
        <v>149910931</v>
      </c>
      <c r="D17">
        <v>138882000</v>
      </c>
      <c r="E17">
        <v>168890825.46000001</v>
      </c>
    </row>
    <row r="18" spans="1:5" x14ac:dyDescent="0.25">
      <c r="A18" t="s">
        <v>35</v>
      </c>
      <c r="B18">
        <v>81266895.510000005</v>
      </c>
      <c r="C18">
        <v>80650000</v>
      </c>
      <c r="D18">
        <v>79520000</v>
      </c>
      <c r="E18">
        <v>76986737.299999997</v>
      </c>
    </row>
    <row r="19" spans="1:5" x14ac:dyDescent="0.25">
      <c r="A19" t="s">
        <v>36</v>
      </c>
      <c r="B19">
        <v>34410999.520000003</v>
      </c>
      <c r="C19">
        <v>5280000</v>
      </c>
      <c r="D19">
        <v>0</v>
      </c>
      <c r="E19">
        <v>39702754.770000003</v>
      </c>
    </row>
    <row r="20" spans="1:5" x14ac:dyDescent="0.25">
      <c r="A20" t="s">
        <v>37</v>
      </c>
      <c r="B20">
        <v>140612333.80000001</v>
      </c>
      <c r="C20">
        <v>150000000</v>
      </c>
      <c r="D20">
        <v>150000000</v>
      </c>
      <c r="E20">
        <v>114575557.42</v>
      </c>
    </row>
    <row r="21" spans="1:5" x14ac:dyDescent="0.25">
      <c r="A21" t="s">
        <v>38</v>
      </c>
      <c r="B21">
        <v>-13828896</v>
      </c>
      <c r="C21">
        <v>-7710000</v>
      </c>
      <c r="D21">
        <v>-7710000</v>
      </c>
      <c r="E21">
        <v>-11255000</v>
      </c>
    </row>
    <row r="22" spans="1:5" x14ac:dyDescent="0.25">
      <c r="A22" t="s">
        <v>39</v>
      </c>
      <c r="B22">
        <v>422734369.51999998</v>
      </c>
      <c r="C22">
        <v>401300931</v>
      </c>
      <c r="D22">
        <v>383862000</v>
      </c>
      <c r="E22">
        <v>411514618.18000001</v>
      </c>
    </row>
    <row r="23" spans="1:5" x14ac:dyDescent="0.25">
      <c r="A23" t="s">
        <v>40</v>
      </c>
      <c r="B23">
        <v>97637660.549999997</v>
      </c>
      <c r="C23">
        <v>94816069</v>
      </c>
      <c r="D23">
        <v>105390000</v>
      </c>
      <c r="E23">
        <v>122957302.01000001</v>
      </c>
    </row>
    <row r="24" spans="1:5" x14ac:dyDescent="0.25">
      <c r="A24" t="s">
        <v>41</v>
      </c>
    </row>
    <row r="25" spans="1:5" x14ac:dyDescent="0.25">
      <c r="A25" t="s">
        <v>42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t="s">
        <v>43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44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45</v>
      </c>
      <c r="B28">
        <v>0</v>
      </c>
      <c r="C28">
        <v>0</v>
      </c>
      <c r="D28">
        <v>0</v>
      </c>
      <c r="E28">
        <v>0</v>
      </c>
    </row>
    <row r="29" spans="1:5" x14ac:dyDescent="0.25">
      <c r="A29" t="s">
        <v>46</v>
      </c>
    </row>
    <row r="30" spans="1:5" x14ac:dyDescent="0.25">
      <c r="A30" t="s">
        <v>47</v>
      </c>
      <c r="B30">
        <v>116794531.53</v>
      </c>
      <c r="C30">
        <v>120510000</v>
      </c>
      <c r="D30">
        <v>120640000</v>
      </c>
      <c r="E30">
        <v>110205184.05</v>
      </c>
    </row>
    <row r="31" spans="1:5" x14ac:dyDescent="0.25">
      <c r="A31" t="s">
        <v>48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t="s">
        <v>49</v>
      </c>
      <c r="B32">
        <v>128082910</v>
      </c>
      <c r="C32">
        <v>134620000</v>
      </c>
      <c r="D32">
        <v>134750000</v>
      </c>
      <c r="E32">
        <v>118825575</v>
      </c>
    </row>
    <row r="33" spans="1:5" x14ac:dyDescent="0.25">
      <c r="A33" t="s">
        <v>50</v>
      </c>
      <c r="B33">
        <v>0</v>
      </c>
      <c r="C33">
        <v>0</v>
      </c>
      <c r="D33">
        <v>0</v>
      </c>
      <c r="E33">
        <v>0</v>
      </c>
    </row>
    <row r="34" spans="1:5" x14ac:dyDescent="0.25">
      <c r="A34" t="s">
        <v>51</v>
      </c>
      <c r="B34">
        <v>244877441.53</v>
      </c>
      <c r="C34">
        <v>255130000</v>
      </c>
      <c r="D34">
        <v>255390000</v>
      </c>
      <c r="E34">
        <v>229030759.05000001</v>
      </c>
    </row>
    <row r="35" spans="1:5" x14ac:dyDescent="0.25">
      <c r="A35" t="s">
        <v>52</v>
      </c>
      <c r="B35">
        <v>-244877441.53</v>
      </c>
      <c r="C35">
        <v>-255130000</v>
      </c>
      <c r="D35">
        <v>-255390000</v>
      </c>
      <c r="E35">
        <v>-229030759.05000001</v>
      </c>
    </row>
    <row r="36" spans="1:5" x14ac:dyDescent="0.25">
      <c r="A36" t="s">
        <v>53</v>
      </c>
      <c r="B36">
        <v>140612333.80000001</v>
      </c>
      <c r="C36">
        <v>150000000</v>
      </c>
      <c r="D36">
        <v>150000000</v>
      </c>
      <c r="E36">
        <v>114575557.42</v>
      </c>
    </row>
    <row r="37" spans="1:5" x14ac:dyDescent="0.25">
      <c r="A37" t="s">
        <v>54</v>
      </c>
      <c r="B37">
        <v>-6627447.1799999997</v>
      </c>
      <c r="C37">
        <v>-10313931</v>
      </c>
      <c r="D37">
        <v>0</v>
      </c>
      <c r="E37">
        <v>8502100.3800000008</v>
      </c>
    </row>
    <row r="38" spans="1:5" x14ac:dyDescent="0.25">
      <c r="A38" t="s">
        <v>55</v>
      </c>
    </row>
    <row r="39" spans="1:5" x14ac:dyDescent="0.25">
      <c r="A39" t="s">
        <v>56</v>
      </c>
      <c r="B39">
        <v>8165975</v>
      </c>
      <c r="C39">
        <v>0</v>
      </c>
      <c r="D39">
        <v>0</v>
      </c>
      <c r="E39">
        <v>5145122</v>
      </c>
    </row>
    <row r="40" spans="1:5" x14ac:dyDescent="0.25">
      <c r="A40" t="s">
        <v>57</v>
      </c>
      <c r="B40">
        <v>0</v>
      </c>
      <c r="C40">
        <v>0</v>
      </c>
      <c r="D40">
        <v>0</v>
      </c>
      <c r="E40">
        <v>500000</v>
      </c>
    </row>
    <row r="41" spans="1:5" x14ac:dyDescent="0.25">
      <c r="A41" t="s">
        <v>58</v>
      </c>
      <c r="B41">
        <v>19801076</v>
      </c>
      <c r="C41">
        <v>19801076</v>
      </c>
      <c r="D41">
        <v>0</v>
      </c>
      <c r="E41">
        <v>17817839</v>
      </c>
    </row>
    <row r="42" spans="1:5" x14ac:dyDescent="0.25">
      <c r="A42" t="s">
        <v>59</v>
      </c>
      <c r="B42">
        <v>27967051</v>
      </c>
      <c r="C42">
        <v>19801076</v>
      </c>
      <c r="D42">
        <v>0</v>
      </c>
      <c r="E42">
        <v>23462961</v>
      </c>
    </row>
    <row r="43" spans="1:5" x14ac:dyDescent="0.25">
      <c r="A43" t="s">
        <v>60</v>
      </c>
      <c r="B43">
        <v>0</v>
      </c>
      <c r="C43">
        <v>0</v>
      </c>
      <c r="D43">
        <v>0</v>
      </c>
      <c r="E43">
        <v>0</v>
      </c>
    </row>
    <row r="44" spans="1:5" x14ac:dyDescent="0.25">
      <c r="A44" t="s">
        <v>61</v>
      </c>
      <c r="B44">
        <v>0</v>
      </c>
      <c r="C44">
        <v>1637000</v>
      </c>
      <c r="D44">
        <v>0</v>
      </c>
      <c r="E44">
        <v>0</v>
      </c>
    </row>
    <row r="45" spans="1:5" x14ac:dyDescent="0.25">
      <c r="A45" t="s">
        <v>62</v>
      </c>
      <c r="B45">
        <v>9955975</v>
      </c>
      <c r="C45">
        <v>0</v>
      </c>
      <c r="D45">
        <v>0</v>
      </c>
      <c r="E45">
        <v>6563122</v>
      </c>
    </row>
    <row r="46" spans="1:5" x14ac:dyDescent="0.25">
      <c r="A46" t="s">
        <v>63</v>
      </c>
      <c r="B46">
        <v>9456145</v>
      </c>
      <c r="C46">
        <v>7850145</v>
      </c>
      <c r="D46">
        <v>0</v>
      </c>
      <c r="E46">
        <v>17237964</v>
      </c>
    </row>
    <row r="47" spans="1:5" x14ac:dyDescent="0.25">
      <c r="A47" t="s">
        <v>64</v>
      </c>
      <c r="B47">
        <v>19412120</v>
      </c>
      <c r="C47">
        <v>9487145</v>
      </c>
      <c r="D47">
        <v>0</v>
      </c>
      <c r="E47">
        <v>23801086</v>
      </c>
    </row>
    <row r="48" spans="1:5" x14ac:dyDescent="0.25">
      <c r="A48" t="s">
        <v>65</v>
      </c>
      <c r="B48">
        <v>1927483.82</v>
      </c>
      <c r="C48">
        <v>0</v>
      </c>
      <c r="D48">
        <v>0</v>
      </c>
      <c r="E48">
        <v>8163975.3799999999</v>
      </c>
    </row>
    <row r="49" spans="1:5" x14ac:dyDescent="0.25">
      <c r="A49" t="s">
        <v>18</v>
      </c>
    </row>
    <row r="50" spans="1:5" x14ac:dyDescent="0.25">
      <c r="A50" t="s">
        <v>66</v>
      </c>
      <c r="B50" t="s">
        <v>21</v>
      </c>
      <c r="C50" t="s">
        <v>152</v>
      </c>
      <c r="D50" t="s">
        <v>153</v>
      </c>
      <c r="E50" t="s">
        <v>154</v>
      </c>
    </row>
    <row r="51" spans="1:5" x14ac:dyDescent="0.25">
      <c r="A51" t="s">
        <v>67</v>
      </c>
    </row>
    <row r="52" spans="1:5" x14ac:dyDescent="0.25">
      <c r="A52" t="s">
        <v>68</v>
      </c>
      <c r="B52">
        <v>7560701.8399999999</v>
      </c>
      <c r="C52">
        <v>0</v>
      </c>
      <c r="D52">
        <v>0</v>
      </c>
      <c r="E52">
        <v>28144954.760000002</v>
      </c>
    </row>
    <row r="53" spans="1:5" x14ac:dyDescent="0.25">
      <c r="A53" t="s">
        <v>69</v>
      </c>
      <c r="B53">
        <v>2176770.7999999998</v>
      </c>
      <c r="C53">
        <v>0</v>
      </c>
      <c r="D53">
        <v>0</v>
      </c>
      <c r="E53">
        <v>22748</v>
      </c>
    </row>
    <row r="54" spans="1:5" x14ac:dyDescent="0.25">
      <c r="A54" t="s">
        <v>23</v>
      </c>
      <c r="B54">
        <v>64606649</v>
      </c>
      <c r="C54">
        <v>13906000</v>
      </c>
      <c r="D54">
        <v>0</v>
      </c>
      <c r="E54">
        <v>175242729</v>
      </c>
    </row>
    <row r="55" spans="1:5" x14ac:dyDescent="0.25">
      <c r="A55" t="s">
        <v>70</v>
      </c>
      <c r="B55">
        <v>120939409.05</v>
      </c>
      <c r="C55">
        <v>118740832</v>
      </c>
      <c r="D55">
        <v>153233000</v>
      </c>
      <c r="E55">
        <v>103758551.89</v>
      </c>
    </row>
    <row r="56" spans="1:5" x14ac:dyDescent="0.25">
      <c r="A56" t="s">
        <v>71</v>
      </c>
      <c r="B56">
        <v>7505000</v>
      </c>
      <c r="C56">
        <v>124046000</v>
      </c>
      <c r="D56">
        <v>174271000</v>
      </c>
      <c r="E56">
        <v>0</v>
      </c>
    </row>
    <row r="57" spans="1:5" x14ac:dyDescent="0.25">
      <c r="A57" t="s">
        <v>26</v>
      </c>
      <c r="B57">
        <v>1456191.2</v>
      </c>
      <c r="C57">
        <v>8100000</v>
      </c>
      <c r="D57">
        <v>8100000</v>
      </c>
      <c r="E57">
        <v>0</v>
      </c>
    </row>
    <row r="58" spans="1:5" x14ac:dyDescent="0.25">
      <c r="A58" t="s">
        <v>42</v>
      </c>
      <c r="B58">
        <v>0</v>
      </c>
      <c r="C58">
        <v>0</v>
      </c>
      <c r="D58">
        <v>0</v>
      </c>
      <c r="E58">
        <v>0</v>
      </c>
    </row>
    <row r="59" spans="1:5" x14ac:dyDescent="0.25">
      <c r="A59" t="s">
        <v>73</v>
      </c>
      <c r="B59">
        <v>204244721.88999999</v>
      </c>
      <c r="C59">
        <v>264792832</v>
      </c>
      <c r="D59">
        <v>335604000</v>
      </c>
      <c r="E59">
        <v>307168983.64999998</v>
      </c>
    </row>
    <row r="60" spans="1:5" x14ac:dyDescent="0.25">
      <c r="A60" t="s">
        <v>74</v>
      </c>
    </row>
    <row r="61" spans="1:5" x14ac:dyDescent="0.25">
      <c r="A61" t="s">
        <v>32</v>
      </c>
      <c r="B61">
        <v>0</v>
      </c>
      <c r="C61">
        <v>0</v>
      </c>
      <c r="D61">
        <v>0</v>
      </c>
      <c r="E61">
        <v>0</v>
      </c>
    </row>
    <row r="62" spans="1:5" x14ac:dyDescent="0.25">
      <c r="A62" t="s">
        <v>33</v>
      </c>
      <c r="B62">
        <v>0</v>
      </c>
      <c r="C62">
        <v>0</v>
      </c>
      <c r="D62">
        <v>0</v>
      </c>
      <c r="E62">
        <v>0</v>
      </c>
    </row>
    <row r="63" spans="1:5" x14ac:dyDescent="0.25">
      <c r="A63" t="s">
        <v>34</v>
      </c>
      <c r="B63">
        <v>687129907.07000005</v>
      </c>
      <c r="C63">
        <v>984071096</v>
      </c>
      <c r="D63">
        <v>1207675000</v>
      </c>
      <c r="E63">
        <v>661053945.10000002</v>
      </c>
    </row>
    <row r="64" spans="1:5" x14ac:dyDescent="0.25">
      <c r="A64" t="s">
        <v>35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t="s">
        <v>36</v>
      </c>
      <c r="B65">
        <v>133489817.05</v>
      </c>
      <c r="C65">
        <v>1840832</v>
      </c>
      <c r="D65">
        <v>0</v>
      </c>
      <c r="E65">
        <v>105469058.89</v>
      </c>
    </row>
    <row r="66" spans="1:5" x14ac:dyDescent="0.25">
      <c r="A66" t="s">
        <v>75</v>
      </c>
      <c r="B66">
        <v>45486.55</v>
      </c>
      <c r="C66">
        <v>0</v>
      </c>
      <c r="D66">
        <v>0</v>
      </c>
      <c r="E66">
        <v>182992.21</v>
      </c>
    </row>
    <row r="67" spans="1:5" x14ac:dyDescent="0.25">
      <c r="A67" t="s">
        <v>38</v>
      </c>
      <c r="B67">
        <v>0</v>
      </c>
      <c r="C67">
        <v>0</v>
      </c>
      <c r="D67">
        <v>0</v>
      </c>
      <c r="E67">
        <v>0</v>
      </c>
    </row>
    <row r="68" spans="1:5" x14ac:dyDescent="0.25">
      <c r="A68" t="s">
        <v>76</v>
      </c>
      <c r="B68">
        <v>820665210.66999996</v>
      </c>
      <c r="C68">
        <v>985911928</v>
      </c>
      <c r="D68">
        <v>1207675000</v>
      </c>
      <c r="E68">
        <v>766705996.20000005</v>
      </c>
    </row>
    <row r="69" spans="1:5" x14ac:dyDescent="0.25">
      <c r="A69" t="s">
        <v>77</v>
      </c>
    </row>
    <row r="70" spans="1:5" x14ac:dyDescent="0.25">
      <c r="A70" t="s">
        <v>49</v>
      </c>
      <c r="B70">
        <v>0</v>
      </c>
      <c r="C70">
        <v>0</v>
      </c>
      <c r="D70">
        <v>0</v>
      </c>
      <c r="E70">
        <v>0</v>
      </c>
    </row>
    <row r="71" spans="1:5" x14ac:dyDescent="0.25">
      <c r="A71" t="s">
        <v>50</v>
      </c>
      <c r="B71">
        <v>0</v>
      </c>
      <c r="C71">
        <v>0</v>
      </c>
      <c r="D71">
        <v>0</v>
      </c>
      <c r="E71">
        <v>0</v>
      </c>
    </row>
    <row r="72" spans="1:5" x14ac:dyDescent="0.25">
      <c r="A72" t="s">
        <v>78</v>
      </c>
      <c r="B72">
        <v>0</v>
      </c>
      <c r="C72">
        <v>0</v>
      </c>
      <c r="D72">
        <v>0</v>
      </c>
      <c r="E72">
        <v>0</v>
      </c>
    </row>
    <row r="73" spans="1:5" x14ac:dyDescent="0.25">
      <c r="A73" t="s">
        <v>79</v>
      </c>
      <c r="B73">
        <v>0</v>
      </c>
      <c r="C73">
        <v>0</v>
      </c>
      <c r="D73">
        <v>0</v>
      </c>
      <c r="E73">
        <v>0</v>
      </c>
    </row>
    <row r="74" spans="1:5" x14ac:dyDescent="0.25">
      <c r="A74" t="s">
        <v>80</v>
      </c>
      <c r="B74">
        <v>0</v>
      </c>
      <c r="C74">
        <v>0</v>
      </c>
      <c r="D74">
        <v>0</v>
      </c>
      <c r="E74">
        <v>0</v>
      </c>
    </row>
    <row r="75" spans="1:5" x14ac:dyDescent="0.25">
      <c r="A75" t="s">
        <v>81</v>
      </c>
      <c r="B75">
        <v>622227</v>
      </c>
      <c r="C75">
        <v>622227</v>
      </c>
      <c r="D75">
        <v>0</v>
      </c>
      <c r="E75">
        <v>7420322</v>
      </c>
    </row>
    <row r="76" spans="1:5" x14ac:dyDescent="0.25">
      <c r="A76" t="s">
        <v>82</v>
      </c>
      <c r="B76">
        <v>622227</v>
      </c>
      <c r="C76">
        <v>622227</v>
      </c>
      <c r="D76">
        <v>0</v>
      </c>
      <c r="E76">
        <v>7420322</v>
      </c>
    </row>
    <row r="77" spans="1:5" x14ac:dyDescent="0.25">
      <c r="A77" t="s">
        <v>83</v>
      </c>
      <c r="B77">
        <v>617042715.77999997</v>
      </c>
      <c r="C77">
        <v>721741323</v>
      </c>
      <c r="D77">
        <v>872071000</v>
      </c>
      <c r="E77">
        <v>466957334.55000001</v>
      </c>
    </row>
    <row r="78" spans="1:5" x14ac:dyDescent="0.25">
      <c r="A78" t="s">
        <v>84</v>
      </c>
    </row>
    <row r="79" spans="1:5" x14ac:dyDescent="0.25">
      <c r="A79" t="s">
        <v>85</v>
      </c>
      <c r="B79">
        <v>609679393.77999997</v>
      </c>
      <c r="C79">
        <v>714378000</v>
      </c>
      <c r="D79">
        <v>872071000</v>
      </c>
      <c r="E79">
        <v>458708064.55000001</v>
      </c>
    </row>
    <row r="80" spans="1:5" x14ac:dyDescent="0.25">
      <c r="A80" t="s">
        <v>86</v>
      </c>
      <c r="B80">
        <v>0</v>
      </c>
      <c r="C80">
        <v>0</v>
      </c>
      <c r="D80">
        <v>0</v>
      </c>
      <c r="E80">
        <v>0</v>
      </c>
    </row>
    <row r="81" spans="1:5" x14ac:dyDescent="0.25">
      <c r="A81" t="s">
        <v>44</v>
      </c>
      <c r="B81">
        <v>0</v>
      </c>
      <c r="C81">
        <v>0</v>
      </c>
      <c r="D81">
        <v>0</v>
      </c>
      <c r="E81">
        <v>0</v>
      </c>
    </row>
    <row r="82" spans="1:5" x14ac:dyDescent="0.25">
      <c r="A82" t="s">
        <v>87</v>
      </c>
      <c r="B82">
        <v>0</v>
      </c>
      <c r="C82">
        <v>0</v>
      </c>
      <c r="D82">
        <v>0</v>
      </c>
      <c r="E82">
        <v>0</v>
      </c>
    </row>
    <row r="83" spans="1:5" x14ac:dyDescent="0.25">
      <c r="A83" t="s">
        <v>88</v>
      </c>
      <c r="B83">
        <v>0</v>
      </c>
      <c r="C83">
        <v>0</v>
      </c>
      <c r="D83">
        <v>0</v>
      </c>
      <c r="E83">
        <v>0</v>
      </c>
    </row>
    <row r="84" spans="1:5" x14ac:dyDescent="0.25">
      <c r="A84" t="s">
        <v>57</v>
      </c>
      <c r="B84">
        <v>0</v>
      </c>
      <c r="C84">
        <v>0</v>
      </c>
      <c r="D84">
        <v>0</v>
      </c>
      <c r="E84">
        <v>0</v>
      </c>
    </row>
    <row r="85" spans="1:5" x14ac:dyDescent="0.25">
      <c r="A85" t="s">
        <v>89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t="s">
        <v>90</v>
      </c>
      <c r="B86">
        <v>0</v>
      </c>
      <c r="C86">
        <v>0</v>
      </c>
      <c r="D86">
        <v>0</v>
      </c>
      <c r="E86">
        <v>0</v>
      </c>
    </row>
    <row r="87" spans="1:5" x14ac:dyDescent="0.25">
      <c r="A87" t="s">
        <v>91</v>
      </c>
      <c r="B87">
        <v>7363322</v>
      </c>
      <c r="C87">
        <v>7363323</v>
      </c>
      <c r="D87">
        <v>0</v>
      </c>
      <c r="E87">
        <v>8249270</v>
      </c>
    </row>
    <row r="88" spans="1:5" x14ac:dyDescent="0.25">
      <c r="A88" t="s">
        <v>92</v>
      </c>
      <c r="B88">
        <v>617042715.77999997</v>
      </c>
      <c r="C88">
        <v>721741323</v>
      </c>
      <c r="D88">
        <v>872071000</v>
      </c>
      <c r="E88">
        <v>466957334.55000001</v>
      </c>
    </row>
    <row r="89" spans="1:5" x14ac:dyDescent="0.25">
      <c r="A89" t="s">
        <v>93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t="s">
        <v>18</v>
      </c>
    </row>
    <row r="91" spans="1:5" x14ac:dyDescent="0.25">
      <c r="A91" t="s">
        <v>94</v>
      </c>
      <c r="B91" t="s">
        <v>262</v>
      </c>
      <c r="C91" t="s">
        <v>249</v>
      </c>
    </row>
    <row r="92" spans="1:5" x14ac:dyDescent="0.25">
      <c r="A92" t="s">
        <v>95</v>
      </c>
    </row>
    <row r="93" spans="1:5" x14ac:dyDescent="0.25">
      <c r="A93" t="s">
        <v>97</v>
      </c>
      <c r="B93">
        <v>6518242434.3000002</v>
      </c>
      <c r="C93">
        <v>5826297915.29</v>
      </c>
    </row>
    <row r="94" spans="1:5" x14ac:dyDescent="0.25">
      <c r="A94" t="s">
        <v>98</v>
      </c>
    </row>
    <row r="95" spans="1:5" x14ac:dyDescent="0.25">
      <c r="A95" t="s">
        <v>99</v>
      </c>
      <c r="B95">
        <v>6409946062.1099997</v>
      </c>
      <c r="C95">
        <v>5753701716.0900002</v>
      </c>
    </row>
    <row r="96" spans="1:5" x14ac:dyDescent="0.25">
      <c r="A96" t="s">
        <v>100</v>
      </c>
      <c r="B96">
        <v>46612264.189999998</v>
      </c>
      <c r="C96">
        <v>16020733.199999999</v>
      </c>
    </row>
    <row r="97" spans="1:3" x14ac:dyDescent="0.25">
      <c r="A97" t="s">
        <v>50</v>
      </c>
      <c r="B97">
        <v>0</v>
      </c>
      <c r="C97">
        <v>0</v>
      </c>
    </row>
    <row r="98" spans="1:3" x14ac:dyDescent="0.25">
      <c r="A98" t="s">
        <v>101</v>
      </c>
      <c r="B98">
        <v>0</v>
      </c>
      <c r="C98">
        <v>0</v>
      </c>
    </row>
    <row r="99" spans="1:3" x14ac:dyDescent="0.25">
      <c r="A99" t="s">
        <v>102</v>
      </c>
      <c r="B99">
        <v>31646152</v>
      </c>
      <c r="C99">
        <v>31646152</v>
      </c>
    </row>
    <row r="100" spans="1:3" x14ac:dyDescent="0.25">
      <c r="A100" t="s">
        <v>103</v>
      </c>
      <c r="B100">
        <v>30037956</v>
      </c>
      <c r="C100">
        <v>24929314</v>
      </c>
    </row>
    <row r="101" spans="1:3" x14ac:dyDescent="0.25">
      <c r="A101" t="s">
        <v>104</v>
      </c>
      <c r="B101">
        <v>161742387.03999999</v>
      </c>
      <c r="C101">
        <v>164012873.47999999</v>
      </c>
    </row>
    <row r="102" spans="1:3" x14ac:dyDescent="0.25">
      <c r="A102" t="s">
        <v>98</v>
      </c>
    </row>
    <row r="103" spans="1:3" x14ac:dyDescent="0.25">
      <c r="A103" t="s">
        <v>105</v>
      </c>
      <c r="B103" s="1">
        <v>54338340</v>
      </c>
      <c r="C103">
        <v>47831693.219999999</v>
      </c>
    </row>
    <row r="104" spans="1:3" x14ac:dyDescent="0.25">
      <c r="A104" t="s">
        <v>106</v>
      </c>
      <c r="B104" s="1">
        <v>28312738.899999999</v>
      </c>
      <c r="C104">
        <v>47997941.119999997</v>
      </c>
    </row>
    <row r="105" spans="1:3" x14ac:dyDescent="0.25">
      <c r="A105" t="s">
        <v>107</v>
      </c>
      <c r="B105">
        <v>-181566</v>
      </c>
      <c r="C105">
        <v>-907429</v>
      </c>
    </row>
    <row r="106" spans="1:3" x14ac:dyDescent="0.25">
      <c r="A106" t="s">
        <v>102</v>
      </c>
      <c r="B106">
        <v>0</v>
      </c>
      <c r="C106">
        <v>0</v>
      </c>
    </row>
    <row r="107" spans="1:3" x14ac:dyDescent="0.25">
      <c r="A107" t="s">
        <v>110</v>
      </c>
      <c r="B107">
        <v>0</v>
      </c>
      <c r="C107">
        <v>0</v>
      </c>
    </row>
    <row r="108" spans="1:3" x14ac:dyDescent="0.25">
      <c r="A108" t="s">
        <v>111</v>
      </c>
      <c r="B108">
        <v>0</v>
      </c>
      <c r="C108">
        <v>0</v>
      </c>
    </row>
    <row r="109" spans="1:3" x14ac:dyDescent="0.25">
      <c r="A109" t="s">
        <v>112</v>
      </c>
      <c r="B109">
        <v>0</v>
      </c>
      <c r="C109">
        <v>0</v>
      </c>
    </row>
    <row r="110" spans="1:3" x14ac:dyDescent="0.25">
      <c r="A110" t="s">
        <v>113</v>
      </c>
      <c r="B110">
        <v>79272874.140000001</v>
      </c>
      <c r="C110">
        <v>69090668.140000001</v>
      </c>
    </row>
    <row r="111" spans="1:3" x14ac:dyDescent="0.25">
      <c r="A111" t="s">
        <v>114</v>
      </c>
      <c r="B111">
        <v>6679984821.3400002</v>
      </c>
      <c r="C111">
        <v>5990310788.7700005</v>
      </c>
    </row>
    <row r="112" spans="1:3" x14ac:dyDescent="0.25">
      <c r="A112" t="s">
        <v>115</v>
      </c>
    </row>
    <row r="113" spans="1:3" x14ac:dyDescent="0.25">
      <c r="A113" t="s">
        <v>116</v>
      </c>
      <c r="B113">
        <v>890991889.27999997</v>
      </c>
      <c r="C113">
        <v>707636933.37</v>
      </c>
    </row>
    <row r="114" spans="1:3" x14ac:dyDescent="0.25">
      <c r="A114" t="s">
        <v>98</v>
      </c>
    </row>
    <row r="115" spans="1:3" x14ac:dyDescent="0.25">
      <c r="A115" t="s">
        <v>117</v>
      </c>
      <c r="B115">
        <v>16019097</v>
      </c>
      <c r="C115">
        <v>6063122</v>
      </c>
    </row>
    <row r="116" spans="1:3" x14ac:dyDescent="0.25">
      <c r="A116" t="s">
        <v>119</v>
      </c>
      <c r="B116">
        <v>3481343</v>
      </c>
      <c r="C116">
        <v>13826274</v>
      </c>
    </row>
    <row r="117" spans="1:3" x14ac:dyDescent="0.25">
      <c r="A117" t="s">
        <v>120</v>
      </c>
      <c r="B117">
        <v>0</v>
      </c>
      <c r="C117">
        <v>0</v>
      </c>
    </row>
    <row r="118" spans="1:3" x14ac:dyDescent="0.25">
      <c r="A118" t="s">
        <v>121</v>
      </c>
      <c r="B118">
        <v>622227</v>
      </c>
      <c r="C118">
        <v>7363322</v>
      </c>
    </row>
    <row r="119" spans="1:3" x14ac:dyDescent="0.25">
      <c r="A119" t="s">
        <v>122</v>
      </c>
      <c r="B119">
        <v>1925484.39</v>
      </c>
      <c r="C119">
        <v>8163975.5700000003</v>
      </c>
    </row>
    <row r="120" spans="1:3" x14ac:dyDescent="0.25">
      <c r="A120" t="s">
        <v>124</v>
      </c>
      <c r="B120">
        <v>0</v>
      </c>
      <c r="C120">
        <v>0</v>
      </c>
    </row>
    <row r="121" spans="1:3" x14ac:dyDescent="0.25">
      <c r="A121" t="s">
        <v>125</v>
      </c>
      <c r="B121">
        <v>0</v>
      </c>
      <c r="C121">
        <v>0</v>
      </c>
    </row>
    <row r="122" spans="1:3" x14ac:dyDescent="0.25">
      <c r="A122" t="s">
        <v>126</v>
      </c>
      <c r="B122">
        <v>0</v>
      </c>
      <c r="C122">
        <v>0</v>
      </c>
    </row>
    <row r="123" spans="1:3" x14ac:dyDescent="0.25">
      <c r="A123" t="s">
        <v>128</v>
      </c>
      <c r="B123">
        <v>868943737.88999999</v>
      </c>
      <c r="C123">
        <v>672220239.79999995</v>
      </c>
    </row>
    <row r="124" spans="1:3" x14ac:dyDescent="0.25">
      <c r="A124" t="s">
        <v>129</v>
      </c>
      <c r="B124">
        <v>0</v>
      </c>
      <c r="C124">
        <v>0</v>
      </c>
    </row>
    <row r="125" spans="1:3" x14ac:dyDescent="0.25">
      <c r="A125" t="s">
        <v>130</v>
      </c>
      <c r="B125">
        <v>0</v>
      </c>
      <c r="C125">
        <v>0</v>
      </c>
    </row>
    <row r="126" spans="1:3" x14ac:dyDescent="0.25">
      <c r="A126" t="s">
        <v>131</v>
      </c>
      <c r="B126">
        <v>5649298696.4099998</v>
      </c>
      <c r="C126">
        <v>5154077675.4899998</v>
      </c>
    </row>
    <row r="127" spans="1:3" x14ac:dyDescent="0.25">
      <c r="A127" t="s">
        <v>98</v>
      </c>
    </row>
    <row r="128" spans="1:3" x14ac:dyDescent="0.25">
      <c r="A128" t="s">
        <v>132</v>
      </c>
      <c r="B128">
        <v>30673811</v>
      </c>
      <c r="C128">
        <v>28020543</v>
      </c>
    </row>
    <row r="129" spans="1:3" x14ac:dyDescent="0.25">
      <c r="A129" t="s">
        <v>133</v>
      </c>
      <c r="B129">
        <v>0</v>
      </c>
      <c r="C129">
        <v>0</v>
      </c>
    </row>
    <row r="130" spans="1:3" x14ac:dyDescent="0.25">
      <c r="A130" t="s">
        <v>134</v>
      </c>
      <c r="B130">
        <v>0</v>
      </c>
      <c r="C130">
        <v>0</v>
      </c>
    </row>
    <row r="131" spans="1:3" x14ac:dyDescent="0.25">
      <c r="A131" t="s">
        <v>135</v>
      </c>
      <c r="B131">
        <v>0</v>
      </c>
      <c r="C131">
        <v>0</v>
      </c>
    </row>
    <row r="132" spans="1:3" x14ac:dyDescent="0.25">
      <c r="A132" t="s">
        <v>136</v>
      </c>
      <c r="B132">
        <v>5618624885.4099998</v>
      </c>
      <c r="C132">
        <v>5126057132.4899998</v>
      </c>
    </row>
    <row r="133" spans="1:3" x14ac:dyDescent="0.25">
      <c r="A133" t="s">
        <v>137</v>
      </c>
      <c r="B133">
        <v>139694235.65000001</v>
      </c>
      <c r="C133">
        <v>128596179.91</v>
      </c>
    </row>
    <row r="134" spans="1:3" x14ac:dyDescent="0.25">
      <c r="A134" t="s">
        <v>98</v>
      </c>
    </row>
    <row r="135" spans="1:3" x14ac:dyDescent="0.25">
      <c r="A135" t="s">
        <v>138</v>
      </c>
      <c r="B135">
        <v>0</v>
      </c>
      <c r="C135">
        <v>0</v>
      </c>
    </row>
    <row r="136" spans="1:3" x14ac:dyDescent="0.25">
      <c r="A136" t="s">
        <v>140</v>
      </c>
      <c r="B136">
        <v>139694235.65000001</v>
      </c>
      <c r="C136">
        <v>127065367.91</v>
      </c>
    </row>
    <row r="137" spans="1:3" x14ac:dyDescent="0.25">
      <c r="A137" t="s">
        <v>112</v>
      </c>
      <c r="B137">
        <v>0</v>
      </c>
      <c r="C137">
        <v>0</v>
      </c>
    </row>
    <row r="138" spans="1:3" x14ac:dyDescent="0.25">
      <c r="A138" t="s">
        <v>142</v>
      </c>
      <c r="B138">
        <v>0</v>
      </c>
      <c r="C138">
        <v>1530812</v>
      </c>
    </row>
    <row r="139" spans="1:3" x14ac:dyDescent="0.25">
      <c r="A139" t="s">
        <v>107</v>
      </c>
      <c r="B139">
        <v>0</v>
      </c>
      <c r="C139">
        <v>0</v>
      </c>
    </row>
    <row r="140" spans="1:3" x14ac:dyDescent="0.25">
      <c r="A140" t="s">
        <v>143</v>
      </c>
      <c r="B140">
        <v>6679984821.3400002</v>
      </c>
      <c r="C140">
        <v>5990310788.7700005</v>
      </c>
    </row>
    <row r="141" spans="1:3" x14ac:dyDescent="0.25">
      <c r="A141" t="s">
        <v>144</v>
      </c>
    </row>
    <row r="142" spans="1:3" x14ac:dyDescent="0.25">
      <c r="A142" t="s">
        <v>145</v>
      </c>
      <c r="B142">
        <v>0</v>
      </c>
      <c r="C142">
        <v>0</v>
      </c>
    </row>
    <row r="143" spans="1:3" x14ac:dyDescent="0.25">
      <c r="A143" t="s">
        <v>98</v>
      </c>
    </row>
    <row r="144" spans="1:3" x14ac:dyDescent="0.25">
      <c r="A144" t="s">
        <v>147</v>
      </c>
      <c r="B144">
        <v>0</v>
      </c>
      <c r="C144">
        <v>0</v>
      </c>
    </row>
    <row r="145" spans="1:3" x14ac:dyDescent="0.25">
      <c r="A145" t="s">
        <v>148</v>
      </c>
      <c r="B145">
        <v>0</v>
      </c>
      <c r="C145">
        <v>0</v>
      </c>
    </row>
    <row r="146" spans="1:3" x14ac:dyDescent="0.25">
      <c r="A146" t="s">
        <v>149</v>
      </c>
      <c r="B146">
        <v>0</v>
      </c>
      <c r="C146">
        <v>0</v>
      </c>
    </row>
    <row r="147" spans="1:3" x14ac:dyDescent="0.25">
      <c r="A147" t="s">
        <v>150</v>
      </c>
      <c r="B147">
        <v>0</v>
      </c>
      <c r="C14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workbookViewId="0">
      <selection activeCell="H11" sqref="H11"/>
    </sheetView>
  </sheetViews>
  <sheetFormatPr baseColWidth="10" defaultRowHeight="15" x14ac:dyDescent="0.25"/>
  <cols>
    <col min="1" max="1" width="47.5703125" bestFit="1" customWidth="1"/>
    <col min="2" max="3" width="13.85546875" bestFit="1" customWidth="1"/>
    <col min="4" max="4" width="12.7109375" bestFit="1" customWidth="1"/>
    <col min="5" max="5" width="14" bestFit="1" customWidth="1"/>
  </cols>
  <sheetData>
    <row r="1" spans="1:5" x14ac:dyDescent="0.25">
      <c r="A1" t="s">
        <v>18</v>
      </c>
      <c r="B1" s="178"/>
    </row>
    <row r="2" spans="1:5" x14ac:dyDescent="0.25">
      <c r="A2" t="s">
        <v>20</v>
      </c>
      <c r="B2" t="s">
        <v>21</v>
      </c>
      <c r="C2" t="s">
        <v>152</v>
      </c>
      <c r="D2" t="s">
        <v>153</v>
      </c>
      <c r="E2" t="s">
        <v>154</v>
      </c>
    </row>
    <row r="3" spans="1:5" x14ac:dyDescent="0.25">
      <c r="A3" t="s">
        <v>17</v>
      </c>
    </row>
    <row r="4" spans="1:5" x14ac:dyDescent="0.25">
      <c r="A4" t="s">
        <v>19</v>
      </c>
      <c r="B4">
        <v>20424</v>
      </c>
      <c r="C4">
        <v>7800</v>
      </c>
      <c r="D4">
        <v>7800</v>
      </c>
      <c r="E4">
        <v>13840</v>
      </c>
    </row>
    <row r="5" spans="1:5" x14ac:dyDescent="0.25">
      <c r="A5" t="s">
        <v>22</v>
      </c>
      <c r="B5">
        <v>18050167.289999999</v>
      </c>
      <c r="C5">
        <v>17250281</v>
      </c>
      <c r="D5">
        <v>17250281</v>
      </c>
      <c r="E5">
        <v>18531240.289999999</v>
      </c>
    </row>
    <row r="6" spans="1:5" x14ac:dyDescent="0.25">
      <c r="A6" t="s">
        <v>23</v>
      </c>
      <c r="B6">
        <v>1235834.58</v>
      </c>
      <c r="C6">
        <v>1147145</v>
      </c>
      <c r="D6">
        <v>1147145</v>
      </c>
      <c r="E6">
        <v>1326323.42</v>
      </c>
    </row>
    <row r="7" spans="1:5" x14ac:dyDescent="0.25">
      <c r="A7" t="s">
        <v>24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25</v>
      </c>
      <c r="B8">
        <v>0</v>
      </c>
      <c r="C8">
        <v>0</v>
      </c>
      <c r="D8">
        <v>0</v>
      </c>
      <c r="E8">
        <v>0</v>
      </c>
    </row>
    <row r="9" spans="1:5" x14ac:dyDescent="0.25">
      <c r="A9" t="s">
        <v>26</v>
      </c>
      <c r="B9">
        <v>0</v>
      </c>
      <c r="C9">
        <v>0</v>
      </c>
      <c r="D9">
        <v>0</v>
      </c>
      <c r="E9">
        <v>0</v>
      </c>
    </row>
    <row r="10" spans="1:5" x14ac:dyDescent="0.25">
      <c r="A10" t="s">
        <v>27</v>
      </c>
      <c r="B10">
        <v>0</v>
      </c>
      <c r="C10">
        <v>0</v>
      </c>
      <c r="D10">
        <v>0</v>
      </c>
      <c r="E10">
        <v>0</v>
      </c>
    </row>
    <row r="11" spans="1:5" x14ac:dyDescent="0.25">
      <c r="A11" t="s">
        <v>28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29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30</v>
      </c>
      <c r="B13">
        <v>19306425.870000001</v>
      </c>
      <c r="C13">
        <v>18405226</v>
      </c>
      <c r="D13">
        <v>18405226</v>
      </c>
      <c r="E13">
        <v>19871403.710000001</v>
      </c>
    </row>
    <row r="14" spans="1:5" x14ac:dyDescent="0.25">
      <c r="A14" t="s">
        <v>31</v>
      </c>
    </row>
    <row r="15" spans="1:5" x14ac:dyDescent="0.25">
      <c r="A15" t="s">
        <v>32</v>
      </c>
      <c r="B15">
        <v>6795562.6699999999</v>
      </c>
      <c r="C15">
        <v>7567888</v>
      </c>
      <c r="D15">
        <v>7567888</v>
      </c>
      <c r="E15">
        <v>6562713.2699999996</v>
      </c>
    </row>
    <row r="16" spans="1:5" x14ac:dyDescent="0.25">
      <c r="A16" t="s">
        <v>33</v>
      </c>
      <c r="B16">
        <v>2022810.66</v>
      </c>
      <c r="C16">
        <v>2581912</v>
      </c>
      <c r="D16">
        <v>2581912</v>
      </c>
      <c r="E16">
        <v>1769115.41</v>
      </c>
    </row>
    <row r="17" spans="1:5" x14ac:dyDescent="0.25">
      <c r="A17" t="s">
        <v>34</v>
      </c>
      <c r="B17">
        <v>3620263.37</v>
      </c>
      <c r="C17">
        <v>3121440</v>
      </c>
      <c r="D17">
        <v>3121440</v>
      </c>
      <c r="E17">
        <v>3626963.9</v>
      </c>
    </row>
    <row r="18" spans="1:5" x14ac:dyDescent="0.25">
      <c r="A18" t="s">
        <v>35</v>
      </c>
      <c r="B18">
        <v>2009570.42</v>
      </c>
      <c r="C18">
        <v>1383026</v>
      </c>
      <c r="D18">
        <v>1383026</v>
      </c>
      <c r="E18">
        <v>1370770.34</v>
      </c>
    </row>
    <row r="19" spans="1:5" x14ac:dyDescent="0.25">
      <c r="A19" t="s">
        <v>36</v>
      </c>
      <c r="B19">
        <v>3273905.59</v>
      </c>
      <c r="C19">
        <v>3007196</v>
      </c>
      <c r="D19">
        <v>3007196</v>
      </c>
      <c r="E19">
        <v>3192548.42</v>
      </c>
    </row>
    <row r="20" spans="1:5" x14ac:dyDescent="0.25">
      <c r="A20" t="s">
        <v>37</v>
      </c>
      <c r="B20">
        <v>1379011</v>
      </c>
      <c r="C20">
        <v>0</v>
      </c>
      <c r="D20">
        <v>0</v>
      </c>
      <c r="E20">
        <v>1379011</v>
      </c>
    </row>
    <row r="21" spans="1:5" x14ac:dyDescent="0.25">
      <c r="A21" t="s">
        <v>38</v>
      </c>
      <c r="B21">
        <v>0</v>
      </c>
      <c r="C21">
        <v>0</v>
      </c>
      <c r="D21">
        <v>0</v>
      </c>
      <c r="E21">
        <v>0</v>
      </c>
    </row>
    <row r="22" spans="1:5" x14ac:dyDescent="0.25">
      <c r="A22" t="s">
        <v>39</v>
      </c>
      <c r="B22">
        <v>19101123.710000001</v>
      </c>
      <c r="C22">
        <v>17661462</v>
      </c>
      <c r="D22">
        <v>17661462</v>
      </c>
      <c r="E22">
        <v>17901122.34</v>
      </c>
    </row>
    <row r="23" spans="1:5" x14ac:dyDescent="0.25">
      <c r="A23" t="s">
        <v>40</v>
      </c>
      <c r="B23">
        <v>205302.16</v>
      </c>
      <c r="C23">
        <v>743764</v>
      </c>
      <c r="D23">
        <v>743764</v>
      </c>
      <c r="E23">
        <v>1970281.37</v>
      </c>
    </row>
    <row r="24" spans="1:5" x14ac:dyDescent="0.25">
      <c r="A24" t="s">
        <v>41</v>
      </c>
    </row>
    <row r="25" spans="1:5" x14ac:dyDescent="0.25">
      <c r="A25" t="s">
        <v>42</v>
      </c>
      <c r="B25">
        <v>558860.32999999996</v>
      </c>
      <c r="C25">
        <v>382600</v>
      </c>
      <c r="D25">
        <v>382600</v>
      </c>
      <c r="E25">
        <v>408587.41</v>
      </c>
    </row>
    <row r="26" spans="1:5" x14ac:dyDescent="0.25">
      <c r="A26" t="s">
        <v>43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44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45</v>
      </c>
      <c r="B28">
        <v>558860.32999999996</v>
      </c>
      <c r="C28">
        <v>382600</v>
      </c>
      <c r="D28">
        <v>382600</v>
      </c>
      <c r="E28">
        <v>408587.41</v>
      </c>
    </row>
    <row r="29" spans="1:5" x14ac:dyDescent="0.25">
      <c r="A29" t="s">
        <v>46</v>
      </c>
    </row>
    <row r="30" spans="1:5" x14ac:dyDescent="0.25">
      <c r="A30" t="s">
        <v>47</v>
      </c>
      <c r="B30">
        <v>0</v>
      </c>
      <c r="C30">
        <v>60000</v>
      </c>
      <c r="D30">
        <v>60000</v>
      </c>
      <c r="E30">
        <v>0</v>
      </c>
    </row>
    <row r="31" spans="1:5" x14ac:dyDescent="0.25">
      <c r="A31" t="s">
        <v>48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t="s">
        <v>49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t="s">
        <v>50</v>
      </c>
      <c r="B33">
        <v>0</v>
      </c>
      <c r="C33">
        <v>0</v>
      </c>
      <c r="D33">
        <v>0</v>
      </c>
      <c r="E33">
        <v>0</v>
      </c>
    </row>
    <row r="34" spans="1:5" x14ac:dyDescent="0.25">
      <c r="A34" t="s">
        <v>51</v>
      </c>
      <c r="B34">
        <v>0</v>
      </c>
      <c r="C34">
        <v>60000</v>
      </c>
      <c r="D34">
        <v>60000</v>
      </c>
      <c r="E34">
        <v>0</v>
      </c>
    </row>
    <row r="35" spans="1:5" x14ac:dyDescent="0.25">
      <c r="A35" t="s">
        <v>52</v>
      </c>
      <c r="B35">
        <v>558860.32999999996</v>
      </c>
      <c r="C35">
        <v>322600</v>
      </c>
      <c r="D35">
        <v>322600</v>
      </c>
      <c r="E35">
        <v>408587.41</v>
      </c>
    </row>
    <row r="36" spans="1:5" x14ac:dyDescent="0.25">
      <c r="A36" t="s">
        <v>53</v>
      </c>
      <c r="B36">
        <v>1379011</v>
      </c>
      <c r="C36">
        <v>0</v>
      </c>
      <c r="D36">
        <v>0</v>
      </c>
      <c r="E36">
        <v>1379011</v>
      </c>
    </row>
    <row r="37" spans="1:5" x14ac:dyDescent="0.25">
      <c r="A37" t="s">
        <v>54</v>
      </c>
      <c r="B37">
        <v>2143173.4900000002</v>
      </c>
      <c r="C37">
        <v>1066364</v>
      </c>
      <c r="D37">
        <v>1066364</v>
      </c>
      <c r="E37">
        <v>3757879.78</v>
      </c>
    </row>
    <row r="38" spans="1:5" x14ac:dyDescent="0.25">
      <c r="A38" t="s">
        <v>55</v>
      </c>
    </row>
    <row r="39" spans="1:5" x14ac:dyDescent="0.25">
      <c r="A39" t="s">
        <v>56</v>
      </c>
      <c r="B39">
        <v>2826035.49</v>
      </c>
      <c r="C39">
        <v>0</v>
      </c>
      <c r="D39">
        <v>0</v>
      </c>
      <c r="E39">
        <v>1687287</v>
      </c>
    </row>
    <row r="40" spans="1:5" x14ac:dyDescent="0.25">
      <c r="A40" t="s">
        <v>57</v>
      </c>
      <c r="B40">
        <v>0</v>
      </c>
      <c r="C40">
        <v>0</v>
      </c>
      <c r="D40">
        <v>0</v>
      </c>
      <c r="E40">
        <v>0</v>
      </c>
    </row>
    <row r="41" spans="1:5" x14ac:dyDescent="0.25">
      <c r="A41" t="s">
        <v>58</v>
      </c>
      <c r="B41">
        <v>0</v>
      </c>
      <c r="C41">
        <v>0</v>
      </c>
      <c r="D41">
        <v>0</v>
      </c>
      <c r="E41">
        <v>0</v>
      </c>
    </row>
    <row r="42" spans="1:5" x14ac:dyDescent="0.25">
      <c r="A42" t="s">
        <v>59</v>
      </c>
      <c r="B42">
        <v>2826035.49</v>
      </c>
      <c r="C42">
        <v>0</v>
      </c>
      <c r="D42">
        <v>0</v>
      </c>
      <c r="E42">
        <v>1687287</v>
      </c>
    </row>
    <row r="43" spans="1:5" x14ac:dyDescent="0.25">
      <c r="A43" t="s">
        <v>60</v>
      </c>
      <c r="B43">
        <v>0</v>
      </c>
      <c r="C43">
        <v>0</v>
      </c>
      <c r="D43">
        <v>0</v>
      </c>
      <c r="E43">
        <v>0</v>
      </c>
    </row>
    <row r="44" spans="1:5" x14ac:dyDescent="0.25">
      <c r="A44" t="s">
        <v>61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t="s">
        <v>62</v>
      </c>
      <c r="B45">
        <v>2826035.49</v>
      </c>
      <c r="C45">
        <v>0</v>
      </c>
      <c r="D45">
        <v>0</v>
      </c>
      <c r="E45">
        <v>1687285</v>
      </c>
    </row>
    <row r="46" spans="1:5" x14ac:dyDescent="0.25">
      <c r="A46" t="s">
        <v>63</v>
      </c>
      <c r="B46">
        <v>931846</v>
      </c>
      <c r="C46">
        <v>0</v>
      </c>
      <c r="D46">
        <v>0</v>
      </c>
      <c r="E46">
        <v>931846</v>
      </c>
    </row>
    <row r="47" spans="1:5" x14ac:dyDescent="0.25">
      <c r="A47" t="s">
        <v>64</v>
      </c>
      <c r="B47">
        <v>3757881.49</v>
      </c>
      <c r="C47">
        <v>0</v>
      </c>
      <c r="D47">
        <v>0</v>
      </c>
      <c r="E47">
        <v>2619131</v>
      </c>
    </row>
    <row r="48" spans="1:5" x14ac:dyDescent="0.25">
      <c r="A48" t="s">
        <v>65</v>
      </c>
      <c r="B48">
        <v>1211327.49</v>
      </c>
      <c r="C48">
        <v>1066364</v>
      </c>
      <c r="D48">
        <v>1066364</v>
      </c>
      <c r="E48">
        <v>2826035.78</v>
      </c>
    </row>
    <row r="49" spans="1:5" x14ac:dyDescent="0.25">
      <c r="A49" t="s">
        <v>18</v>
      </c>
    </row>
    <row r="50" spans="1:5" x14ac:dyDescent="0.25">
      <c r="A50" t="s">
        <v>66</v>
      </c>
      <c r="B50" t="s">
        <v>21</v>
      </c>
      <c r="C50" t="s">
        <v>152</v>
      </c>
      <c r="D50" t="s">
        <v>153</v>
      </c>
      <c r="E50" t="s">
        <v>154</v>
      </c>
    </row>
    <row r="51" spans="1:5" x14ac:dyDescent="0.25">
      <c r="A51" t="s">
        <v>67</v>
      </c>
    </row>
    <row r="52" spans="1:5" x14ac:dyDescent="0.25">
      <c r="A52" t="s">
        <v>68</v>
      </c>
      <c r="B52">
        <v>0</v>
      </c>
      <c r="C52">
        <v>0</v>
      </c>
      <c r="D52">
        <v>0</v>
      </c>
      <c r="E52">
        <v>0</v>
      </c>
    </row>
    <row r="53" spans="1:5" x14ac:dyDescent="0.25">
      <c r="A53" t="s">
        <v>69</v>
      </c>
      <c r="B53">
        <v>0</v>
      </c>
      <c r="C53">
        <v>0</v>
      </c>
      <c r="D53">
        <v>0</v>
      </c>
      <c r="E53">
        <v>0</v>
      </c>
    </row>
    <row r="54" spans="1:5" x14ac:dyDescent="0.25">
      <c r="A54" t="s">
        <v>23</v>
      </c>
      <c r="B54">
        <v>0</v>
      </c>
      <c r="C54">
        <v>0</v>
      </c>
      <c r="D54">
        <v>0</v>
      </c>
      <c r="E54">
        <v>0</v>
      </c>
    </row>
    <row r="55" spans="1:5" x14ac:dyDescent="0.25">
      <c r="A55" t="s">
        <v>70</v>
      </c>
      <c r="B55">
        <v>0</v>
      </c>
      <c r="C55">
        <v>0</v>
      </c>
      <c r="D55">
        <v>0</v>
      </c>
      <c r="E55">
        <v>12545.4</v>
      </c>
    </row>
    <row r="56" spans="1:5" x14ac:dyDescent="0.25">
      <c r="A56" t="s">
        <v>71</v>
      </c>
      <c r="B56">
        <v>0</v>
      </c>
      <c r="C56">
        <v>0</v>
      </c>
      <c r="D56">
        <v>0</v>
      </c>
      <c r="E56">
        <v>0</v>
      </c>
    </row>
    <row r="57" spans="1:5" x14ac:dyDescent="0.25">
      <c r="A57" t="s">
        <v>26</v>
      </c>
      <c r="B57">
        <v>0</v>
      </c>
      <c r="C57">
        <v>0</v>
      </c>
      <c r="D57">
        <v>0</v>
      </c>
      <c r="E57">
        <v>0</v>
      </c>
    </row>
    <row r="58" spans="1:5" x14ac:dyDescent="0.25">
      <c r="A58" t="s">
        <v>42</v>
      </c>
      <c r="B58">
        <v>0</v>
      </c>
      <c r="C58">
        <v>0</v>
      </c>
      <c r="D58">
        <v>0</v>
      </c>
      <c r="E58">
        <v>0</v>
      </c>
    </row>
    <row r="59" spans="1:5" x14ac:dyDescent="0.25">
      <c r="A59" t="s">
        <v>73</v>
      </c>
      <c r="B59">
        <v>0</v>
      </c>
      <c r="C59">
        <v>0</v>
      </c>
      <c r="D59">
        <v>0</v>
      </c>
      <c r="E59">
        <v>12545.4</v>
      </c>
    </row>
    <row r="60" spans="1:5" x14ac:dyDescent="0.25">
      <c r="A60" t="s">
        <v>74</v>
      </c>
    </row>
    <row r="61" spans="1:5" x14ac:dyDescent="0.25">
      <c r="A61" t="s">
        <v>32</v>
      </c>
      <c r="B61">
        <v>0</v>
      </c>
      <c r="C61">
        <v>0</v>
      </c>
      <c r="D61">
        <v>0</v>
      </c>
      <c r="E61">
        <v>0</v>
      </c>
    </row>
    <row r="62" spans="1:5" x14ac:dyDescent="0.25">
      <c r="A62" t="s">
        <v>33</v>
      </c>
      <c r="B62">
        <v>0</v>
      </c>
      <c r="C62">
        <v>0</v>
      </c>
      <c r="D62">
        <v>0</v>
      </c>
      <c r="E62">
        <v>0</v>
      </c>
    </row>
    <row r="63" spans="1:5" x14ac:dyDescent="0.25">
      <c r="A63" t="s">
        <v>34</v>
      </c>
      <c r="B63">
        <v>0</v>
      </c>
      <c r="C63">
        <v>0</v>
      </c>
      <c r="D63">
        <v>0</v>
      </c>
      <c r="E63">
        <v>280712.8</v>
      </c>
    </row>
    <row r="64" spans="1:5" x14ac:dyDescent="0.25">
      <c r="A64" t="s">
        <v>35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t="s">
        <v>36</v>
      </c>
      <c r="B65">
        <v>0</v>
      </c>
      <c r="C65">
        <v>0</v>
      </c>
      <c r="D65">
        <v>0</v>
      </c>
      <c r="E65">
        <v>12545.4</v>
      </c>
    </row>
    <row r="66" spans="1:5" x14ac:dyDescent="0.25">
      <c r="A66" t="s">
        <v>75</v>
      </c>
      <c r="B66">
        <v>0</v>
      </c>
      <c r="C66">
        <v>0</v>
      </c>
      <c r="D66">
        <v>0</v>
      </c>
      <c r="E66">
        <v>0</v>
      </c>
    </row>
    <row r="67" spans="1:5" x14ac:dyDescent="0.25">
      <c r="A67" t="s">
        <v>38</v>
      </c>
      <c r="B67">
        <v>0</v>
      </c>
      <c r="C67">
        <v>0</v>
      </c>
      <c r="D67">
        <v>0</v>
      </c>
      <c r="E67">
        <v>0</v>
      </c>
    </row>
    <row r="68" spans="1:5" x14ac:dyDescent="0.25">
      <c r="A68" t="s">
        <v>76</v>
      </c>
      <c r="B68">
        <v>0</v>
      </c>
      <c r="C68">
        <v>0</v>
      </c>
      <c r="D68">
        <v>0</v>
      </c>
      <c r="E68">
        <v>293258.2</v>
      </c>
    </row>
    <row r="69" spans="1:5" x14ac:dyDescent="0.25">
      <c r="A69" t="s">
        <v>77</v>
      </c>
    </row>
    <row r="70" spans="1:5" x14ac:dyDescent="0.25">
      <c r="A70" t="s">
        <v>49</v>
      </c>
      <c r="B70">
        <v>0</v>
      </c>
      <c r="C70">
        <v>0</v>
      </c>
      <c r="D70">
        <v>0</v>
      </c>
      <c r="E70">
        <v>0</v>
      </c>
    </row>
    <row r="71" spans="1:5" x14ac:dyDescent="0.25">
      <c r="A71" t="s">
        <v>50</v>
      </c>
      <c r="B71">
        <v>0</v>
      </c>
      <c r="C71">
        <v>0</v>
      </c>
      <c r="D71">
        <v>0</v>
      </c>
      <c r="E71">
        <v>0</v>
      </c>
    </row>
    <row r="72" spans="1:5" x14ac:dyDescent="0.25">
      <c r="A72" t="s">
        <v>78</v>
      </c>
      <c r="B72">
        <v>0</v>
      </c>
      <c r="C72">
        <v>0</v>
      </c>
      <c r="D72">
        <v>0</v>
      </c>
      <c r="E72">
        <v>0</v>
      </c>
    </row>
    <row r="73" spans="1:5" x14ac:dyDescent="0.25">
      <c r="A73" t="s">
        <v>79</v>
      </c>
      <c r="B73">
        <v>0</v>
      </c>
      <c r="C73">
        <v>0</v>
      </c>
      <c r="D73">
        <v>0</v>
      </c>
      <c r="E73">
        <v>0</v>
      </c>
    </row>
    <row r="74" spans="1:5" x14ac:dyDescent="0.25">
      <c r="A74" t="s">
        <v>80</v>
      </c>
      <c r="B74">
        <v>0</v>
      </c>
      <c r="C74">
        <v>0</v>
      </c>
      <c r="D74">
        <v>0</v>
      </c>
      <c r="E74">
        <v>0</v>
      </c>
    </row>
    <row r="75" spans="1:5" x14ac:dyDescent="0.25">
      <c r="A75" t="s">
        <v>81</v>
      </c>
      <c r="B75">
        <v>0</v>
      </c>
      <c r="C75">
        <v>0</v>
      </c>
      <c r="D75">
        <v>0</v>
      </c>
      <c r="E75">
        <v>0</v>
      </c>
    </row>
    <row r="76" spans="1:5" x14ac:dyDescent="0.25">
      <c r="A76" t="s">
        <v>82</v>
      </c>
      <c r="B76">
        <v>0</v>
      </c>
      <c r="C76">
        <v>0</v>
      </c>
      <c r="D76">
        <v>0</v>
      </c>
      <c r="E76">
        <v>0</v>
      </c>
    </row>
    <row r="77" spans="1:5" x14ac:dyDescent="0.25">
      <c r="A77" t="s">
        <v>83</v>
      </c>
      <c r="B77">
        <v>0</v>
      </c>
      <c r="C77">
        <v>0</v>
      </c>
      <c r="D77">
        <v>0</v>
      </c>
      <c r="E77">
        <v>280712.8</v>
      </c>
    </row>
    <row r="78" spans="1:5" x14ac:dyDescent="0.25">
      <c r="A78" t="s">
        <v>84</v>
      </c>
    </row>
    <row r="79" spans="1:5" x14ac:dyDescent="0.25">
      <c r="A79" t="s">
        <v>85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t="s">
        <v>86</v>
      </c>
      <c r="B80">
        <v>0</v>
      </c>
      <c r="C80">
        <v>0</v>
      </c>
      <c r="D80">
        <v>0</v>
      </c>
      <c r="E80">
        <v>0</v>
      </c>
    </row>
    <row r="81" spans="1:5" x14ac:dyDescent="0.25">
      <c r="A81" t="s">
        <v>44</v>
      </c>
      <c r="B81">
        <v>0</v>
      </c>
      <c r="C81">
        <v>0</v>
      </c>
      <c r="D81">
        <v>0</v>
      </c>
      <c r="E81">
        <v>0</v>
      </c>
    </row>
    <row r="82" spans="1:5" x14ac:dyDescent="0.25">
      <c r="A82" t="s">
        <v>87</v>
      </c>
      <c r="B82">
        <v>0</v>
      </c>
      <c r="C82">
        <v>0</v>
      </c>
      <c r="D82">
        <v>0</v>
      </c>
      <c r="E82">
        <v>0</v>
      </c>
    </row>
    <row r="83" spans="1:5" x14ac:dyDescent="0.25">
      <c r="A83" t="s">
        <v>88</v>
      </c>
      <c r="B83">
        <v>0</v>
      </c>
      <c r="C83">
        <v>0</v>
      </c>
      <c r="D83">
        <v>0</v>
      </c>
      <c r="E83">
        <v>0</v>
      </c>
    </row>
    <row r="84" spans="1:5" x14ac:dyDescent="0.25">
      <c r="A84" t="s">
        <v>57</v>
      </c>
      <c r="B84">
        <v>0</v>
      </c>
      <c r="C84">
        <v>0</v>
      </c>
      <c r="D84">
        <v>0</v>
      </c>
      <c r="E84">
        <v>280712.8</v>
      </c>
    </row>
    <row r="85" spans="1:5" x14ac:dyDescent="0.25">
      <c r="A85" t="s">
        <v>89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t="s">
        <v>90</v>
      </c>
      <c r="B86">
        <v>0</v>
      </c>
      <c r="C86">
        <v>0</v>
      </c>
      <c r="D86">
        <v>0</v>
      </c>
      <c r="E86">
        <v>0</v>
      </c>
    </row>
    <row r="87" spans="1:5" x14ac:dyDescent="0.25">
      <c r="A87" t="s">
        <v>91</v>
      </c>
      <c r="B87">
        <v>0</v>
      </c>
      <c r="C87">
        <v>0</v>
      </c>
      <c r="D87">
        <v>0</v>
      </c>
      <c r="E87">
        <v>0</v>
      </c>
    </row>
    <row r="88" spans="1:5" x14ac:dyDescent="0.25">
      <c r="A88" t="s">
        <v>92</v>
      </c>
      <c r="B88">
        <v>0</v>
      </c>
      <c r="C88">
        <v>0</v>
      </c>
      <c r="D88">
        <v>0</v>
      </c>
      <c r="E88">
        <v>280712.8</v>
      </c>
    </row>
    <row r="89" spans="1:5" x14ac:dyDescent="0.25">
      <c r="A89" t="s">
        <v>93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t="s">
        <v>18</v>
      </c>
    </row>
    <row r="91" spans="1:5" x14ac:dyDescent="0.25">
      <c r="A91" t="s">
        <v>94</v>
      </c>
      <c r="B91" t="s">
        <v>262</v>
      </c>
      <c r="C91" t="s">
        <v>249</v>
      </c>
    </row>
    <row r="92" spans="1:5" x14ac:dyDescent="0.25">
      <c r="A92" t="s">
        <v>95</v>
      </c>
    </row>
    <row r="93" spans="1:5" x14ac:dyDescent="0.25">
      <c r="A93" t="s">
        <v>97</v>
      </c>
      <c r="B93">
        <v>29496119.920000002</v>
      </c>
      <c r="C93">
        <v>28171246.920000002</v>
      </c>
    </row>
    <row r="94" spans="1:5" x14ac:dyDescent="0.25">
      <c r="A94" t="s">
        <v>98</v>
      </c>
    </row>
    <row r="95" spans="1:5" x14ac:dyDescent="0.25">
      <c r="A95" t="s">
        <v>99</v>
      </c>
      <c r="B95">
        <v>7351858.9199999999</v>
      </c>
      <c r="C95">
        <v>8730869.9199999999</v>
      </c>
    </row>
    <row r="96" spans="1:5" x14ac:dyDescent="0.25">
      <c r="A96" t="s">
        <v>100</v>
      </c>
      <c r="B96">
        <v>0</v>
      </c>
      <c r="C96">
        <v>0</v>
      </c>
    </row>
    <row r="97" spans="1:3" x14ac:dyDescent="0.25">
      <c r="A97" t="s">
        <v>50</v>
      </c>
      <c r="B97">
        <v>0</v>
      </c>
      <c r="C97">
        <v>0</v>
      </c>
    </row>
    <row r="98" spans="1:3" x14ac:dyDescent="0.25">
      <c r="A98" t="s">
        <v>101</v>
      </c>
      <c r="B98">
        <v>10000000</v>
      </c>
      <c r="C98">
        <v>10000000</v>
      </c>
    </row>
    <row r="99" spans="1:3" x14ac:dyDescent="0.25">
      <c r="A99" t="s">
        <v>102</v>
      </c>
      <c r="B99">
        <v>132000</v>
      </c>
      <c r="C99">
        <v>132000</v>
      </c>
    </row>
    <row r="100" spans="1:3" x14ac:dyDescent="0.25">
      <c r="A100" t="s">
        <v>103</v>
      </c>
      <c r="B100">
        <v>12012261</v>
      </c>
      <c r="C100">
        <v>9308377</v>
      </c>
    </row>
    <row r="101" spans="1:3" x14ac:dyDescent="0.25">
      <c r="A101" t="s">
        <v>104</v>
      </c>
      <c r="B101">
        <v>40268746.189999998</v>
      </c>
      <c r="C101">
        <v>38936790.079999998</v>
      </c>
    </row>
    <row r="102" spans="1:3" x14ac:dyDescent="0.25">
      <c r="A102" t="s">
        <v>98</v>
      </c>
    </row>
    <row r="103" spans="1:3" x14ac:dyDescent="0.25">
      <c r="A103" t="s">
        <v>105</v>
      </c>
      <c r="B103">
        <v>1222214.3999999999</v>
      </c>
      <c r="C103">
        <v>119684.67</v>
      </c>
    </row>
    <row r="104" spans="1:3" x14ac:dyDescent="0.25">
      <c r="A104" t="s">
        <v>106</v>
      </c>
      <c r="B104">
        <v>0</v>
      </c>
      <c r="C104">
        <v>0</v>
      </c>
    </row>
    <row r="105" spans="1:3" x14ac:dyDescent="0.25">
      <c r="A105" t="s">
        <v>107</v>
      </c>
      <c r="B105">
        <v>1154458</v>
      </c>
      <c r="C105">
        <v>1143990</v>
      </c>
    </row>
    <row r="106" spans="1:3" x14ac:dyDescent="0.25">
      <c r="A106" t="s">
        <v>102</v>
      </c>
      <c r="B106">
        <v>0</v>
      </c>
      <c r="C106">
        <v>0</v>
      </c>
    </row>
    <row r="107" spans="1:3" x14ac:dyDescent="0.25">
      <c r="A107" t="s">
        <v>110</v>
      </c>
      <c r="B107">
        <v>0</v>
      </c>
      <c r="C107">
        <v>0</v>
      </c>
    </row>
    <row r="108" spans="1:3" x14ac:dyDescent="0.25">
      <c r="A108" t="s">
        <v>111</v>
      </c>
      <c r="B108">
        <v>0</v>
      </c>
      <c r="C108">
        <v>0</v>
      </c>
    </row>
    <row r="109" spans="1:3" x14ac:dyDescent="0.25">
      <c r="A109" t="s">
        <v>112</v>
      </c>
      <c r="B109">
        <v>0</v>
      </c>
      <c r="C109">
        <v>0</v>
      </c>
    </row>
    <row r="110" spans="1:3" x14ac:dyDescent="0.25">
      <c r="A110" t="s">
        <v>113</v>
      </c>
      <c r="B110">
        <v>37892073.789999999</v>
      </c>
      <c r="C110">
        <v>37673115.409999996</v>
      </c>
    </row>
    <row r="111" spans="1:3" x14ac:dyDescent="0.25">
      <c r="A111" t="s">
        <v>114</v>
      </c>
      <c r="B111">
        <v>69764866.109999999</v>
      </c>
      <c r="C111">
        <v>67108037</v>
      </c>
    </row>
    <row r="112" spans="1:3" x14ac:dyDescent="0.25">
      <c r="A112" t="s">
        <v>115</v>
      </c>
    </row>
    <row r="113" spans="1:3" x14ac:dyDescent="0.25">
      <c r="A113" t="s">
        <v>116</v>
      </c>
      <c r="B113">
        <v>55512649.159999996</v>
      </c>
      <c r="C113">
        <v>54035350.670000002</v>
      </c>
    </row>
    <row r="114" spans="1:3" x14ac:dyDescent="0.25">
      <c r="A114" t="s">
        <v>98</v>
      </c>
    </row>
    <row r="115" spans="1:3" x14ac:dyDescent="0.25">
      <c r="A115" t="s">
        <v>117</v>
      </c>
      <c r="B115">
        <v>36187330.75</v>
      </c>
      <c r="C115">
        <v>32429449.260000002</v>
      </c>
    </row>
    <row r="116" spans="1:3" x14ac:dyDescent="0.25">
      <c r="A116" t="s">
        <v>119</v>
      </c>
      <c r="B116">
        <v>0</v>
      </c>
      <c r="C116">
        <v>0</v>
      </c>
    </row>
    <row r="117" spans="1:3" x14ac:dyDescent="0.25">
      <c r="A117" t="s">
        <v>120</v>
      </c>
      <c r="B117">
        <v>0</v>
      </c>
      <c r="C117">
        <v>0</v>
      </c>
    </row>
    <row r="118" spans="1:3" x14ac:dyDescent="0.25">
      <c r="A118" t="s">
        <v>121</v>
      </c>
      <c r="B118">
        <v>0</v>
      </c>
      <c r="C118">
        <v>0</v>
      </c>
    </row>
    <row r="119" spans="1:3" x14ac:dyDescent="0.25">
      <c r="A119" t="s">
        <v>122</v>
      </c>
      <c r="B119">
        <v>1211327.49</v>
      </c>
      <c r="C119">
        <v>2826035.49</v>
      </c>
    </row>
    <row r="120" spans="1:3" x14ac:dyDescent="0.25">
      <c r="A120" t="s">
        <v>124</v>
      </c>
      <c r="B120">
        <v>0</v>
      </c>
      <c r="C120">
        <v>0</v>
      </c>
    </row>
    <row r="121" spans="1:3" x14ac:dyDescent="0.25">
      <c r="A121" t="s">
        <v>125</v>
      </c>
      <c r="B121">
        <v>0</v>
      </c>
      <c r="C121">
        <v>0</v>
      </c>
    </row>
    <row r="122" spans="1:3" x14ac:dyDescent="0.25">
      <c r="A122" t="s">
        <v>126</v>
      </c>
      <c r="B122">
        <v>0</v>
      </c>
      <c r="C122">
        <v>0</v>
      </c>
    </row>
    <row r="123" spans="1:3" x14ac:dyDescent="0.25">
      <c r="A123" t="s">
        <v>128</v>
      </c>
      <c r="B123">
        <v>18113990.920000002</v>
      </c>
      <c r="C123">
        <v>18779865.920000002</v>
      </c>
    </row>
    <row r="124" spans="1:3" x14ac:dyDescent="0.25">
      <c r="A124" t="s">
        <v>129</v>
      </c>
      <c r="B124">
        <v>0</v>
      </c>
      <c r="C124">
        <v>0</v>
      </c>
    </row>
    <row r="125" spans="1:3" x14ac:dyDescent="0.25">
      <c r="A125" t="s">
        <v>130</v>
      </c>
      <c r="B125">
        <v>0</v>
      </c>
      <c r="C125">
        <v>0</v>
      </c>
    </row>
    <row r="126" spans="1:3" x14ac:dyDescent="0.25">
      <c r="A126" t="s">
        <v>131</v>
      </c>
      <c r="B126">
        <v>11382129</v>
      </c>
      <c r="C126">
        <v>9391381</v>
      </c>
    </row>
    <row r="127" spans="1:3" x14ac:dyDescent="0.25">
      <c r="A127" t="s">
        <v>98</v>
      </c>
    </row>
    <row r="128" spans="1:3" x14ac:dyDescent="0.25">
      <c r="A128" t="s">
        <v>132</v>
      </c>
      <c r="B128">
        <v>11382129</v>
      </c>
      <c r="C128">
        <v>9391381</v>
      </c>
    </row>
    <row r="129" spans="1:3" x14ac:dyDescent="0.25">
      <c r="A129" t="s">
        <v>133</v>
      </c>
      <c r="B129">
        <v>0</v>
      </c>
      <c r="C129">
        <v>0</v>
      </c>
    </row>
    <row r="130" spans="1:3" x14ac:dyDescent="0.25">
      <c r="A130" t="s">
        <v>134</v>
      </c>
      <c r="B130">
        <v>0</v>
      </c>
      <c r="C130">
        <v>0</v>
      </c>
    </row>
    <row r="131" spans="1:3" x14ac:dyDescent="0.25">
      <c r="A131" t="s">
        <v>135</v>
      </c>
      <c r="B131">
        <v>0</v>
      </c>
      <c r="C131">
        <v>0</v>
      </c>
    </row>
    <row r="132" spans="1:3" x14ac:dyDescent="0.25">
      <c r="A132" t="s">
        <v>136</v>
      </c>
      <c r="B132">
        <v>0</v>
      </c>
      <c r="C132">
        <v>0</v>
      </c>
    </row>
    <row r="133" spans="1:3" x14ac:dyDescent="0.25">
      <c r="A133" t="s">
        <v>137</v>
      </c>
      <c r="B133">
        <v>2870087.95</v>
      </c>
      <c r="C133">
        <v>3681305.33</v>
      </c>
    </row>
    <row r="134" spans="1:3" x14ac:dyDescent="0.25">
      <c r="A134" t="s">
        <v>98</v>
      </c>
    </row>
    <row r="135" spans="1:3" x14ac:dyDescent="0.25">
      <c r="A135" t="s">
        <v>138</v>
      </c>
      <c r="B135">
        <v>0</v>
      </c>
      <c r="C135">
        <v>0</v>
      </c>
    </row>
    <row r="136" spans="1:3" x14ac:dyDescent="0.25">
      <c r="A136" t="s">
        <v>140</v>
      </c>
      <c r="B136">
        <v>2870087.95</v>
      </c>
      <c r="C136">
        <v>3681305.33</v>
      </c>
    </row>
    <row r="137" spans="1:3" x14ac:dyDescent="0.25">
      <c r="A137" t="s">
        <v>112</v>
      </c>
      <c r="B137">
        <v>0</v>
      </c>
      <c r="C137">
        <v>0</v>
      </c>
    </row>
    <row r="138" spans="1:3" x14ac:dyDescent="0.25">
      <c r="A138" t="s">
        <v>142</v>
      </c>
      <c r="B138">
        <v>0</v>
      </c>
      <c r="C138">
        <v>0</v>
      </c>
    </row>
    <row r="139" spans="1:3" x14ac:dyDescent="0.25">
      <c r="A139" t="s">
        <v>107</v>
      </c>
      <c r="B139">
        <v>0</v>
      </c>
      <c r="C139">
        <v>0</v>
      </c>
    </row>
    <row r="140" spans="1:3" x14ac:dyDescent="0.25">
      <c r="A140" t="s">
        <v>143</v>
      </c>
      <c r="B140">
        <v>69764866.109999999</v>
      </c>
      <c r="C140">
        <v>67108037</v>
      </c>
    </row>
    <row r="141" spans="1:3" x14ac:dyDescent="0.25">
      <c r="A141" t="s">
        <v>144</v>
      </c>
    </row>
    <row r="142" spans="1:3" x14ac:dyDescent="0.25">
      <c r="A142" t="s">
        <v>145</v>
      </c>
      <c r="B142">
        <v>0</v>
      </c>
      <c r="C142">
        <v>0</v>
      </c>
    </row>
    <row r="143" spans="1:3" x14ac:dyDescent="0.25">
      <c r="A143" t="s">
        <v>98</v>
      </c>
    </row>
    <row r="144" spans="1:3" x14ac:dyDescent="0.25">
      <c r="A144" t="s">
        <v>147</v>
      </c>
      <c r="B144">
        <v>0</v>
      </c>
      <c r="C144">
        <v>0</v>
      </c>
    </row>
    <row r="145" spans="1:3" x14ac:dyDescent="0.25">
      <c r="A145" t="s">
        <v>148</v>
      </c>
      <c r="B145">
        <v>0</v>
      </c>
      <c r="C145">
        <v>0</v>
      </c>
    </row>
    <row r="146" spans="1:3" x14ac:dyDescent="0.25">
      <c r="A146" t="s">
        <v>149</v>
      </c>
      <c r="B146">
        <v>0</v>
      </c>
      <c r="C146">
        <v>0</v>
      </c>
    </row>
    <row r="147" spans="1:3" x14ac:dyDescent="0.25">
      <c r="A147" t="s">
        <v>150</v>
      </c>
      <c r="B147">
        <v>0</v>
      </c>
      <c r="C14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7"/>
  <sheetViews>
    <sheetView topLeftCell="A9" workbookViewId="0">
      <selection activeCell="B55" sqref="B55"/>
    </sheetView>
  </sheetViews>
  <sheetFormatPr baseColWidth="10" defaultRowHeight="15" x14ac:dyDescent="0.25"/>
  <cols>
    <col min="1" max="1" width="47.5703125" bestFit="1" customWidth="1"/>
    <col min="2" max="3" width="13.85546875" bestFit="1" customWidth="1"/>
    <col min="4" max="4" width="12.7109375" bestFit="1" customWidth="1"/>
    <col min="5" max="5" width="14" bestFit="1" customWidth="1"/>
  </cols>
  <sheetData>
    <row r="1" spans="1:5" x14ac:dyDescent="0.25">
      <c r="A1" t="s">
        <v>18</v>
      </c>
      <c r="B1" s="178"/>
    </row>
    <row r="2" spans="1:5" x14ac:dyDescent="0.25">
      <c r="A2" t="s">
        <v>20</v>
      </c>
      <c r="B2" t="s">
        <v>21</v>
      </c>
      <c r="C2" t="s">
        <v>152</v>
      </c>
      <c r="D2" t="s">
        <v>153</v>
      </c>
      <c r="E2" t="s">
        <v>154</v>
      </c>
    </row>
    <row r="3" spans="1:5" x14ac:dyDescent="0.25">
      <c r="A3" t="s">
        <v>17</v>
      </c>
    </row>
    <row r="4" spans="1:5" x14ac:dyDescent="0.25">
      <c r="A4" t="s">
        <v>19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22</v>
      </c>
      <c r="B5">
        <v>14613863.949999999</v>
      </c>
      <c r="C5">
        <v>16725000</v>
      </c>
      <c r="D5">
        <v>16725000</v>
      </c>
      <c r="E5">
        <v>9649458.25</v>
      </c>
    </row>
    <row r="6" spans="1:5" x14ac:dyDescent="0.25">
      <c r="A6" t="s">
        <v>23</v>
      </c>
      <c r="B6">
        <v>2183601.33</v>
      </c>
      <c r="C6">
        <v>50000</v>
      </c>
      <c r="D6">
        <v>50000</v>
      </c>
      <c r="E6">
        <v>1922704.41</v>
      </c>
    </row>
    <row r="7" spans="1:5" x14ac:dyDescent="0.25">
      <c r="A7" t="s">
        <v>24</v>
      </c>
      <c r="B7">
        <v>0</v>
      </c>
      <c r="C7">
        <v>0</v>
      </c>
      <c r="D7">
        <v>0</v>
      </c>
      <c r="E7">
        <v>0</v>
      </c>
    </row>
    <row r="8" spans="1:5" x14ac:dyDescent="0.25">
      <c r="A8" t="s">
        <v>25</v>
      </c>
      <c r="B8">
        <v>1482500</v>
      </c>
      <c r="C8">
        <v>1150000</v>
      </c>
      <c r="D8">
        <v>1150000</v>
      </c>
      <c r="E8">
        <v>1150000</v>
      </c>
    </row>
    <row r="9" spans="1:5" x14ac:dyDescent="0.25">
      <c r="A9" t="s">
        <v>26</v>
      </c>
      <c r="B9">
        <v>18425012</v>
      </c>
      <c r="C9">
        <v>18029000</v>
      </c>
      <c r="D9">
        <v>18029000</v>
      </c>
      <c r="E9">
        <v>17188300</v>
      </c>
    </row>
    <row r="10" spans="1:5" x14ac:dyDescent="0.25">
      <c r="A10" t="s">
        <v>27</v>
      </c>
      <c r="B10">
        <v>0</v>
      </c>
      <c r="C10">
        <v>0</v>
      </c>
      <c r="D10">
        <v>0</v>
      </c>
      <c r="E10">
        <v>0</v>
      </c>
    </row>
    <row r="11" spans="1:5" x14ac:dyDescent="0.25">
      <c r="A11" t="s">
        <v>28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29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30</v>
      </c>
      <c r="B13">
        <v>36704977.280000001</v>
      </c>
      <c r="C13">
        <v>35954000</v>
      </c>
      <c r="D13">
        <v>35954000</v>
      </c>
      <c r="E13">
        <v>29910462.66</v>
      </c>
    </row>
    <row r="14" spans="1:5" x14ac:dyDescent="0.25">
      <c r="A14" t="s">
        <v>31</v>
      </c>
    </row>
    <row r="15" spans="1:5" x14ac:dyDescent="0.25">
      <c r="A15" t="s">
        <v>32</v>
      </c>
      <c r="B15">
        <v>9445663.9000000004</v>
      </c>
      <c r="C15">
        <v>7969000</v>
      </c>
      <c r="D15">
        <v>7969000</v>
      </c>
      <c r="E15">
        <v>8545618.2400000002</v>
      </c>
    </row>
    <row r="16" spans="1:5" x14ac:dyDescent="0.25">
      <c r="A16" t="s">
        <v>33</v>
      </c>
      <c r="B16">
        <v>2613801.5699999998</v>
      </c>
      <c r="C16">
        <v>2411000</v>
      </c>
      <c r="D16">
        <v>2411000</v>
      </c>
      <c r="E16">
        <v>2080832.69</v>
      </c>
    </row>
    <row r="17" spans="1:5" x14ac:dyDescent="0.25">
      <c r="A17" t="s">
        <v>34</v>
      </c>
      <c r="B17">
        <v>17251225.890000001</v>
      </c>
      <c r="C17">
        <v>20339000</v>
      </c>
      <c r="D17">
        <v>20339000</v>
      </c>
      <c r="E17">
        <v>14739128.199999999</v>
      </c>
    </row>
    <row r="18" spans="1:5" x14ac:dyDescent="0.25">
      <c r="A18" t="s">
        <v>35</v>
      </c>
      <c r="B18">
        <v>5371021.0499999998</v>
      </c>
      <c r="C18">
        <v>5355000</v>
      </c>
      <c r="D18">
        <v>5355000</v>
      </c>
      <c r="E18">
        <v>5406677.5</v>
      </c>
    </row>
    <row r="19" spans="1:5" x14ac:dyDescent="0.25">
      <c r="A19" t="s">
        <v>36</v>
      </c>
      <c r="B19">
        <v>1477367.33</v>
      </c>
      <c r="C19">
        <v>0</v>
      </c>
      <c r="D19">
        <v>0</v>
      </c>
      <c r="E19">
        <v>1208732.4099999999</v>
      </c>
    </row>
    <row r="20" spans="1:5" x14ac:dyDescent="0.25">
      <c r="A20" t="s">
        <v>37</v>
      </c>
      <c r="B20">
        <v>938405</v>
      </c>
      <c r="C20">
        <v>0</v>
      </c>
      <c r="D20">
        <v>0</v>
      </c>
      <c r="E20">
        <v>727538</v>
      </c>
    </row>
    <row r="21" spans="1:5" x14ac:dyDescent="0.25">
      <c r="A21" t="s">
        <v>38</v>
      </c>
      <c r="B21">
        <v>0</v>
      </c>
      <c r="C21">
        <v>0</v>
      </c>
      <c r="D21">
        <v>0</v>
      </c>
      <c r="E21">
        <v>0</v>
      </c>
    </row>
    <row r="22" spans="1:5" x14ac:dyDescent="0.25">
      <c r="A22" t="s">
        <v>39</v>
      </c>
      <c r="B22">
        <v>37097484.740000002</v>
      </c>
      <c r="C22">
        <v>36074000</v>
      </c>
      <c r="D22">
        <v>36074000</v>
      </c>
      <c r="E22">
        <v>32708527.039999999</v>
      </c>
    </row>
    <row r="23" spans="1:5" x14ac:dyDescent="0.25">
      <c r="A23" t="s">
        <v>40</v>
      </c>
      <c r="B23">
        <v>-392507.46</v>
      </c>
      <c r="C23">
        <v>-120000</v>
      </c>
      <c r="D23">
        <v>-120000</v>
      </c>
      <c r="E23">
        <v>-2798064.38</v>
      </c>
    </row>
    <row r="24" spans="1:5" x14ac:dyDescent="0.25">
      <c r="A24" t="s">
        <v>41</v>
      </c>
    </row>
    <row r="25" spans="1:5" x14ac:dyDescent="0.25">
      <c r="A25" t="s">
        <v>42</v>
      </c>
      <c r="B25">
        <v>129988.26</v>
      </c>
      <c r="C25">
        <v>120000</v>
      </c>
      <c r="D25">
        <v>120000</v>
      </c>
      <c r="E25">
        <v>150199</v>
      </c>
    </row>
    <row r="26" spans="1:5" x14ac:dyDescent="0.25">
      <c r="A26" t="s">
        <v>43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t="s">
        <v>44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45</v>
      </c>
      <c r="B28">
        <v>129988.26</v>
      </c>
      <c r="C28">
        <v>120000</v>
      </c>
      <c r="D28">
        <v>120000</v>
      </c>
      <c r="E28">
        <v>150199</v>
      </c>
    </row>
    <row r="29" spans="1:5" x14ac:dyDescent="0.25">
      <c r="A29" t="s">
        <v>46</v>
      </c>
    </row>
    <row r="30" spans="1:5" x14ac:dyDescent="0.25">
      <c r="A30" t="s">
        <v>47</v>
      </c>
      <c r="B30">
        <v>5.19</v>
      </c>
      <c r="C30">
        <v>0</v>
      </c>
      <c r="D30">
        <v>0</v>
      </c>
      <c r="E30">
        <v>4.2</v>
      </c>
    </row>
    <row r="31" spans="1:5" x14ac:dyDescent="0.25">
      <c r="A31" t="s">
        <v>48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t="s">
        <v>49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t="s">
        <v>50</v>
      </c>
      <c r="B33">
        <v>0</v>
      </c>
      <c r="C33">
        <v>0</v>
      </c>
      <c r="D33">
        <v>0</v>
      </c>
      <c r="E33">
        <v>0</v>
      </c>
    </row>
    <row r="34" spans="1:5" x14ac:dyDescent="0.25">
      <c r="A34" t="s">
        <v>51</v>
      </c>
      <c r="B34">
        <v>5.19</v>
      </c>
      <c r="C34">
        <v>0</v>
      </c>
      <c r="D34">
        <v>0</v>
      </c>
      <c r="E34">
        <v>4.2</v>
      </c>
    </row>
    <row r="35" spans="1:5" x14ac:dyDescent="0.25">
      <c r="A35" t="s">
        <v>52</v>
      </c>
      <c r="B35">
        <v>129983.07</v>
      </c>
      <c r="C35">
        <v>120000</v>
      </c>
      <c r="D35">
        <v>120000</v>
      </c>
      <c r="E35">
        <v>150194.79999999999</v>
      </c>
    </row>
    <row r="36" spans="1:5" x14ac:dyDescent="0.25">
      <c r="A36" t="s">
        <v>53</v>
      </c>
      <c r="B36">
        <v>938405</v>
      </c>
      <c r="C36">
        <v>0</v>
      </c>
      <c r="D36">
        <v>0</v>
      </c>
      <c r="E36">
        <v>727538</v>
      </c>
    </row>
    <row r="37" spans="1:5" x14ac:dyDescent="0.25">
      <c r="A37" t="s">
        <v>54</v>
      </c>
      <c r="B37">
        <v>675880.61</v>
      </c>
      <c r="C37">
        <v>0</v>
      </c>
      <c r="D37">
        <v>0</v>
      </c>
      <c r="E37">
        <v>-1920331.58</v>
      </c>
    </row>
    <row r="38" spans="1:5" x14ac:dyDescent="0.25">
      <c r="A38" t="s">
        <v>55</v>
      </c>
    </row>
    <row r="39" spans="1:5" x14ac:dyDescent="0.25">
      <c r="A39" t="s">
        <v>56</v>
      </c>
      <c r="B39">
        <v>0</v>
      </c>
      <c r="C39">
        <v>0</v>
      </c>
      <c r="D39">
        <v>0</v>
      </c>
      <c r="E39">
        <v>0</v>
      </c>
    </row>
    <row r="40" spans="1:5" x14ac:dyDescent="0.25">
      <c r="A40" t="s">
        <v>57</v>
      </c>
      <c r="B40">
        <v>0</v>
      </c>
      <c r="C40">
        <v>0</v>
      </c>
      <c r="D40">
        <v>0</v>
      </c>
      <c r="E40">
        <v>931077.06</v>
      </c>
    </row>
    <row r="41" spans="1:5" x14ac:dyDescent="0.25">
      <c r="A41" t="s">
        <v>58</v>
      </c>
      <c r="B41">
        <v>172732</v>
      </c>
      <c r="C41">
        <v>0</v>
      </c>
      <c r="D41">
        <v>0</v>
      </c>
      <c r="E41">
        <v>469459.18</v>
      </c>
    </row>
    <row r="42" spans="1:5" x14ac:dyDescent="0.25">
      <c r="A42" t="s">
        <v>59</v>
      </c>
      <c r="B42">
        <v>172732</v>
      </c>
      <c r="C42">
        <v>0</v>
      </c>
      <c r="D42">
        <v>0</v>
      </c>
      <c r="E42">
        <v>1400536.24</v>
      </c>
    </row>
    <row r="43" spans="1:5" x14ac:dyDescent="0.25">
      <c r="A43" t="s">
        <v>60</v>
      </c>
      <c r="B43">
        <v>0</v>
      </c>
      <c r="C43">
        <v>0</v>
      </c>
      <c r="D43">
        <v>0</v>
      </c>
      <c r="E43">
        <v>0</v>
      </c>
    </row>
    <row r="44" spans="1:5" x14ac:dyDescent="0.25">
      <c r="A44" t="s">
        <v>61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t="s">
        <v>62</v>
      </c>
      <c r="B45">
        <v>0</v>
      </c>
      <c r="C45">
        <v>0</v>
      </c>
      <c r="D45">
        <v>0</v>
      </c>
      <c r="E45">
        <v>0</v>
      </c>
    </row>
    <row r="46" spans="1:5" x14ac:dyDescent="0.25">
      <c r="A46" t="s">
        <v>63</v>
      </c>
      <c r="B46">
        <v>0</v>
      </c>
      <c r="C46">
        <v>0</v>
      </c>
      <c r="D46">
        <v>0</v>
      </c>
      <c r="E46">
        <v>342131</v>
      </c>
    </row>
    <row r="47" spans="1:5" x14ac:dyDescent="0.25">
      <c r="A47" t="s">
        <v>64</v>
      </c>
      <c r="B47">
        <v>0</v>
      </c>
      <c r="C47">
        <v>0</v>
      </c>
      <c r="D47">
        <v>0</v>
      </c>
      <c r="E47">
        <v>342131</v>
      </c>
    </row>
    <row r="48" spans="1:5" x14ac:dyDescent="0.25">
      <c r="A48" t="s">
        <v>65</v>
      </c>
      <c r="B48">
        <v>848612.61</v>
      </c>
      <c r="C48">
        <v>0</v>
      </c>
      <c r="D48">
        <v>0</v>
      </c>
      <c r="E48">
        <v>-861926.34</v>
      </c>
    </row>
    <row r="49" spans="1:5" x14ac:dyDescent="0.25">
      <c r="A49" t="s">
        <v>18</v>
      </c>
    </row>
    <row r="50" spans="1:5" x14ac:dyDescent="0.25">
      <c r="A50" t="s">
        <v>66</v>
      </c>
      <c r="B50" t="s">
        <v>21</v>
      </c>
      <c r="C50" t="s">
        <v>152</v>
      </c>
      <c r="D50" t="s">
        <v>153</v>
      </c>
      <c r="E50" t="s">
        <v>154</v>
      </c>
    </row>
    <row r="51" spans="1:5" x14ac:dyDescent="0.25">
      <c r="A51" t="s">
        <v>67</v>
      </c>
    </row>
    <row r="52" spans="1:5" x14ac:dyDescent="0.25">
      <c r="A52" t="s">
        <v>68</v>
      </c>
      <c r="B52">
        <v>0</v>
      </c>
      <c r="C52">
        <v>0</v>
      </c>
      <c r="D52">
        <v>0</v>
      </c>
      <c r="E52">
        <v>0</v>
      </c>
    </row>
    <row r="53" spans="1:5" x14ac:dyDescent="0.25">
      <c r="A53" t="s">
        <v>69</v>
      </c>
      <c r="B53">
        <v>0</v>
      </c>
      <c r="C53">
        <v>0</v>
      </c>
      <c r="D53">
        <v>0</v>
      </c>
      <c r="E53">
        <v>0</v>
      </c>
    </row>
    <row r="54" spans="1:5" x14ac:dyDescent="0.25">
      <c r="A54" t="s">
        <v>23</v>
      </c>
      <c r="B54">
        <v>0</v>
      </c>
      <c r="C54">
        <v>0</v>
      </c>
      <c r="D54">
        <v>0</v>
      </c>
      <c r="E54">
        <v>0</v>
      </c>
    </row>
    <row r="55" spans="1:5" x14ac:dyDescent="0.25">
      <c r="A55" t="s">
        <v>70</v>
      </c>
      <c r="B55">
        <v>52455.5</v>
      </c>
      <c r="C55">
        <v>0</v>
      </c>
      <c r="D55">
        <v>0</v>
      </c>
      <c r="E55">
        <v>210266.73</v>
      </c>
    </row>
    <row r="56" spans="1:5" x14ac:dyDescent="0.25">
      <c r="A56" t="s">
        <v>71</v>
      </c>
      <c r="B56">
        <v>0</v>
      </c>
      <c r="C56">
        <v>0</v>
      </c>
      <c r="D56">
        <v>0</v>
      </c>
      <c r="E56">
        <v>0</v>
      </c>
    </row>
    <row r="57" spans="1:5" x14ac:dyDescent="0.25">
      <c r="A57" t="s">
        <v>26</v>
      </c>
      <c r="B57">
        <v>300000</v>
      </c>
      <c r="C57">
        <v>300000</v>
      </c>
      <c r="D57">
        <v>300000</v>
      </c>
      <c r="E57">
        <v>300000</v>
      </c>
    </row>
    <row r="58" spans="1:5" x14ac:dyDescent="0.25">
      <c r="A58" t="s">
        <v>42</v>
      </c>
      <c r="B58">
        <v>0</v>
      </c>
      <c r="C58">
        <v>0</v>
      </c>
      <c r="D58">
        <v>0</v>
      </c>
      <c r="E58">
        <v>0</v>
      </c>
    </row>
    <row r="59" spans="1:5" x14ac:dyDescent="0.25">
      <c r="A59" t="s">
        <v>73</v>
      </c>
      <c r="B59">
        <v>352455.5</v>
      </c>
      <c r="C59">
        <v>300000</v>
      </c>
      <c r="D59">
        <v>300000</v>
      </c>
      <c r="E59">
        <v>510266.73</v>
      </c>
    </row>
    <row r="60" spans="1:5" x14ac:dyDescent="0.25">
      <c r="A60" t="s">
        <v>74</v>
      </c>
    </row>
    <row r="61" spans="1:5" x14ac:dyDescent="0.25">
      <c r="A61" t="s">
        <v>32</v>
      </c>
      <c r="B61">
        <v>0</v>
      </c>
      <c r="C61">
        <v>0</v>
      </c>
      <c r="D61">
        <v>0</v>
      </c>
      <c r="E61">
        <v>0</v>
      </c>
    </row>
    <row r="62" spans="1:5" x14ac:dyDescent="0.25">
      <c r="A62" t="s">
        <v>33</v>
      </c>
      <c r="B62">
        <v>0</v>
      </c>
      <c r="C62">
        <v>0</v>
      </c>
      <c r="D62">
        <v>0</v>
      </c>
      <c r="E62">
        <v>0</v>
      </c>
    </row>
    <row r="63" spans="1:5" x14ac:dyDescent="0.25">
      <c r="A63" t="s">
        <v>34</v>
      </c>
      <c r="B63">
        <v>209822</v>
      </c>
      <c r="C63">
        <v>300000</v>
      </c>
      <c r="D63">
        <v>300000</v>
      </c>
      <c r="E63">
        <v>841066.91</v>
      </c>
    </row>
    <row r="64" spans="1:5" x14ac:dyDescent="0.25">
      <c r="A64" t="s">
        <v>35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t="s">
        <v>36</v>
      </c>
      <c r="B65">
        <v>52455.5</v>
      </c>
      <c r="C65">
        <v>0</v>
      </c>
      <c r="D65">
        <v>0</v>
      </c>
      <c r="E65">
        <v>210266.73</v>
      </c>
    </row>
    <row r="66" spans="1:5" x14ac:dyDescent="0.25">
      <c r="A66" t="s">
        <v>75</v>
      </c>
      <c r="B66">
        <v>0</v>
      </c>
      <c r="C66">
        <v>0</v>
      </c>
      <c r="D66">
        <v>0</v>
      </c>
      <c r="E66">
        <v>0</v>
      </c>
    </row>
    <row r="67" spans="1:5" x14ac:dyDescent="0.25">
      <c r="A67" t="s">
        <v>38</v>
      </c>
      <c r="B67">
        <v>0</v>
      </c>
      <c r="C67">
        <v>0</v>
      </c>
      <c r="D67">
        <v>0</v>
      </c>
      <c r="E67">
        <v>0</v>
      </c>
    </row>
    <row r="68" spans="1:5" x14ac:dyDescent="0.25">
      <c r="A68" t="s">
        <v>76</v>
      </c>
      <c r="B68">
        <v>262277.5</v>
      </c>
      <c r="C68">
        <v>300000</v>
      </c>
      <c r="D68">
        <v>300000</v>
      </c>
      <c r="E68">
        <v>1051333.6399999999</v>
      </c>
    </row>
    <row r="69" spans="1:5" x14ac:dyDescent="0.25">
      <c r="A69" t="s">
        <v>77</v>
      </c>
    </row>
    <row r="70" spans="1:5" x14ac:dyDescent="0.25">
      <c r="A70" t="s">
        <v>49</v>
      </c>
      <c r="B70">
        <v>0</v>
      </c>
      <c r="C70">
        <v>0</v>
      </c>
      <c r="D70">
        <v>0</v>
      </c>
      <c r="E70">
        <v>0</v>
      </c>
    </row>
    <row r="71" spans="1:5" x14ac:dyDescent="0.25">
      <c r="A71" t="s">
        <v>50</v>
      </c>
      <c r="B71">
        <v>0</v>
      </c>
      <c r="C71">
        <v>0</v>
      </c>
      <c r="D71">
        <v>0</v>
      </c>
      <c r="E71">
        <v>0</v>
      </c>
    </row>
    <row r="72" spans="1:5" x14ac:dyDescent="0.25">
      <c r="A72" t="s">
        <v>78</v>
      </c>
      <c r="B72">
        <v>0</v>
      </c>
      <c r="C72">
        <v>0</v>
      </c>
      <c r="D72">
        <v>0</v>
      </c>
      <c r="E72">
        <v>0</v>
      </c>
    </row>
    <row r="73" spans="1:5" x14ac:dyDescent="0.25">
      <c r="A73" t="s">
        <v>79</v>
      </c>
      <c r="B73">
        <v>0</v>
      </c>
      <c r="C73">
        <v>0</v>
      </c>
      <c r="D73">
        <v>0</v>
      </c>
      <c r="E73">
        <v>0</v>
      </c>
    </row>
    <row r="74" spans="1:5" x14ac:dyDescent="0.25">
      <c r="A74" t="s">
        <v>80</v>
      </c>
      <c r="B74">
        <v>0</v>
      </c>
      <c r="C74">
        <v>0</v>
      </c>
      <c r="D74">
        <v>0</v>
      </c>
      <c r="E74">
        <v>0</v>
      </c>
    </row>
    <row r="75" spans="1:5" x14ac:dyDescent="0.25">
      <c r="A75" t="s">
        <v>81</v>
      </c>
      <c r="B75">
        <v>0</v>
      </c>
      <c r="C75">
        <v>0</v>
      </c>
      <c r="D75">
        <v>0</v>
      </c>
      <c r="E75">
        <v>0</v>
      </c>
    </row>
    <row r="76" spans="1:5" x14ac:dyDescent="0.25">
      <c r="A76" t="s">
        <v>82</v>
      </c>
      <c r="B76">
        <v>0</v>
      </c>
      <c r="C76">
        <v>0</v>
      </c>
      <c r="D76">
        <v>0</v>
      </c>
      <c r="E76">
        <v>0</v>
      </c>
    </row>
    <row r="77" spans="1:5" x14ac:dyDescent="0.25">
      <c r="A77" t="s">
        <v>83</v>
      </c>
      <c r="B77">
        <v>-90178</v>
      </c>
      <c r="C77">
        <v>0</v>
      </c>
      <c r="D77">
        <v>0</v>
      </c>
      <c r="E77">
        <v>541066.91</v>
      </c>
    </row>
    <row r="78" spans="1:5" x14ac:dyDescent="0.25">
      <c r="A78" t="s">
        <v>84</v>
      </c>
    </row>
    <row r="79" spans="1:5" x14ac:dyDescent="0.25">
      <c r="A79" t="s">
        <v>85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t="s">
        <v>86</v>
      </c>
      <c r="B80">
        <v>0</v>
      </c>
      <c r="C80">
        <v>0</v>
      </c>
      <c r="D80">
        <v>0</v>
      </c>
      <c r="E80">
        <v>0</v>
      </c>
    </row>
    <row r="81" spans="1:5" x14ac:dyDescent="0.25">
      <c r="A81" t="s">
        <v>44</v>
      </c>
      <c r="B81">
        <v>0</v>
      </c>
      <c r="C81">
        <v>0</v>
      </c>
      <c r="D81">
        <v>0</v>
      </c>
      <c r="E81">
        <v>0</v>
      </c>
    </row>
    <row r="82" spans="1:5" x14ac:dyDescent="0.25">
      <c r="A82" t="s">
        <v>87</v>
      </c>
      <c r="B82">
        <v>0</v>
      </c>
      <c r="C82">
        <v>0</v>
      </c>
      <c r="D82">
        <v>0</v>
      </c>
      <c r="E82">
        <v>0</v>
      </c>
    </row>
    <row r="83" spans="1:5" x14ac:dyDescent="0.25">
      <c r="A83" t="s">
        <v>88</v>
      </c>
      <c r="B83">
        <v>0</v>
      </c>
      <c r="C83">
        <v>0</v>
      </c>
      <c r="D83">
        <v>0</v>
      </c>
      <c r="E83">
        <v>538481.66</v>
      </c>
    </row>
    <row r="84" spans="1:5" x14ac:dyDescent="0.25">
      <c r="A84" t="s">
        <v>57</v>
      </c>
      <c r="B84">
        <v>0</v>
      </c>
      <c r="C84">
        <v>0</v>
      </c>
      <c r="D84">
        <v>0</v>
      </c>
      <c r="E84">
        <v>0</v>
      </c>
    </row>
    <row r="85" spans="1:5" x14ac:dyDescent="0.25">
      <c r="A85" t="s">
        <v>89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t="s">
        <v>90</v>
      </c>
      <c r="B86">
        <v>0</v>
      </c>
      <c r="C86">
        <v>0</v>
      </c>
      <c r="D86">
        <v>0</v>
      </c>
      <c r="E86">
        <v>0</v>
      </c>
    </row>
    <row r="87" spans="1:5" x14ac:dyDescent="0.25">
      <c r="A87" t="s">
        <v>91</v>
      </c>
      <c r="B87">
        <v>0</v>
      </c>
      <c r="C87">
        <v>0</v>
      </c>
      <c r="D87">
        <v>0</v>
      </c>
      <c r="E87">
        <v>0</v>
      </c>
    </row>
    <row r="88" spans="1:5" x14ac:dyDescent="0.25">
      <c r="A88" t="s">
        <v>92</v>
      </c>
      <c r="B88">
        <v>0</v>
      </c>
      <c r="C88">
        <v>0</v>
      </c>
      <c r="D88">
        <v>0</v>
      </c>
      <c r="E88">
        <v>538481.66</v>
      </c>
    </row>
    <row r="89" spans="1:5" x14ac:dyDescent="0.25">
      <c r="A89" t="s">
        <v>93</v>
      </c>
      <c r="B89">
        <v>90178</v>
      </c>
      <c r="C89">
        <v>0</v>
      </c>
      <c r="D89">
        <v>0</v>
      </c>
      <c r="E89">
        <v>-2585.25</v>
      </c>
    </row>
    <row r="90" spans="1:5" x14ac:dyDescent="0.25">
      <c r="A90" t="s">
        <v>18</v>
      </c>
    </row>
    <row r="91" spans="1:5" x14ac:dyDescent="0.25">
      <c r="A91" t="s">
        <v>94</v>
      </c>
      <c r="B91" t="s">
        <v>262</v>
      </c>
      <c r="C91" t="s">
        <v>249</v>
      </c>
    </row>
    <row r="92" spans="1:5" x14ac:dyDescent="0.25">
      <c r="A92" t="s">
        <v>95</v>
      </c>
    </row>
    <row r="93" spans="1:5" x14ac:dyDescent="0.25">
      <c r="A93" t="s">
        <v>97</v>
      </c>
      <c r="B93">
        <v>16562620.77</v>
      </c>
      <c r="C93">
        <v>15108982.77</v>
      </c>
    </row>
    <row r="94" spans="1:5" x14ac:dyDescent="0.25">
      <c r="A94" t="s">
        <v>98</v>
      </c>
    </row>
    <row r="95" spans="1:5" x14ac:dyDescent="0.25">
      <c r="A95" t="s">
        <v>99</v>
      </c>
      <c r="B95">
        <v>1517090.77</v>
      </c>
      <c r="C95">
        <v>2193217.77</v>
      </c>
    </row>
    <row r="96" spans="1:5" x14ac:dyDescent="0.25">
      <c r="A96" t="s">
        <v>100</v>
      </c>
      <c r="B96">
        <v>0</v>
      </c>
      <c r="C96">
        <v>0</v>
      </c>
    </row>
    <row r="97" spans="1:3" x14ac:dyDescent="0.25">
      <c r="A97" t="s">
        <v>50</v>
      </c>
      <c r="B97">
        <v>0</v>
      </c>
      <c r="C97">
        <v>0</v>
      </c>
    </row>
    <row r="98" spans="1:3" x14ac:dyDescent="0.25">
      <c r="A98" t="s">
        <v>101</v>
      </c>
      <c r="B98">
        <v>0</v>
      </c>
      <c r="C98">
        <v>0</v>
      </c>
    </row>
    <row r="99" spans="1:3" x14ac:dyDescent="0.25">
      <c r="A99" t="s">
        <v>102</v>
      </c>
      <c r="B99">
        <v>63000</v>
      </c>
      <c r="C99">
        <v>63000</v>
      </c>
    </row>
    <row r="100" spans="1:3" x14ac:dyDescent="0.25">
      <c r="A100" t="s">
        <v>103</v>
      </c>
      <c r="B100">
        <v>14982530</v>
      </c>
      <c r="C100">
        <v>12852765</v>
      </c>
    </row>
    <row r="101" spans="1:3" x14ac:dyDescent="0.25">
      <c r="A101" t="s">
        <v>104</v>
      </c>
      <c r="B101">
        <v>5229955.82</v>
      </c>
      <c r="C101">
        <v>7068335.3799999999</v>
      </c>
    </row>
    <row r="102" spans="1:3" x14ac:dyDescent="0.25">
      <c r="A102" t="s">
        <v>98</v>
      </c>
    </row>
    <row r="103" spans="1:3" x14ac:dyDescent="0.25">
      <c r="A103" t="s">
        <v>105</v>
      </c>
      <c r="B103">
        <v>861752.7</v>
      </c>
      <c r="C103">
        <v>941320.87</v>
      </c>
    </row>
    <row r="104" spans="1:3" x14ac:dyDescent="0.25">
      <c r="A104" t="s">
        <v>106</v>
      </c>
      <c r="B104">
        <v>0</v>
      </c>
      <c r="C104">
        <v>8170</v>
      </c>
    </row>
    <row r="105" spans="1:3" x14ac:dyDescent="0.25">
      <c r="A105" t="s">
        <v>107</v>
      </c>
      <c r="B105">
        <v>9351</v>
      </c>
      <c r="C105">
        <v>93687</v>
      </c>
    </row>
    <row r="106" spans="1:3" x14ac:dyDescent="0.25">
      <c r="A106" t="s">
        <v>102</v>
      </c>
      <c r="B106">
        <v>0</v>
      </c>
      <c r="C106">
        <v>0</v>
      </c>
    </row>
    <row r="107" spans="1:3" x14ac:dyDescent="0.25">
      <c r="A107" t="s">
        <v>110</v>
      </c>
      <c r="B107">
        <v>0</v>
      </c>
      <c r="C107">
        <v>0</v>
      </c>
    </row>
    <row r="108" spans="1:3" x14ac:dyDescent="0.25">
      <c r="A108" t="s">
        <v>111</v>
      </c>
      <c r="B108">
        <v>0</v>
      </c>
      <c r="C108">
        <v>0</v>
      </c>
    </row>
    <row r="109" spans="1:3" x14ac:dyDescent="0.25">
      <c r="A109" t="s">
        <v>112</v>
      </c>
      <c r="B109">
        <v>0</v>
      </c>
      <c r="C109">
        <v>0</v>
      </c>
    </row>
    <row r="110" spans="1:3" x14ac:dyDescent="0.25">
      <c r="A110" t="s">
        <v>113</v>
      </c>
      <c r="B110">
        <v>4358852.12</v>
      </c>
      <c r="C110">
        <v>6025157.5099999998</v>
      </c>
    </row>
    <row r="111" spans="1:3" x14ac:dyDescent="0.25">
      <c r="A111" t="s">
        <v>114</v>
      </c>
      <c r="B111">
        <v>21792576.59</v>
      </c>
      <c r="C111">
        <v>22177318.149999999</v>
      </c>
    </row>
    <row r="112" spans="1:3" x14ac:dyDescent="0.25">
      <c r="A112" t="s">
        <v>115</v>
      </c>
    </row>
    <row r="113" spans="1:3" x14ac:dyDescent="0.25">
      <c r="A113" t="s">
        <v>116</v>
      </c>
      <c r="B113">
        <v>2468770.79</v>
      </c>
      <c r="C113">
        <v>2039509.18</v>
      </c>
    </row>
    <row r="114" spans="1:3" x14ac:dyDescent="0.25">
      <c r="A114" t="s">
        <v>98</v>
      </c>
    </row>
    <row r="115" spans="1:3" x14ac:dyDescent="0.25">
      <c r="A115" t="s">
        <v>117</v>
      </c>
      <c r="B115">
        <v>0</v>
      </c>
      <c r="C115">
        <v>0</v>
      </c>
    </row>
    <row r="116" spans="1:3" x14ac:dyDescent="0.25">
      <c r="A116" t="s">
        <v>119</v>
      </c>
      <c r="B116">
        <v>389900</v>
      </c>
      <c r="C116">
        <v>562632</v>
      </c>
    </row>
    <row r="117" spans="1:3" x14ac:dyDescent="0.25">
      <c r="A117" t="s">
        <v>120</v>
      </c>
      <c r="B117">
        <v>0</v>
      </c>
      <c r="C117">
        <v>0</v>
      </c>
    </row>
    <row r="118" spans="1:3" x14ac:dyDescent="0.25">
      <c r="A118" t="s">
        <v>121</v>
      </c>
      <c r="B118">
        <v>0</v>
      </c>
      <c r="C118">
        <v>0</v>
      </c>
    </row>
    <row r="119" spans="1:3" x14ac:dyDescent="0.25">
      <c r="A119" t="s">
        <v>122</v>
      </c>
      <c r="B119">
        <v>0</v>
      </c>
      <c r="C119">
        <v>0</v>
      </c>
    </row>
    <row r="120" spans="1:3" x14ac:dyDescent="0.25">
      <c r="A120" t="s">
        <v>124</v>
      </c>
      <c r="B120">
        <v>-13313.73</v>
      </c>
      <c r="C120">
        <v>-864511.59</v>
      </c>
    </row>
    <row r="121" spans="1:3" x14ac:dyDescent="0.25">
      <c r="A121" t="s">
        <v>125</v>
      </c>
      <c r="B121">
        <v>87592.75</v>
      </c>
      <c r="C121">
        <v>0</v>
      </c>
    </row>
    <row r="122" spans="1:3" x14ac:dyDescent="0.25">
      <c r="A122" t="s">
        <v>126</v>
      </c>
      <c r="B122">
        <v>0</v>
      </c>
      <c r="C122">
        <v>0</v>
      </c>
    </row>
    <row r="123" spans="1:3" x14ac:dyDescent="0.25">
      <c r="A123" t="s">
        <v>128</v>
      </c>
      <c r="B123">
        <v>2004591.77</v>
      </c>
      <c r="C123">
        <v>2341388.77</v>
      </c>
    </row>
    <row r="124" spans="1:3" x14ac:dyDescent="0.25">
      <c r="A124" t="s">
        <v>129</v>
      </c>
      <c r="B124">
        <v>0</v>
      </c>
      <c r="C124">
        <v>0</v>
      </c>
    </row>
    <row r="125" spans="1:3" x14ac:dyDescent="0.25">
      <c r="A125" t="s">
        <v>130</v>
      </c>
      <c r="B125">
        <v>0</v>
      </c>
      <c r="C125">
        <v>0</v>
      </c>
    </row>
    <row r="126" spans="1:3" x14ac:dyDescent="0.25">
      <c r="A126" t="s">
        <v>131</v>
      </c>
      <c r="B126">
        <v>14558029</v>
      </c>
      <c r="C126">
        <v>12767594</v>
      </c>
    </row>
    <row r="127" spans="1:3" x14ac:dyDescent="0.25">
      <c r="A127" t="s">
        <v>98</v>
      </c>
    </row>
    <row r="128" spans="1:3" x14ac:dyDescent="0.25">
      <c r="A128" t="s">
        <v>132</v>
      </c>
      <c r="B128">
        <v>14558029</v>
      </c>
      <c r="C128">
        <v>12767594</v>
      </c>
    </row>
    <row r="129" spans="1:3" x14ac:dyDescent="0.25">
      <c r="A129" t="s">
        <v>133</v>
      </c>
      <c r="B129">
        <v>0</v>
      </c>
      <c r="C129">
        <v>0</v>
      </c>
    </row>
    <row r="130" spans="1:3" x14ac:dyDescent="0.25">
      <c r="A130" t="s">
        <v>134</v>
      </c>
      <c r="B130">
        <v>0</v>
      </c>
      <c r="C130">
        <v>0</v>
      </c>
    </row>
    <row r="131" spans="1:3" x14ac:dyDescent="0.25">
      <c r="A131" t="s">
        <v>135</v>
      </c>
      <c r="B131">
        <v>0</v>
      </c>
      <c r="C131">
        <v>0</v>
      </c>
    </row>
    <row r="132" spans="1:3" x14ac:dyDescent="0.25">
      <c r="A132" t="s">
        <v>136</v>
      </c>
      <c r="B132">
        <v>0</v>
      </c>
      <c r="C132">
        <v>0</v>
      </c>
    </row>
    <row r="133" spans="1:3" x14ac:dyDescent="0.25">
      <c r="A133" t="s">
        <v>137</v>
      </c>
      <c r="B133">
        <v>4765776.8</v>
      </c>
      <c r="C133">
        <v>7370214.9699999997</v>
      </c>
    </row>
    <row r="134" spans="1:3" x14ac:dyDescent="0.25">
      <c r="A134" t="s">
        <v>98</v>
      </c>
    </row>
    <row r="135" spans="1:3" x14ac:dyDescent="0.25">
      <c r="A135" t="s">
        <v>138</v>
      </c>
      <c r="B135">
        <v>0</v>
      </c>
      <c r="C135">
        <v>0</v>
      </c>
    </row>
    <row r="136" spans="1:3" x14ac:dyDescent="0.25">
      <c r="A136" t="s">
        <v>140</v>
      </c>
      <c r="B136">
        <v>4765776.8</v>
      </c>
      <c r="C136">
        <v>7370214.9699999997</v>
      </c>
    </row>
    <row r="137" spans="1:3" x14ac:dyDescent="0.25">
      <c r="A137" t="s">
        <v>112</v>
      </c>
      <c r="B137">
        <v>0</v>
      </c>
      <c r="C137">
        <v>0</v>
      </c>
    </row>
    <row r="138" spans="1:3" x14ac:dyDescent="0.25">
      <c r="A138" t="s">
        <v>142</v>
      </c>
      <c r="B138">
        <v>0</v>
      </c>
      <c r="C138">
        <v>0</v>
      </c>
    </row>
    <row r="139" spans="1:3" x14ac:dyDescent="0.25">
      <c r="A139" t="s">
        <v>107</v>
      </c>
      <c r="B139">
        <v>0</v>
      </c>
      <c r="C139">
        <v>0</v>
      </c>
    </row>
    <row r="140" spans="1:3" x14ac:dyDescent="0.25">
      <c r="A140" t="s">
        <v>143</v>
      </c>
      <c r="B140">
        <v>21792576.59</v>
      </c>
      <c r="C140">
        <v>22177318.149999999</v>
      </c>
    </row>
    <row r="141" spans="1:3" x14ac:dyDescent="0.25">
      <c r="A141" t="s">
        <v>144</v>
      </c>
    </row>
    <row r="142" spans="1:3" x14ac:dyDescent="0.25">
      <c r="A142" t="s">
        <v>145</v>
      </c>
      <c r="B142">
        <v>0</v>
      </c>
      <c r="C142">
        <v>0</v>
      </c>
    </row>
    <row r="143" spans="1:3" x14ac:dyDescent="0.25">
      <c r="A143" t="s">
        <v>98</v>
      </c>
    </row>
    <row r="144" spans="1:3" x14ac:dyDescent="0.25">
      <c r="A144" t="s">
        <v>147</v>
      </c>
      <c r="B144">
        <v>0</v>
      </c>
      <c r="C144">
        <v>0</v>
      </c>
    </row>
    <row r="145" spans="1:3" x14ac:dyDescent="0.25">
      <c r="A145" t="s">
        <v>148</v>
      </c>
      <c r="B145">
        <v>0</v>
      </c>
      <c r="C145">
        <v>0</v>
      </c>
    </row>
    <row r="146" spans="1:3" x14ac:dyDescent="0.25">
      <c r="A146" t="s">
        <v>149</v>
      </c>
      <c r="B146">
        <v>0</v>
      </c>
      <c r="C146">
        <v>0</v>
      </c>
    </row>
    <row r="147" spans="1:3" x14ac:dyDescent="0.25">
      <c r="A147" t="s">
        <v>150</v>
      </c>
      <c r="B147">
        <v>0</v>
      </c>
      <c r="C14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36"/>
  <sheetViews>
    <sheetView topLeftCell="A29" workbookViewId="0">
      <selection activeCell="Q78" sqref="Q78"/>
    </sheetView>
  </sheetViews>
  <sheetFormatPr baseColWidth="10" defaultRowHeight="15" x14ac:dyDescent="0.25"/>
  <cols>
    <col min="1" max="1" width="18.28515625" customWidth="1"/>
    <col min="2" max="2" width="16.85546875" customWidth="1"/>
    <col min="3" max="3" width="7.28515625" customWidth="1"/>
    <col min="4" max="4" width="13.85546875" bestFit="1" customWidth="1"/>
    <col min="5" max="5" width="12.85546875" bestFit="1" customWidth="1"/>
    <col min="6" max="7" width="12" hidden="1" customWidth="1"/>
    <col min="8" max="8" width="12.28515625" bestFit="1" customWidth="1"/>
    <col min="9" max="9" width="13.28515625" bestFit="1" customWidth="1"/>
    <col min="10" max="10" width="12" bestFit="1" customWidth="1"/>
  </cols>
  <sheetData>
    <row r="1" spans="1:8" ht="14.25" customHeight="1" x14ac:dyDescent="0.25">
      <c r="A1" s="156" t="s">
        <v>155</v>
      </c>
      <c r="C1" s="35"/>
      <c r="D1" s="181" t="s">
        <v>261</v>
      </c>
      <c r="E1" s="35"/>
      <c r="F1" s="35"/>
    </row>
    <row r="2" spans="1:8" ht="14.25" customHeight="1" x14ac:dyDescent="0.25">
      <c r="A2" s="36"/>
      <c r="C2" s="35"/>
      <c r="D2" s="35"/>
      <c r="E2" s="35"/>
      <c r="F2" s="35"/>
    </row>
    <row r="3" spans="1:8" ht="14.25" customHeight="1" x14ac:dyDescent="0.25">
      <c r="A3" s="103" t="s">
        <v>156</v>
      </c>
      <c r="B3" s="103"/>
      <c r="C3" s="37"/>
      <c r="D3" s="37"/>
      <c r="E3" s="37"/>
      <c r="F3" s="37"/>
    </row>
    <row r="4" spans="1:8" ht="14.25" customHeight="1" x14ac:dyDescent="0.25">
      <c r="A4" s="180">
        <v>43465</v>
      </c>
      <c r="C4" s="35"/>
      <c r="D4" s="38"/>
      <c r="E4" s="35"/>
      <c r="F4" s="35"/>
    </row>
    <row r="5" spans="1:8" ht="14.25" customHeight="1" x14ac:dyDescent="0.25">
      <c r="A5" s="39"/>
      <c r="B5" s="40"/>
      <c r="C5" s="41"/>
      <c r="D5" s="41"/>
      <c r="E5" s="35"/>
      <c r="F5" s="41"/>
    </row>
    <row r="6" spans="1:8" ht="14.25" customHeight="1" x14ac:dyDescent="0.25">
      <c r="C6" s="50"/>
      <c r="D6" s="50" t="s">
        <v>21</v>
      </c>
      <c r="E6" s="43" t="s">
        <v>158</v>
      </c>
      <c r="F6" s="44" t="s">
        <v>159</v>
      </c>
      <c r="G6" s="45" t="s">
        <v>159</v>
      </c>
      <c r="H6" s="169" t="s">
        <v>157</v>
      </c>
    </row>
    <row r="7" spans="1:8" s="48" customFormat="1" x14ac:dyDescent="0.25">
      <c r="A7" s="161"/>
      <c r="B7" s="161"/>
      <c r="C7" s="162" t="s">
        <v>109</v>
      </c>
      <c r="D7" s="162" t="s">
        <v>269</v>
      </c>
      <c r="E7" s="46" t="s">
        <v>270</v>
      </c>
      <c r="F7" s="47" t="s">
        <v>160</v>
      </c>
      <c r="G7" s="47" t="s">
        <v>161</v>
      </c>
      <c r="H7" s="162" t="s">
        <v>254</v>
      </c>
    </row>
    <row r="8" spans="1:8" x14ac:dyDescent="0.25">
      <c r="A8" s="36"/>
      <c r="F8" s="49"/>
    </row>
    <row r="9" spans="1:8" x14ac:dyDescent="0.25">
      <c r="A9" s="50" t="s">
        <v>162</v>
      </c>
      <c r="D9" s="49"/>
      <c r="F9" s="35"/>
    </row>
    <row r="10" spans="1:8" x14ac:dyDescent="0.25">
      <c r="A10" s="36"/>
      <c r="D10" s="49"/>
      <c r="F10" s="35"/>
      <c r="G10" s="49"/>
    </row>
    <row r="11" spans="1:8" x14ac:dyDescent="0.25">
      <c r="A11" s="36" t="s">
        <v>163</v>
      </c>
      <c r="B11" s="36"/>
      <c r="C11" s="42">
        <v>1</v>
      </c>
      <c r="D11" s="163">
        <v>78763213</v>
      </c>
      <c r="E11" s="49"/>
      <c r="F11" s="51">
        <v>105729069</v>
      </c>
      <c r="G11" s="49">
        <v>64834646</v>
      </c>
      <c r="H11" s="163">
        <v>253504791</v>
      </c>
    </row>
    <row r="12" spans="1:8" x14ac:dyDescent="0.25">
      <c r="A12" s="39" t="s">
        <v>164</v>
      </c>
      <c r="B12" s="40"/>
      <c r="C12" s="52"/>
      <c r="D12" s="164">
        <v>4465279</v>
      </c>
      <c r="E12" s="53"/>
      <c r="F12" s="54">
        <v>1942</v>
      </c>
      <c r="G12" s="49"/>
      <c r="H12" s="164">
        <v>3751675</v>
      </c>
    </row>
    <row r="13" spans="1:8" x14ac:dyDescent="0.25">
      <c r="A13" s="55" t="s">
        <v>165</v>
      </c>
      <c r="B13" s="40"/>
      <c r="C13" s="52"/>
      <c r="D13" s="68">
        <f>SUM(D11:D12)</f>
        <v>83228492</v>
      </c>
      <c r="E13" s="56">
        <f>SUM(E11:E12)</f>
        <v>0</v>
      </c>
      <c r="F13" s="56">
        <f>SUM(F11:F12)</f>
        <v>105731011</v>
      </c>
      <c r="G13" s="57">
        <f>SUM(G11:G12)</f>
        <v>64834646</v>
      </c>
      <c r="H13" s="68">
        <f>SUM(H11:H12)</f>
        <v>257256466</v>
      </c>
    </row>
    <row r="14" spans="1:8" x14ac:dyDescent="0.25">
      <c r="A14" s="50"/>
      <c r="C14" s="42"/>
      <c r="D14" s="163"/>
      <c r="E14" s="49"/>
      <c r="F14" s="35"/>
      <c r="G14" s="49"/>
      <c r="H14" s="163"/>
    </row>
    <row r="15" spans="1:8" x14ac:dyDescent="0.25">
      <c r="A15" s="50" t="s">
        <v>166</v>
      </c>
      <c r="C15" s="42"/>
      <c r="D15" s="163"/>
      <c r="E15" s="49"/>
      <c r="F15" s="35"/>
      <c r="G15" s="49"/>
      <c r="H15" s="163"/>
    </row>
    <row r="16" spans="1:8" x14ac:dyDescent="0.25">
      <c r="A16" s="50"/>
      <c r="C16" s="42"/>
      <c r="D16" s="163"/>
      <c r="E16" s="49"/>
      <c r="F16" s="35"/>
      <c r="G16" s="49"/>
      <c r="H16" s="163"/>
    </row>
    <row r="17" spans="1:12" x14ac:dyDescent="0.25">
      <c r="A17" s="36" t="s">
        <v>167</v>
      </c>
      <c r="B17" s="36"/>
      <c r="C17" s="42"/>
      <c r="D17" s="163">
        <v>10383244</v>
      </c>
      <c r="E17" s="49"/>
      <c r="F17" s="51">
        <f>2830259+3381</f>
        <v>2833640</v>
      </c>
      <c r="G17" s="49">
        <v>948509</v>
      </c>
      <c r="H17" s="163">
        <v>10332990</v>
      </c>
      <c r="J17" s="58">
        <f>D21</f>
        <v>7366167</v>
      </c>
      <c r="K17" s="58">
        <f>J17/1000</f>
        <v>7366.1670000000004</v>
      </c>
    </row>
    <row r="18" spans="1:12" x14ac:dyDescent="0.25">
      <c r="A18" s="36" t="s">
        <v>168</v>
      </c>
      <c r="B18" s="36"/>
      <c r="C18" s="42">
        <v>1</v>
      </c>
      <c r="D18" s="163">
        <v>63359867</v>
      </c>
      <c r="E18" s="49"/>
      <c r="F18" s="51">
        <v>64131465</v>
      </c>
      <c r="G18" s="49">
        <v>39083057</v>
      </c>
      <c r="H18" s="163">
        <f>223479793</f>
        <v>223479793</v>
      </c>
      <c r="I18" s="58">
        <f>D17+D18</f>
        <v>73743111</v>
      </c>
      <c r="J18" s="58">
        <f>I18-D11</f>
        <v>-5020102</v>
      </c>
      <c r="K18" s="58">
        <f>J18/1000</f>
        <v>-5020.1019999999999</v>
      </c>
      <c r="L18" s="58">
        <v>20101</v>
      </c>
    </row>
    <row r="19" spans="1:12" x14ac:dyDescent="0.25">
      <c r="A19" s="36" t="s">
        <v>37</v>
      </c>
      <c r="B19" s="36"/>
      <c r="C19" s="42">
        <v>10</v>
      </c>
      <c r="D19" s="163">
        <v>99000</v>
      </c>
      <c r="E19" s="49"/>
      <c r="F19" s="51"/>
      <c r="G19" s="49"/>
      <c r="H19" s="163">
        <v>99000</v>
      </c>
      <c r="K19" s="58"/>
      <c r="L19" s="58">
        <f>K17-L18</f>
        <v>-12734.832999999999</v>
      </c>
    </row>
    <row r="20" spans="1:12" x14ac:dyDescent="0.25">
      <c r="A20" s="36" t="s">
        <v>255</v>
      </c>
      <c r="B20" s="36"/>
      <c r="C20" s="42">
        <v>10</v>
      </c>
      <c r="D20" s="163">
        <v>0</v>
      </c>
      <c r="E20" s="49"/>
      <c r="F20" s="54">
        <f>1375821-10000</f>
        <v>1365821</v>
      </c>
      <c r="G20" s="49">
        <v>732544</v>
      </c>
      <c r="H20" s="163">
        <f>169238-99000</f>
        <v>70238</v>
      </c>
    </row>
    <row r="21" spans="1:12" x14ac:dyDescent="0.25">
      <c r="A21" s="39" t="s">
        <v>169</v>
      </c>
      <c r="B21" s="40"/>
      <c r="C21" s="40"/>
      <c r="D21" s="53">
        <v>7366167</v>
      </c>
      <c r="E21" s="40"/>
      <c r="F21" s="56">
        <f>SUM(F17:F20)</f>
        <v>68330926</v>
      </c>
      <c r="G21" s="57">
        <f>SUM(G17:G20)</f>
        <v>40764110</v>
      </c>
      <c r="H21" s="53">
        <v>7655241</v>
      </c>
    </row>
    <row r="22" spans="1:12" x14ac:dyDescent="0.25">
      <c r="A22" s="55" t="s">
        <v>170</v>
      </c>
      <c r="B22" s="40"/>
      <c r="C22" s="40"/>
      <c r="D22" s="165">
        <f>SUM(D17:D21)</f>
        <v>81208278</v>
      </c>
      <c r="E22" s="56">
        <f>SUM(E17:E21)</f>
        <v>0</v>
      </c>
      <c r="F22" s="41"/>
      <c r="G22" s="49"/>
      <c r="H22" s="165">
        <f>SUM(H17:H21)</f>
        <v>241637262</v>
      </c>
    </row>
    <row r="23" spans="1:12" x14ac:dyDescent="0.25">
      <c r="A23" s="55"/>
      <c r="B23" s="40"/>
      <c r="C23" s="40"/>
      <c r="D23" s="53"/>
      <c r="F23" s="56">
        <f>F13-F21</f>
        <v>37400085</v>
      </c>
      <c r="G23" s="57">
        <f>G13-G21</f>
        <v>24070536</v>
      </c>
      <c r="H23" s="53"/>
    </row>
    <row r="24" spans="1:12" x14ac:dyDescent="0.25">
      <c r="A24" s="55" t="s">
        <v>171</v>
      </c>
      <c r="B24" s="40"/>
      <c r="C24" s="40"/>
      <c r="D24" s="165">
        <f>D13-D22</f>
        <v>2020214</v>
      </c>
      <c r="E24" s="57">
        <f>E13-E22</f>
        <v>0</v>
      </c>
      <c r="F24" s="35"/>
      <c r="G24" s="49"/>
      <c r="H24" s="165">
        <f>H13-H22</f>
        <v>15619204</v>
      </c>
    </row>
    <row r="25" spans="1:12" x14ac:dyDescent="0.25">
      <c r="A25" s="50" t="s">
        <v>172</v>
      </c>
      <c r="D25" s="49"/>
      <c r="E25" s="49"/>
      <c r="F25" s="35"/>
      <c r="G25" s="49"/>
      <c r="H25" s="49"/>
    </row>
    <row r="26" spans="1:12" x14ac:dyDescent="0.25">
      <c r="A26" s="50"/>
      <c r="D26" s="49"/>
      <c r="E26" s="49"/>
      <c r="F26" s="35"/>
      <c r="G26" s="49"/>
      <c r="H26" s="49"/>
    </row>
    <row r="27" spans="1:12" x14ac:dyDescent="0.25">
      <c r="A27" s="36" t="s">
        <v>173</v>
      </c>
      <c r="D27" s="49">
        <v>4877643</v>
      </c>
      <c r="E27" s="49"/>
      <c r="F27" s="51">
        <v>181205</v>
      </c>
      <c r="G27" s="49">
        <v>1119216</v>
      </c>
      <c r="H27" s="49">
        <v>4224875</v>
      </c>
    </row>
    <row r="28" spans="1:12" x14ac:dyDescent="0.25">
      <c r="A28" s="36" t="s">
        <v>271</v>
      </c>
      <c r="D28" s="49">
        <v>4662984</v>
      </c>
      <c r="E28" s="49"/>
      <c r="F28" s="51"/>
      <c r="G28" s="49"/>
      <c r="H28" s="49"/>
    </row>
    <row r="29" spans="1:12" x14ac:dyDescent="0.25">
      <c r="A29" s="36" t="s">
        <v>174</v>
      </c>
      <c r="C29" s="42"/>
      <c r="D29" s="163">
        <v>0</v>
      </c>
      <c r="E29" s="49"/>
      <c r="F29" s="51"/>
      <c r="G29" s="49"/>
      <c r="H29" s="163">
        <v>7200000</v>
      </c>
    </row>
    <row r="30" spans="1:12" x14ac:dyDescent="0.25">
      <c r="A30" s="36" t="s">
        <v>175</v>
      </c>
      <c r="D30" s="49">
        <v>4388661.5999999996</v>
      </c>
      <c r="E30" s="49"/>
      <c r="F30" s="51"/>
      <c r="G30" s="49"/>
      <c r="H30" s="49">
        <v>4548193</v>
      </c>
    </row>
    <row r="31" spans="1:12" x14ac:dyDescent="0.25">
      <c r="A31" s="39" t="s">
        <v>256</v>
      </c>
      <c r="B31" s="40"/>
      <c r="C31" s="40"/>
      <c r="D31" s="49">
        <v>0</v>
      </c>
      <c r="E31" s="53"/>
      <c r="F31" s="35">
        <f>1742436+1435616+330234+70079</f>
        <v>3578365</v>
      </c>
      <c r="G31" s="49">
        <v>316858</v>
      </c>
      <c r="H31" s="49">
        <v>14299401</v>
      </c>
    </row>
    <row r="32" spans="1:12" x14ac:dyDescent="0.25">
      <c r="A32" s="55" t="s">
        <v>176</v>
      </c>
      <c r="B32" s="55"/>
      <c r="C32" s="40"/>
      <c r="D32" s="166">
        <f>D27+D28+D29-D30-D31</f>
        <v>5151965.4000000004</v>
      </c>
      <c r="E32" s="56">
        <f>E27-E31</f>
        <v>0</v>
      </c>
      <c r="F32" s="56" t="e">
        <f>-F27+F31+#REF!</f>
        <v>#REF!</v>
      </c>
      <c r="G32" s="57" t="e">
        <f>G27-G31-#REF!</f>
        <v>#REF!</v>
      </c>
      <c r="H32" s="166">
        <f>H27+H29-H30-H31</f>
        <v>-7422719</v>
      </c>
    </row>
    <row r="33" spans="1:8" x14ac:dyDescent="0.25">
      <c r="A33" s="36"/>
      <c r="D33" s="167"/>
      <c r="F33" s="35"/>
      <c r="G33" s="49"/>
      <c r="H33" s="167"/>
    </row>
    <row r="34" spans="1:8" x14ac:dyDescent="0.25">
      <c r="A34" s="36" t="s">
        <v>177</v>
      </c>
      <c r="D34" s="168">
        <v>0</v>
      </c>
      <c r="E34" s="49"/>
      <c r="F34" s="35"/>
      <c r="G34" s="49"/>
      <c r="H34" s="49">
        <v>0</v>
      </c>
    </row>
    <row r="35" spans="1:8" x14ac:dyDescent="0.25">
      <c r="A35" s="36" t="s">
        <v>57</v>
      </c>
      <c r="D35" s="168">
        <v>0</v>
      </c>
      <c r="E35" s="49"/>
      <c r="F35" s="35"/>
      <c r="G35" s="49"/>
      <c r="H35" s="49">
        <v>0</v>
      </c>
    </row>
    <row r="36" spans="1:8" x14ac:dyDescent="0.25">
      <c r="A36" s="39" t="s">
        <v>178</v>
      </c>
      <c r="B36" s="40"/>
      <c r="C36" s="40"/>
      <c r="D36" s="53">
        <v>-4388661.5999999996</v>
      </c>
      <c r="E36" s="53"/>
      <c r="F36" s="54">
        <f>F31</f>
        <v>3578365</v>
      </c>
      <c r="G36" s="53"/>
      <c r="H36" s="53">
        <v>-4548193</v>
      </c>
    </row>
    <row r="37" spans="1:8" x14ac:dyDescent="0.25">
      <c r="D37" s="49">
        <f>SUM(D34:D36)</f>
        <v>-4388661.5999999996</v>
      </c>
      <c r="E37" s="49">
        <f>SUM(E36)</f>
        <v>0</v>
      </c>
      <c r="H37" s="49">
        <f>H36</f>
        <v>-4548193</v>
      </c>
    </row>
    <row r="38" spans="1:8" x14ac:dyDescent="0.25">
      <c r="D38" s="49"/>
      <c r="H38" s="49"/>
    </row>
    <row r="39" spans="1:8" x14ac:dyDescent="0.25">
      <c r="A39" s="59" t="s">
        <v>179</v>
      </c>
      <c r="B39" s="60"/>
      <c r="C39" s="60"/>
      <c r="D39" s="166">
        <f>D24+D32-D37</f>
        <v>11560841</v>
      </c>
      <c r="E39" s="57">
        <f>E24+E27-E31+E36</f>
        <v>0</v>
      </c>
      <c r="F39" s="57" t="e">
        <f>F23+F27-#REF!</f>
        <v>#REF!</v>
      </c>
      <c r="G39" s="57" t="e">
        <f>G23+G32</f>
        <v>#REF!</v>
      </c>
      <c r="H39" s="166">
        <f>H24+H32-H36</f>
        <v>12744678</v>
      </c>
    </row>
    <row r="40" spans="1:8" x14ac:dyDescent="0.25">
      <c r="F40" s="49"/>
      <c r="G40" s="49"/>
    </row>
    <row r="41" spans="1:8" x14ac:dyDescent="0.25">
      <c r="F41" s="49"/>
      <c r="G41" s="49"/>
    </row>
    <row r="42" spans="1:8" x14ac:dyDescent="0.25">
      <c r="F42" s="49"/>
      <c r="G42" s="49"/>
    </row>
    <row r="43" spans="1:8" x14ac:dyDescent="0.25">
      <c r="A43" s="50" t="s">
        <v>155</v>
      </c>
      <c r="B43" s="50"/>
      <c r="C43" s="50"/>
      <c r="D43" s="50"/>
      <c r="E43" s="61"/>
      <c r="F43" s="38"/>
      <c r="G43" s="38"/>
    </row>
    <row r="44" spans="1:8" x14ac:dyDescent="0.25">
      <c r="A44" s="50" t="s">
        <v>180</v>
      </c>
      <c r="B44" s="50"/>
      <c r="C44" s="50"/>
      <c r="D44" s="50"/>
      <c r="E44" s="61"/>
      <c r="F44" s="49"/>
      <c r="G44" s="49"/>
    </row>
    <row r="45" spans="1:8" x14ac:dyDescent="0.25">
      <c r="A45" s="55" t="s">
        <v>95</v>
      </c>
      <c r="B45" s="55"/>
      <c r="C45" s="62" t="s">
        <v>109</v>
      </c>
      <c r="D45" s="63">
        <v>43100</v>
      </c>
      <c r="E45" s="63">
        <v>42735</v>
      </c>
      <c r="F45" s="49"/>
      <c r="G45" s="49"/>
    </row>
    <row r="46" spans="1:8" x14ac:dyDescent="0.25">
      <c r="A46" s="36"/>
      <c r="B46" s="36"/>
      <c r="C46" s="36"/>
      <c r="D46" s="78"/>
      <c r="E46" s="36"/>
      <c r="F46" s="49"/>
      <c r="G46" s="49"/>
    </row>
    <row r="47" spans="1:8" x14ac:dyDescent="0.25">
      <c r="A47" s="36" t="s">
        <v>181</v>
      </c>
      <c r="B47" s="36"/>
      <c r="C47" s="64"/>
      <c r="D47" s="65"/>
      <c r="E47" s="65"/>
      <c r="F47" s="49"/>
      <c r="G47" s="49"/>
    </row>
    <row r="48" spans="1:8" x14ac:dyDescent="0.25">
      <c r="A48" s="36" t="s">
        <v>182</v>
      </c>
      <c r="B48" s="36"/>
      <c r="C48" s="64">
        <v>10</v>
      </c>
      <c r="D48" s="65">
        <v>134150</v>
      </c>
      <c r="E48" s="65">
        <v>233150</v>
      </c>
      <c r="F48" s="49"/>
      <c r="G48" s="49"/>
    </row>
    <row r="49" spans="1:7" x14ac:dyDescent="0.25">
      <c r="A49" s="36" t="s">
        <v>183</v>
      </c>
      <c r="B49" s="36"/>
      <c r="C49" s="64">
        <v>2</v>
      </c>
      <c r="D49" s="65">
        <v>25591223</v>
      </c>
      <c r="E49" s="65">
        <v>33713863</v>
      </c>
      <c r="F49" s="49"/>
      <c r="G49" s="49"/>
    </row>
    <row r="50" spans="1:7" x14ac:dyDescent="0.25">
      <c r="A50" s="36" t="s">
        <v>103</v>
      </c>
      <c r="B50" s="36"/>
      <c r="C50" s="64"/>
      <c r="D50" s="65"/>
      <c r="E50" s="65"/>
      <c r="F50" s="49"/>
      <c r="G50" s="49"/>
    </row>
    <row r="51" spans="1:7" x14ac:dyDescent="0.25">
      <c r="A51" s="39" t="s">
        <v>184</v>
      </c>
      <c r="B51" s="39"/>
      <c r="C51" s="66"/>
      <c r="D51" s="67">
        <v>9143257</v>
      </c>
      <c r="E51" s="67">
        <v>13654178</v>
      </c>
      <c r="F51" s="49"/>
      <c r="G51" s="49"/>
    </row>
    <row r="52" spans="1:7" x14ac:dyDescent="0.25">
      <c r="A52" s="55" t="s">
        <v>118</v>
      </c>
      <c r="B52" s="55"/>
      <c r="C52" s="62"/>
      <c r="D52" s="68">
        <f>SUM(D48:D51)</f>
        <v>34868630</v>
      </c>
      <c r="E52" s="68">
        <f>SUM(E48:E51)</f>
        <v>47601191</v>
      </c>
      <c r="F52" s="49"/>
      <c r="G52" s="49"/>
    </row>
    <row r="53" spans="1:7" x14ac:dyDescent="0.25">
      <c r="A53" s="36"/>
      <c r="B53" s="36"/>
      <c r="C53" s="64"/>
      <c r="D53" s="64"/>
      <c r="E53" s="65"/>
      <c r="F53" s="49"/>
      <c r="G53" s="49"/>
    </row>
    <row r="54" spans="1:7" x14ac:dyDescent="0.25">
      <c r="A54" s="36" t="s">
        <v>185</v>
      </c>
      <c r="B54" s="36"/>
      <c r="C54" s="64"/>
      <c r="D54" s="36"/>
      <c r="E54" s="65"/>
      <c r="F54" s="49"/>
      <c r="G54" s="49"/>
    </row>
    <row r="55" spans="1:7" x14ac:dyDescent="0.25">
      <c r="A55" s="36" t="s">
        <v>186</v>
      </c>
      <c r="B55" s="36"/>
      <c r="C55" s="64"/>
      <c r="D55" s="65">
        <v>457386953</v>
      </c>
      <c r="E55" s="65">
        <v>333771194</v>
      </c>
      <c r="F55" s="49"/>
      <c r="G55" s="49"/>
    </row>
    <row r="56" spans="1:7" x14ac:dyDescent="0.25">
      <c r="A56" s="36" t="s">
        <v>187</v>
      </c>
      <c r="B56" s="36"/>
      <c r="C56" s="69"/>
      <c r="D56" s="65">
        <v>5926902</v>
      </c>
      <c r="E56" s="65">
        <v>3034786</v>
      </c>
      <c r="F56" s="49"/>
      <c r="G56" s="49"/>
    </row>
    <row r="57" spans="1:7" x14ac:dyDescent="0.25">
      <c r="A57" s="36" t="s">
        <v>188</v>
      </c>
      <c r="B57" s="36"/>
      <c r="C57" s="64">
        <v>3</v>
      </c>
      <c r="D57" s="78">
        <v>137806039</v>
      </c>
      <c r="E57" s="65">
        <v>208097420</v>
      </c>
      <c r="F57" s="49"/>
      <c r="G57" s="49"/>
    </row>
    <row r="58" spans="1:7" x14ac:dyDescent="0.25">
      <c r="A58" s="39" t="s">
        <v>189</v>
      </c>
      <c r="B58" s="39"/>
      <c r="C58" s="66"/>
      <c r="D58" s="67">
        <v>213094729</v>
      </c>
      <c r="E58" s="67">
        <v>268230169</v>
      </c>
      <c r="F58" s="49"/>
      <c r="G58" s="49"/>
    </row>
    <row r="59" spans="1:7" x14ac:dyDescent="0.25">
      <c r="A59" s="55" t="s">
        <v>127</v>
      </c>
      <c r="B59" s="55"/>
      <c r="C59" s="62"/>
      <c r="D59" s="70">
        <f>SUM(D55:D58)</f>
        <v>814214623</v>
      </c>
      <c r="E59" s="68">
        <f>SUM(E55:E58)</f>
        <v>813133569</v>
      </c>
      <c r="F59" s="49"/>
      <c r="G59" s="49"/>
    </row>
    <row r="60" spans="1:7" x14ac:dyDescent="0.25">
      <c r="A60" s="36"/>
      <c r="B60" s="36"/>
      <c r="C60" s="64"/>
      <c r="D60" s="36"/>
      <c r="E60" s="65"/>
      <c r="F60" s="49"/>
      <c r="G60" s="49"/>
    </row>
    <row r="61" spans="1:7" ht="15.75" thickBot="1" x14ac:dyDescent="0.3">
      <c r="A61" s="71" t="s">
        <v>114</v>
      </c>
      <c r="B61" s="71"/>
      <c r="C61" s="72"/>
      <c r="D61" s="73">
        <f>D52+D59</f>
        <v>849083253</v>
      </c>
      <c r="E61" s="170">
        <f>E52+E59</f>
        <v>860734760</v>
      </c>
      <c r="F61" s="49"/>
      <c r="G61" s="49"/>
    </row>
    <row r="62" spans="1:7" ht="15.75" thickTop="1" x14ac:dyDescent="0.25">
      <c r="A62" s="36"/>
      <c r="B62" s="36"/>
      <c r="C62" s="64"/>
      <c r="D62" s="64"/>
      <c r="E62" s="65"/>
      <c r="F62" s="49"/>
      <c r="G62" s="49"/>
    </row>
    <row r="63" spans="1:7" x14ac:dyDescent="0.25">
      <c r="A63" s="36"/>
      <c r="B63" s="36"/>
      <c r="C63" s="64"/>
      <c r="D63" s="74"/>
      <c r="E63" s="65"/>
      <c r="F63" s="49"/>
      <c r="G63" s="49"/>
    </row>
    <row r="64" spans="1:7" x14ac:dyDescent="0.25">
      <c r="A64" s="55" t="s">
        <v>115</v>
      </c>
      <c r="B64" s="55"/>
      <c r="C64" s="62"/>
      <c r="D64" s="39"/>
      <c r="E64" s="68"/>
      <c r="F64" s="49"/>
      <c r="G64" s="49"/>
    </row>
    <row r="65" spans="1:7" x14ac:dyDescent="0.25">
      <c r="A65" s="36"/>
      <c r="B65" s="36"/>
      <c r="C65" s="64"/>
      <c r="D65" s="64"/>
      <c r="E65" s="65"/>
      <c r="F65" s="49"/>
      <c r="G65" s="49"/>
    </row>
    <row r="66" spans="1:7" x14ac:dyDescent="0.25">
      <c r="A66" s="36" t="s">
        <v>190</v>
      </c>
      <c r="B66" s="36"/>
      <c r="C66" s="64"/>
      <c r="D66" s="64"/>
      <c r="E66" s="65"/>
      <c r="F66" s="49"/>
      <c r="G66" s="49"/>
    </row>
    <row r="67" spans="1:7" x14ac:dyDescent="0.25">
      <c r="A67" s="36" t="s">
        <v>191</v>
      </c>
      <c r="B67" s="36"/>
      <c r="C67" s="64"/>
      <c r="D67" s="65">
        <v>100322564</v>
      </c>
      <c r="E67" s="65">
        <v>100322564</v>
      </c>
      <c r="F67" s="49"/>
      <c r="G67" s="49"/>
    </row>
    <row r="68" spans="1:7" x14ac:dyDescent="0.25">
      <c r="A68" s="36" t="s">
        <v>192</v>
      </c>
      <c r="B68" s="36"/>
      <c r="C68" s="64">
        <v>9</v>
      </c>
      <c r="D68" s="65">
        <v>369929073</v>
      </c>
      <c r="E68" s="65">
        <v>373368232</v>
      </c>
      <c r="F68" s="49"/>
      <c r="G68" s="49"/>
    </row>
    <row r="69" spans="1:7" x14ac:dyDescent="0.25">
      <c r="A69" s="59" t="s">
        <v>141</v>
      </c>
      <c r="B69" s="59"/>
      <c r="C69" s="75"/>
      <c r="D69" s="76">
        <f>D67+D68</f>
        <v>470251637</v>
      </c>
      <c r="E69" s="76">
        <f>SUM(E67:E68)</f>
        <v>473690796</v>
      </c>
      <c r="F69" s="49"/>
      <c r="G69" s="49"/>
    </row>
    <row r="70" spans="1:7" x14ac:dyDescent="0.25">
      <c r="A70" s="36"/>
      <c r="B70" s="36"/>
      <c r="C70" s="64"/>
      <c r="D70" s="64"/>
      <c r="E70" s="65"/>
      <c r="F70" s="49"/>
      <c r="G70" s="49"/>
    </row>
    <row r="71" spans="1:7" x14ac:dyDescent="0.25">
      <c r="A71" s="36" t="s">
        <v>193</v>
      </c>
      <c r="B71" s="36"/>
      <c r="C71" s="64"/>
      <c r="D71" s="36"/>
      <c r="E71" s="65"/>
      <c r="F71" s="49"/>
      <c r="G71" s="49"/>
    </row>
    <row r="72" spans="1:7" x14ac:dyDescent="0.25">
      <c r="A72" s="36" t="s">
        <v>103</v>
      </c>
      <c r="B72" s="36"/>
      <c r="C72" s="36"/>
      <c r="D72" s="78">
        <v>1473293</v>
      </c>
      <c r="E72" s="78">
        <v>479268</v>
      </c>
      <c r="F72" s="49"/>
      <c r="G72" s="49"/>
    </row>
    <row r="73" spans="1:7" x14ac:dyDescent="0.25">
      <c r="A73" s="36" t="s">
        <v>194</v>
      </c>
      <c r="B73" s="36"/>
      <c r="C73" s="64">
        <v>6</v>
      </c>
      <c r="D73" s="65">
        <v>10000000</v>
      </c>
      <c r="E73" s="65">
        <v>10000000</v>
      </c>
      <c r="F73" s="49"/>
      <c r="G73" s="49"/>
    </row>
    <row r="74" spans="1:7" x14ac:dyDescent="0.25">
      <c r="A74" s="36" t="s">
        <v>195</v>
      </c>
      <c r="B74" s="36"/>
      <c r="C74" s="64"/>
      <c r="D74" s="65">
        <v>273025</v>
      </c>
      <c r="E74" s="65">
        <v>0</v>
      </c>
      <c r="F74" s="49"/>
      <c r="G74" s="49"/>
    </row>
    <row r="75" spans="1:7" x14ac:dyDescent="0.25">
      <c r="A75" s="36" t="s">
        <v>196</v>
      </c>
      <c r="B75" s="36"/>
      <c r="C75" s="64">
        <v>7</v>
      </c>
      <c r="D75" s="65">
        <v>93157541</v>
      </c>
      <c r="E75" s="65">
        <v>93157541</v>
      </c>
      <c r="F75" s="49"/>
      <c r="G75" s="49"/>
    </row>
    <row r="76" spans="1:7" x14ac:dyDescent="0.25">
      <c r="A76" s="36" t="s">
        <v>197</v>
      </c>
      <c r="B76" s="36"/>
      <c r="C76" s="64">
        <v>8</v>
      </c>
      <c r="D76" s="65">
        <v>99669000</v>
      </c>
      <c r="E76" s="65">
        <v>104002000</v>
      </c>
      <c r="F76" s="49"/>
      <c r="G76" s="49"/>
    </row>
    <row r="77" spans="1:7" x14ac:dyDescent="0.25">
      <c r="A77" s="59" t="s">
        <v>146</v>
      </c>
      <c r="B77" s="59"/>
      <c r="C77" s="75"/>
      <c r="D77" s="77">
        <f>SUM(D72:D76)</f>
        <v>204572859</v>
      </c>
      <c r="E77" s="76">
        <f>SUM(E72:G76)</f>
        <v>207638809</v>
      </c>
      <c r="F77" s="49"/>
      <c r="G77" s="49"/>
    </row>
    <row r="78" spans="1:7" x14ac:dyDescent="0.25">
      <c r="A78" s="36"/>
      <c r="B78" s="36"/>
      <c r="C78" s="64"/>
      <c r="D78" s="78"/>
      <c r="E78" s="65"/>
      <c r="F78" s="49"/>
      <c r="G78" s="49"/>
    </row>
    <row r="79" spans="1:7" x14ac:dyDescent="0.25">
      <c r="A79" s="36" t="s">
        <v>198</v>
      </c>
      <c r="B79" s="36"/>
      <c r="C79" s="36"/>
      <c r="D79" s="36"/>
      <c r="E79" s="78"/>
      <c r="F79" s="49"/>
      <c r="G79" s="49"/>
    </row>
    <row r="80" spans="1:7" x14ac:dyDescent="0.25">
      <c r="A80" s="36" t="s">
        <v>199</v>
      </c>
      <c r="B80" s="36"/>
      <c r="C80" s="36"/>
      <c r="D80" s="78">
        <v>2239143</v>
      </c>
      <c r="E80" s="78">
        <v>1637371</v>
      </c>
      <c r="F80" s="49"/>
      <c r="G80" s="49"/>
    </row>
    <row r="81" spans="1:9" x14ac:dyDescent="0.25">
      <c r="A81" s="36" t="s">
        <v>257</v>
      </c>
      <c r="B81" s="36"/>
      <c r="C81" s="64"/>
      <c r="D81" s="65">
        <v>2940350</v>
      </c>
      <c r="E81" s="65">
        <v>2490325</v>
      </c>
      <c r="F81" s="49"/>
      <c r="G81" s="49"/>
    </row>
    <row r="82" spans="1:9" x14ac:dyDescent="0.25">
      <c r="A82" s="36" t="s">
        <v>200</v>
      </c>
      <c r="B82" s="36"/>
      <c r="C82" s="64"/>
      <c r="D82" s="65">
        <v>24826091</v>
      </c>
      <c r="E82" s="65">
        <v>24826561</v>
      </c>
      <c r="F82" s="49"/>
      <c r="G82" s="49"/>
      <c r="H82" s="179"/>
      <c r="I82" s="1"/>
    </row>
    <row r="83" spans="1:9" x14ac:dyDescent="0.25">
      <c r="A83" s="36" t="s">
        <v>201</v>
      </c>
      <c r="B83" s="36"/>
      <c r="C83" s="64">
        <v>5</v>
      </c>
      <c r="D83" s="65">
        <v>32920282</v>
      </c>
      <c r="E83" s="65">
        <v>10000000</v>
      </c>
      <c r="F83" s="49"/>
      <c r="G83" s="49"/>
    </row>
    <row r="84" spans="1:9" x14ac:dyDescent="0.25">
      <c r="A84" s="39" t="s">
        <v>140</v>
      </c>
      <c r="B84" s="39"/>
      <c r="C84" s="66">
        <v>4</v>
      </c>
      <c r="D84" s="67">
        <v>111332891</v>
      </c>
      <c r="E84" s="67">
        <v>140450898</v>
      </c>
      <c r="F84" s="49"/>
      <c r="G84" s="49"/>
    </row>
    <row r="85" spans="1:9" x14ac:dyDescent="0.25">
      <c r="A85" s="55" t="s">
        <v>151</v>
      </c>
      <c r="B85" s="55"/>
      <c r="C85" s="55"/>
      <c r="D85" s="79">
        <f>SUM(D80:D84)</f>
        <v>174258757</v>
      </c>
      <c r="E85" s="165">
        <f>SUM(E80:E84)</f>
        <v>179405155</v>
      </c>
      <c r="F85" s="49"/>
      <c r="G85" s="49"/>
    </row>
    <row r="86" spans="1:9" x14ac:dyDescent="0.25">
      <c r="A86" s="36"/>
      <c r="B86" s="36"/>
      <c r="C86" s="36"/>
      <c r="D86" s="36"/>
      <c r="E86" s="78"/>
      <c r="F86" s="49"/>
      <c r="G86" s="49"/>
    </row>
    <row r="87" spans="1:9" x14ac:dyDescent="0.25">
      <c r="A87" s="36"/>
      <c r="B87" s="36"/>
      <c r="C87" s="36"/>
      <c r="D87" s="36"/>
      <c r="E87" s="78"/>
      <c r="F87" s="49"/>
      <c r="G87" s="49"/>
    </row>
    <row r="88" spans="1:9" ht="15.75" thickBot="1" x14ac:dyDescent="0.3">
      <c r="A88" s="71" t="s">
        <v>143</v>
      </c>
      <c r="B88" s="71"/>
      <c r="C88" s="71"/>
      <c r="D88" s="80">
        <f>D69+D77+D85</f>
        <v>849083253</v>
      </c>
      <c r="E88" s="171">
        <f>E69+E77+E85</f>
        <v>860734760</v>
      </c>
      <c r="F88" s="49"/>
      <c r="G88" s="49"/>
    </row>
    <row r="89" spans="1:9" ht="15.75" thickTop="1" x14ac:dyDescent="0.25">
      <c r="F89" s="49"/>
      <c r="G89" s="49"/>
    </row>
    <row r="90" spans="1:9" x14ac:dyDescent="0.25">
      <c r="F90" s="49"/>
      <c r="G90" s="49"/>
    </row>
    <row r="91" spans="1:9" x14ac:dyDescent="0.25">
      <c r="F91" s="49"/>
      <c r="G91" s="49"/>
    </row>
    <row r="92" spans="1:9" x14ac:dyDescent="0.25">
      <c r="F92" s="49"/>
      <c r="G92" s="49"/>
    </row>
    <row r="93" spans="1:9" x14ac:dyDescent="0.25">
      <c r="F93" s="49"/>
      <c r="G93" s="49"/>
    </row>
    <row r="94" spans="1:9" x14ac:dyDescent="0.25">
      <c r="F94" s="49"/>
      <c r="G94" s="49"/>
    </row>
    <row r="95" spans="1:9" x14ac:dyDescent="0.25">
      <c r="F95" s="49"/>
      <c r="G95" s="49"/>
    </row>
    <row r="96" spans="1:9" x14ac:dyDescent="0.25">
      <c r="F96" s="49"/>
      <c r="G96" s="49"/>
    </row>
    <row r="97" spans="6:7" x14ac:dyDescent="0.25">
      <c r="F97" s="49"/>
      <c r="G97" s="49"/>
    </row>
    <row r="98" spans="6:7" x14ac:dyDescent="0.25">
      <c r="F98" s="49"/>
      <c r="G98" s="49"/>
    </row>
    <row r="99" spans="6:7" x14ac:dyDescent="0.25">
      <c r="F99" s="49"/>
      <c r="G99" s="49"/>
    </row>
    <row r="100" spans="6:7" x14ac:dyDescent="0.25">
      <c r="F100" s="49"/>
      <c r="G100" s="49"/>
    </row>
    <row r="101" spans="6:7" x14ac:dyDescent="0.25">
      <c r="F101" s="49"/>
      <c r="G101" s="49"/>
    </row>
    <row r="102" spans="6:7" x14ac:dyDescent="0.25">
      <c r="F102" s="49"/>
      <c r="G102" s="49"/>
    </row>
    <row r="103" spans="6:7" x14ac:dyDescent="0.25">
      <c r="F103" s="49"/>
      <c r="G103" s="49"/>
    </row>
    <row r="104" spans="6:7" x14ac:dyDescent="0.25">
      <c r="F104" s="49"/>
      <c r="G104" s="49"/>
    </row>
    <row r="105" spans="6:7" x14ac:dyDescent="0.25">
      <c r="F105" s="49"/>
      <c r="G105" s="49"/>
    </row>
    <row r="106" spans="6:7" x14ac:dyDescent="0.25">
      <c r="F106" s="49"/>
      <c r="G106" s="49"/>
    </row>
    <row r="107" spans="6:7" x14ac:dyDescent="0.25">
      <c r="F107" s="49"/>
      <c r="G107" s="49"/>
    </row>
    <row r="108" spans="6:7" x14ac:dyDescent="0.25">
      <c r="F108" s="49"/>
      <c r="G108" s="49"/>
    </row>
    <row r="109" spans="6:7" x14ac:dyDescent="0.25">
      <c r="F109" s="49"/>
      <c r="G109" s="49"/>
    </row>
    <row r="110" spans="6:7" x14ac:dyDescent="0.25">
      <c r="F110" s="49"/>
      <c r="G110" s="49"/>
    </row>
    <row r="111" spans="6:7" x14ac:dyDescent="0.25">
      <c r="F111" s="49"/>
      <c r="G111" s="49"/>
    </row>
    <row r="112" spans="6:7" x14ac:dyDescent="0.25">
      <c r="F112" s="49"/>
      <c r="G112" s="49"/>
    </row>
    <row r="113" spans="6:7" x14ac:dyDescent="0.25">
      <c r="F113" s="49"/>
      <c r="G113" s="49"/>
    </row>
    <row r="114" spans="6:7" x14ac:dyDescent="0.25">
      <c r="F114" s="49"/>
      <c r="G114" s="49"/>
    </row>
    <row r="115" spans="6:7" x14ac:dyDescent="0.25">
      <c r="F115" s="49"/>
      <c r="G115" s="49"/>
    </row>
    <row r="116" spans="6:7" x14ac:dyDescent="0.25">
      <c r="F116" s="49"/>
      <c r="G116" s="49"/>
    </row>
    <row r="117" spans="6:7" x14ac:dyDescent="0.25">
      <c r="F117" s="49"/>
      <c r="G117" s="49"/>
    </row>
    <row r="118" spans="6:7" x14ac:dyDescent="0.25">
      <c r="F118" s="49"/>
      <c r="G118" s="49"/>
    </row>
    <row r="119" spans="6:7" x14ac:dyDescent="0.25">
      <c r="F119" s="49"/>
      <c r="G119" s="49"/>
    </row>
    <row r="120" spans="6:7" x14ac:dyDescent="0.25">
      <c r="F120" s="49"/>
      <c r="G120" s="49"/>
    </row>
    <row r="121" spans="6:7" x14ac:dyDescent="0.25">
      <c r="F121" s="49"/>
      <c r="G121" s="49"/>
    </row>
    <row r="122" spans="6:7" x14ac:dyDescent="0.25">
      <c r="F122" s="49"/>
      <c r="G122" s="49"/>
    </row>
    <row r="123" spans="6:7" x14ac:dyDescent="0.25">
      <c r="F123" s="49"/>
      <c r="G123" s="49"/>
    </row>
    <row r="124" spans="6:7" x14ac:dyDescent="0.25">
      <c r="F124" s="49"/>
      <c r="G124" s="49"/>
    </row>
    <row r="125" spans="6:7" x14ac:dyDescent="0.25">
      <c r="F125" s="49"/>
      <c r="G125" s="49"/>
    </row>
    <row r="126" spans="6:7" x14ac:dyDescent="0.25">
      <c r="F126" s="49"/>
      <c r="G126" s="49"/>
    </row>
    <row r="127" spans="6:7" x14ac:dyDescent="0.25">
      <c r="F127" s="49"/>
      <c r="G127" s="49"/>
    </row>
    <row r="128" spans="6:7" x14ac:dyDescent="0.25">
      <c r="F128" s="49"/>
      <c r="G128" s="49"/>
    </row>
    <row r="129" spans="6:7" x14ac:dyDescent="0.25">
      <c r="F129" s="49"/>
      <c r="G129" s="49"/>
    </row>
    <row r="130" spans="6:7" x14ac:dyDescent="0.25">
      <c r="F130" s="49"/>
      <c r="G130" s="49"/>
    </row>
    <row r="131" spans="6:7" x14ac:dyDescent="0.25">
      <c r="F131" s="49"/>
      <c r="G131" s="49"/>
    </row>
    <row r="132" spans="6:7" x14ac:dyDescent="0.25">
      <c r="F132" s="49"/>
      <c r="G132" s="49"/>
    </row>
    <row r="133" spans="6:7" x14ac:dyDescent="0.25">
      <c r="F133" s="49"/>
      <c r="G133" s="49"/>
    </row>
    <row r="134" spans="6:7" x14ac:dyDescent="0.25">
      <c r="F134" s="49"/>
      <c r="G134" s="49"/>
    </row>
    <row r="135" spans="6:7" x14ac:dyDescent="0.25">
      <c r="F135" s="49"/>
      <c r="G135" s="49"/>
    </row>
    <row r="136" spans="6:7" x14ac:dyDescent="0.25">
      <c r="F136" s="49"/>
      <c r="G136" s="49"/>
    </row>
    <row r="137" spans="6:7" x14ac:dyDescent="0.25">
      <c r="F137" s="49"/>
      <c r="G137" s="49"/>
    </row>
    <row r="138" spans="6:7" x14ac:dyDescent="0.25">
      <c r="F138" s="49"/>
      <c r="G138" s="49"/>
    </row>
    <row r="139" spans="6:7" x14ac:dyDescent="0.25">
      <c r="F139" s="49"/>
      <c r="G139" s="49"/>
    </row>
    <row r="140" spans="6:7" x14ac:dyDescent="0.25">
      <c r="F140" s="49"/>
      <c r="G140" s="49"/>
    </row>
    <row r="141" spans="6:7" x14ac:dyDescent="0.25">
      <c r="F141" s="49"/>
      <c r="G141" s="49"/>
    </row>
    <row r="142" spans="6:7" x14ac:dyDescent="0.25">
      <c r="F142" s="49"/>
      <c r="G142" s="49"/>
    </row>
    <row r="143" spans="6:7" x14ac:dyDescent="0.25">
      <c r="F143" s="49"/>
      <c r="G143" s="49"/>
    </row>
    <row r="144" spans="6:7" x14ac:dyDescent="0.25">
      <c r="F144" s="49"/>
      <c r="G144" s="49"/>
    </row>
    <row r="145" spans="6:7" x14ac:dyDescent="0.25">
      <c r="F145" s="49"/>
      <c r="G145" s="49"/>
    </row>
    <row r="146" spans="6:7" x14ac:dyDescent="0.25">
      <c r="F146" s="49"/>
      <c r="G146" s="49"/>
    </row>
    <row r="147" spans="6:7" x14ac:dyDescent="0.25">
      <c r="F147" s="49"/>
      <c r="G147" s="49"/>
    </row>
    <row r="148" spans="6:7" x14ac:dyDescent="0.25">
      <c r="F148" s="49"/>
      <c r="G148" s="49"/>
    </row>
    <row r="149" spans="6:7" x14ac:dyDescent="0.25">
      <c r="F149" s="49"/>
      <c r="G149" s="49"/>
    </row>
    <row r="150" spans="6:7" x14ac:dyDescent="0.25">
      <c r="F150" s="49"/>
      <c r="G150" s="49"/>
    </row>
    <row r="151" spans="6:7" x14ac:dyDescent="0.25">
      <c r="F151" s="49"/>
      <c r="G151" s="49"/>
    </row>
    <row r="152" spans="6:7" x14ac:dyDescent="0.25">
      <c r="F152" s="49"/>
      <c r="G152" s="49"/>
    </row>
    <row r="153" spans="6:7" x14ac:dyDescent="0.25">
      <c r="F153" s="49"/>
      <c r="G153" s="49"/>
    </row>
    <row r="154" spans="6:7" x14ac:dyDescent="0.25">
      <c r="F154" s="49"/>
      <c r="G154" s="49"/>
    </row>
    <row r="155" spans="6:7" x14ac:dyDescent="0.25">
      <c r="F155" s="49"/>
      <c r="G155" s="49"/>
    </row>
    <row r="156" spans="6:7" x14ac:dyDescent="0.25">
      <c r="F156" s="49"/>
      <c r="G156" s="49"/>
    </row>
    <row r="157" spans="6:7" x14ac:dyDescent="0.25">
      <c r="F157" s="49"/>
      <c r="G157" s="49"/>
    </row>
    <row r="158" spans="6:7" x14ac:dyDescent="0.25">
      <c r="F158" s="49"/>
      <c r="G158" s="49"/>
    </row>
    <row r="159" spans="6:7" x14ac:dyDescent="0.25">
      <c r="F159" s="49"/>
      <c r="G159" s="49"/>
    </row>
    <row r="160" spans="6:7" x14ac:dyDescent="0.25">
      <c r="F160" s="49"/>
      <c r="G160" s="49"/>
    </row>
    <row r="161" spans="6:7" x14ac:dyDescent="0.25">
      <c r="F161" s="49"/>
      <c r="G161" s="49"/>
    </row>
    <row r="162" spans="6:7" x14ac:dyDescent="0.25">
      <c r="F162" s="49"/>
      <c r="G162" s="49"/>
    </row>
    <row r="163" spans="6:7" x14ac:dyDescent="0.25">
      <c r="F163" s="49"/>
      <c r="G163" s="49"/>
    </row>
    <row r="164" spans="6:7" x14ac:dyDescent="0.25">
      <c r="F164" s="49"/>
      <c r="G164" s="49"/>
    </row>
    <row r="165" spans="6:7" x14ac:dyDescent="0.25">
      <c r="F165" s="49"/>
      <c r="G165" s="49"/>
    </row>
    <row r="166" spans="6:7" x14ac:dyDescent="0.25">
      <c r="F166" s="49"/>
      <c r="G166" s="49"/>
    </row>
    <row r="167" spans="6:7" x14ac:dyDescent="0.25">
      <c r="F167" s="49"/>
      <c r="G167" s="49"/>
    </row>
    <row r="168" spans="6:7" x14ac:dyDescent="0.25">
      <c r="F168" s="49"/>
      <c r="G168" s="49"/>
    </row>
    <row r="169" spans="6:7" x14ac:dyDescent="0.25">
      <c r="F169" s="49"/>
      <c r="G169" s="49"/>
    </row>
    <row r="170" spans="6:7" x14ac:dyDescent="0.25">
      <c r="F170" s="49"/>
      <c r="G170" s="49"/>
    </row>
    <row r="171" spans="6:7" x14ac:dyDescent="0.25">
      <c r="F171" s="49"/>
      <c r="G171" s="49"/>
    </row>
    <row r="172" spans="6:7" x14ac:dyDescent="0.25">
      <c r="F172" s="49"/>
      <c r="G172" s="49"/>
    </row>
    <row r="173" spans="6:7" x14ac:dyDescent="0.25">
      <c r="F173" s="49"/>
      <c r="G173" s="49"/>
    </row>
    <row r="174" spans="6:7" x14ac:dyDescent="0.25">
      <c r="F174" s="49"/>
      <c r="G174" s="49"/>
    </row>
    <row r="175" spans="6:7" x14ac:dyDescent="0.25">
      <c r="F175" s="49"/>
      <c r="G175" s="49"/>
    </row>
    <row r="176" spans="6:7" x14ac:dyDescent="0.25">
      <c r="F176" s="49"/>
      <c r="G176" s="49"/>
    </row>
    <row r="177" spans="6:7" x14ac:dyDescent="0.25">
      <c r="F177" s="49"/>
      <c r="G177" s="49"/>
    </row>
    <row r="178" spans="6:7" x14ac:dyDescent="0.25">
      <c r="F178" s="49"/>
      <c r="G178" s="49"/>
    </row>
    <row r="179" spans="6:7" x14ac:dyDescent="0.25">
      <c r="F179" s="49"/>
      <c r="G179" s="49"/>
    </row>
    <row r="180" spans="6:7" x14ac:dyDescent="0.25">
      <c r="F180" s="49"/>
      <c r="G180" s="49"/>
    </row>
    <row r="181" spans="6:7" x14ac:dyDescent="0.25">
      <c r="F181" s="49"/>
      <c r="G181" s="49"/>
    </row>
    <row r="182" spans="6:7" x14ac:dyDescent="0.25">
      <c r="F182" s="49"/>
      <c r="G182" s="49"/>
    </row>
    <row r="183" spans="6:7" x14ac:dyDescent="0.25">
      <c r="F183" s="49"/>
      <c r="G183" s="49"/>
    </row>
    <row r="184" spans="6:7" x14ac:dyDescent="0.25">
      <c r="F184" s="49"/>
      <c r="G184" s="49"/>
    </row>
    <row r="185" spans="6:7" x14ac:dyDescent="0.25">
      <c r="F185" s="49"/>
      <c r="G185" s="49"/>
    </row>
    <row r="186" spans="6:7" x14ac:dyDescent="0.25">
      <c r="F186" s="49"/>
      <c r="G186" s="49"/>
    </row>
    <row r="187" spans="6:7" x14ac:dyDescent="0.25">
      <c r="F187" s="49"/>
      <c r="G187" s="49"/>
    </row>
    <row r="188" spans="6:7" x14ac:dyDescent="0.25">
      <c r="F188" s="49"/>
      <c r="G188" s="49"/>
    </row>
    <row r="189" spans="6:7" x14ac:dyDescent="0.25">
      <c r="F189" s="49"/>
      <c r="G189" s="49"/>
    </row>
    <row r="190" spans="6:7" x14ac:dyDescent="0.25">
      <c r="F190" s="49"/>
      <c r="G190" s="49"/>
    </row>
    <row r="191" spans="6:7" x14ac:dyDescent="0.25">
      <c r="F191" s="49"/>
      <c r="G191" s="49"/>
    </row>
    <row r="192" spans="6:7" x14ac:dyDescent="0.25">
      <c r="F192" s="49"/>
      <c r="G192" s="49"/>
    </row>
    <row r="193" spans="6:7" x14ac:dyDescent="0.25">
      <c r="F193" s="49"/>
      <c r="G193" s="49"/>
    </row>
    <row r="194" spans="6:7" x14ac:dyDescent="0.25">
      <c r="F194" s="49"/>
      <c r="G194" s="49"/>
    </row>
    <row r="195" spans="6:7" x14ac:dyDescent="0.25">
      <c r="F195" s="49"/>
      <c r="G195" s="49"/>
    </row>
    <row r="196" spans="6:7" x14ac:dyDescent="0.25">
      <c r="F196" s="49"/>
      <c r="G196" s="49"/>
    </row>
    <row r="197" spans="6:7" x14ac:dyDescent="0.25">
      <c r="F197" s="49"/>
      <c r="G197" s="49"/>
    </row>
    <row r="198" spans="6:7" x14ac:dyDescent="0.25">
      <c r="F198" s="49"/>
      <c r="G198" s="49"/>
    </row>
    <row r="199" spans="6:7" x14ac:dyDescent="0.25">
      <c r="F199" s="49"/>
      <c r="G199" s="49"/>
    </row>
    <row r="200" spans="6:7" x14ac:dyDescent="0.25">
      <c r="F200" s="49"/>
      <c r="G200" s="49"/>
    </row>
    <row r="201" spans="6:7" x14ac:dyDescent="0.25">
      <c r="F201" s="49"/>
      <c r="G201" s="49"/>
    </row>
    <row r="202" spans="6:7" x14ac:dyDescent="0.25">
      <c r="F202" s="49"/>
      <c r="G202" s="49"/>
    </row>
    <row r="203" spans="6:7" x14ac:dyDescent="0.25">
      <c r="F203" s="49"/>
      <c r="G203" s="49"/>
    </row>
    <row r="204" spans="6:7" x14ac:dyDescent="0.25">
      <c r="F204" s="49"/>
      <c r="G204" s="49"/>
    </row>
    <row r="205" spans="6:7" x14ac:dyDescent="0.25">
      <c r="F205" s="49"/>
      <c r="G205" s="49"/>
    </row>
    <row r="206" spans="6:7" x14ac:dyDescent="0.25">
      <c r="F206" s="49"/>
      <c r="G206" s="49"/>
    </row>
    <row r="207" spans="6:7" x14ac:dyDescent="0.25">
      <c r="F207" s="49"/>
      <c r="G207" s="49"/>
    </row>
    <row r="208" spans="6:7" x14ac:dyDescent="0.25">
      <c r="F208" s="49"/>
      <c r="G208" s="49"/>
    </row>
    <row r="209" spans="6:7" x14ac:dyDescent="0.25">
      <c r="F209" s="49"/>
      <c r="G209" s="49"/>
    </row>
    <row r="210" spans="6:7" x14ac:dyDescent="0.25">
      <c r="F210" s="49"/>
      <c r="G210" s="49"/>
    </row>
    <row r="211" spans="6:7" x14ac:dyDescent="0.25">
      <c r="F211" s="49"/>
      <c r="G211" s="49"/>
    </row>
    <row r="212" spans="6:7" x14ac:dyDescent="0.25">
      <c r="F212" s="49"/>
      <c r="G212" s="49"/>
    </row>
    <row r="213" spans="6:7" x14ac:dyDescent="0.25">
      <c r="F213" s="49"/>
      <c r="G213" s="49"/>
    </row>
    <row r="214" spans="6:7" x14ac:dyDescent="0.25">
      <c r="F214" s="49"/>
      <c r="G214" s="49"/>
    </row>
    <row r="215" spans="6:7" x14ac:dyDescent="0.25">
      <c r="F215" s="49"/>
      <c r="G215" s="49"/>
    </row>
    <row r="216" spans="6:7" x14ac:dyDescent="0.25">
      <c r="F216" s="49"/>
      <c r="G216" s="49"/>
    </row>
    <row r="217" spans="6:7" x14ac:dyDescent="0.25">
      <c r="F217" s="49"/>
      <c r="G217" s="49"/>
    </row>
    <row r="218" spans="6:7" x14ac:dyDescent="0.25">
      <c r="F218" s="49"/>
      <c r="G218" s="49"/>
    </row>
    <row r="219" spans="6:7" x14ac:dyDescent="0.25">
      <c r="F219" s="49"/>
      <c r="G219" s="49"/>
    </row>
    <row r="220" spans="6:7" x14ac:dyDescent="0.25">
      <c r="F220" s="49"/>
      <c r="G220" s="49"/>
    </row>
    <row r="221" spans="6:7" x14ac:dyDescent="0.25">
      <c r="F221" s="49"/>
      <c r="G221" s="49"/>
    </row>
    <row r="222" spans="6:7" x14ac:dyDescent="0.25">
      <c r="F222" s="49"/>
      <c r="G222" s="49"/>
    </row>
    <row r="223" spans="6:7" x14ac:dyDescent="0.25">
      <c r="F223" s="49"/>
      <c r="G223" s="49"/>
    </row>
    <row r="224" spans="6:7" x14ac:dyDescent="0.25">
      <c r="F224" s="49"/>
      <c r="G224" s="49"/>
    </row>
    <row r="225" spans="6:7" x14ac:dyDescent="0.25">
      <c r="F225" s="49"/>
      <c r="G225" s="49"/>
    </row>
    <row r="226" spans="6:7" x14ac:dyDescent="0.25">
      <c r="F226" s="49"/>
      <c r="G226" s="49"/>
    </row>
    <row r="227" spans="6:7" x14ac:dyDescent="0.25">
      <c r="F227" s="49"/>
      <c r="G227" s="49"/>
    </row>
    <row r="228" spans="6:7" x14ac:dyDescent="0.25">
      <c r="F228" s="49"/>
      <c r="G228" s="49"/>
    </row>
    <row r="229" spans="6:7" x14ac:dyDescent="0.25">
      <c r="F229" s="49"/>
      <c r="G229" s="49"/>
    </row>
    <row r="230" spans="6:7" x14ac:dyDescent="0.25">
      <c r="F230" s="49"/>
      <c r="G230" s="49"/>
    </row>
    <row r="231" spans="6:7" x14ac:dyDescent="0.25">
      <c r="F231" s="49"/>
      <c r="G231" s="49"/>
    </row>
    <row r="232" spans="6:7" x14ac:dyDescent="0.25">
      <c r="F232" s="49"/>
      <c r="G232" s="49"/>
    </row>
    <row r="233" spans="6:7" x14ac:dyDescent="0.25">
      <c r="F233" s="49"/>
      <c r="G233" s="49"/>
    </row>
    <row r="234" spans="6:7" x14ac:dyDescent="0.25">
      <c r="F234" s="49"/>
      <c r="G234" s="49"/>
    </row>
    <row r="235" spans="6:7" x14ac:dyDescent="0.25">
      <c r="F235" s="49"/>
      <c r="G235" s="49"/>
    </row>
    <row r="236" spans="6:7" x14ac:dyDescent="0.25">
      <c r="F236" s="49"/>
      <c r="G236" s="49"/>
    </row>
    <row r="237" spans="6:7" x14ac:dyDescent="0.25">
      <c r="F237" s="49"/>
      <c r="G237" s="49"/>
    </row>
    <row r="238" spans="6:7" x14ac:dyDescent="0.25">
      <c r="F238" s="49"/>
      <c r="G238" s="49"/>
    </row>
    <row r="239" spans="6:7" x14ac:dyDescent="0.25">
      <c r="F239" s="49"/>
      <c r="G239" s="49"/>
    </row>
    <row r="240" spans="6:7" x14ac:dyDescent="0.25">
      <c r="F240" s="49"/>
      <c r="G240" s="49"/>
    </row>
    <row r="241" spans="6:7" x14ac:dyDescent="0.25">
      <c r="F241" s="49"/>
      <c r="G241" s="49"/>
    </row>
    <row r="242" spans="6:7" x14ac:dyDescent="0.25">
      <c r="F242" s="49"/>
      <c r="G242" s="49"/>
    </row>
    <row r="243" spans="6:7" x14ac:dyDescent="0.25">
      <c r="F243" s="49"/>
      <c r="G243" s="49"/>
    </row>
    <row r="244" spans="6:7" x14ac:dyDescent="0.25">
      <c r="F244" s="49"/>
      <c r="G244" s="49"/>
    </row>
    <row r="245" spans="6:7" x14ac:dyDescent="0.25">
      <c r="F245" s="49"/>
      <c r="G245" s="49"/>
    </row>
    <row r="246" spans="6:7" x14ac:dyDescent="0.25">
      <c r="F246" s="49"/>
      <c r="G246" s="49"/>
    </row>
    <row r="247" spans="6:7" x14ac:dyDescent="0.25">
      <c r="F247" s="49"/>
      <c r="G247" s="49"/>
    </row>
    <row r="248" spans="6:7" x14ac:dyDescent="0.25">
      <c r="F248" s="49"/>
      <c r="G248" s="49"/>
    </row>
    <row r="249" spans="6:7" x14ac:dyDescent="0.25">
      <c r="F249" s="49"/>
      <c r="G249" s="49"/>
    </row>
    <row r="250" spans="6:7" x14ac:dyDescent="0.25">
      <c r="F250" s="49"/>
      <c r="G250" s="49"/>
    </row>
    <row r="251" spans="6:7" x14ac:dyDescent="0.25">
      <c r="F251" s="49"/>
      <c r="G251" s="49"/>
    </row>
    <row r="252" spans="6:7" x14ac:dyDescent="0.25">
      <c r="F252" s="49"/>
      <c r="G252" s="49"/>
    </row>
    <row r="253" spans="6:7" x14ac:dyDescent="0.25">
      <c r="F253" s="49"/>
      <c r="G253" s="49"/>
    </row>
    <row r="254" spans="6:7" x14ac:dyDescent="0.25">
      <c r="F254" s="49"/>
      <c r="G254" s="49"/>
    </row>
    <row r="255" spans="6:7" x14ac:dyDescent="0.25">
      <c r="F255" s="49"/>
      <c r="G255" s="49"/>
    </row>
    <row r="256" spans="6:7" x14ac:dyDescent="0.25">
      <c r="F256" s="49"/>
      <c r="G256" s="49"/>
    </row>
    <row r="257" spans="6:7" x14ac:dyDescent="0.25">
      <c r="F257" s="49"/>
      <c r="G257" s="49"/>
    </row>
    <row r="258" spans="6:7" x14ac:dyDescent="0.25">
      <c r="F258" s="49"/>
      <c r="G258" s="49"/>
    </row>
    <row r="259" spans="6:7" x14ac:dyDescent="0.25">
      <c r="F259" s="49"/>
      <c r="G259" s="49"/>
    </row>
    <row r="260" spans="6:7" x14ac:dyDescent="0.25">
      <c r="F260" s="49"/>
      <c r="G260" s="49"/>
    </row>
    <row r="261" spans="6:7" x14ac:dyDescent="0.25">
      <c r="F261" s="49"/>
      <c r="G261" s="49"/>
    </row>
    <row r="262" spans="6:7" x14ac:dyDescent="0.25">
      <c r="F262" s="49"/>
      <c r="G262" s="49"/>
    </row>
    <row r="263" spans="6:7" x14ac:dyDescent="0.25">
      <c r="F263" s="49"/>
      <c r="G263" s="49"/>
    </row>
    <row r="264" spans="6:7" x14ac:dyDescent="0.25">
      <c r="F264" s="49"/>
      <c r="G264" s="49"/>
    </row>
    <row r="265" spans="6:7" x14ac:dyDescent="0.25">
      <c r="F265" s="49"/>
      <c r="G265" s="49"/>
    </row>
    <row r="266" spans="6:7" x14ac:dyDescent="0.25">
      <c r="F266" s="49"/>
      <c r="G266" s="49"/>
    </row>
    <row r="267" spans="6:7" x14ac:dyDescent="0.25">
      <c r="F267" s="49"/>
      <c r="G267" s="49"/>
    </row>
    <row r="268" spans="6:7" x14ac:dyDescent="0.25">
      <c r="F268" s="49"/>
      <c r="G268" s="49"/>
    </row>
    <row r="269" spans="6:7" x14ac:dyDescent="0.25">
      <c r="F269" s="49"/>
      <c r="G269" s="49"/>
    </row>
    <row r="270" spans="6:7" x14ac:dyDescent="0.25">
      <c r="F270" s="49"/>
      <c r="G270" s="49"/>
    </row>
    <row r="271" spans="6:7" x14ac:dyDescent="0.25">
      <c r="F271" s="49"/>
      <c r="G271" s="49"/>
    </row>
    <row r="272" spans="6:7" x14ac:dyDescent="0.25">
      <c r="F272" s="49"/>
      <c r="G272" s="49"/>
    </row>
    <row r="273" spans="6:7" x14ac:dyDescent="0.25">
      <c r="F273" s="49"/>
      <c r="G273" s="49"/>
    </row>
    <row r="274" spans="6:7" x14ac:dyDescent="0.25">
      <c r="F274" s="49"/>
      <c r="G274" s="49"/>
    </row>
    <row r="275" spans="6:7" x14ac:dyDescent="0.25">
      <c r="F275" s="49"/>
      <c r="G275" s="49"/>
    </row>
    <row r="276" spans="6:7" x14ac:dyDescent="0.25">
      <c r="F276" s="49"/>
      <c r="G276" s="49"/>
    </row>
    <row r="277" spans="6:7" x14ac:dyDescent="0.25">
      <c r="F277" s="49"/>
      <c r="G277" s="49"/>
    </row>
    <row r="278" spans="6:7" x14ac:dyDescent="0.25">
      <c r="F278" s="49"/>
      <c r="G278" s="49"/>
    </row>
    <row r="279" spans="6:7" x14ac:dyDescent="0.25">
      <c r="F279" s="49"/>
      <c r="G279" s="49"/>
    </row>
    <row r="280" spans="6:7" x14ac:dyDescent="0.25">
      <c r="F280" s="49"/>
      <c r="G280" s="49"/>
    </row>
    <row r="281" spans="6:7" x14ac:dyDescent="0.25">
      <c r="F281" s="49"/>
      <c r="G281" s="49"/>
    </row>
    <row r="282" spans="6:7" x14ac:dyDescent="0.25">
      <c r="F282" s="49"/>
      <c r="G282" s="49"/>
    </row>
    <row r="283" spans="6:7" x14ac:dyDescent="0.25">
      <c r="F283" s="49"/>
      <c r="G283" s="49"/>
    </row>
    <row r="284" spans="6:7" x14ac:dyDescent="0.25">
      <c r="F284" s="49"/>
      <c r="G284" s="49"/>
    </row>
    <row r="285" spans="6:7" x14ac:dyDescent="0.25">
      <c r="F285" s="49"/>
      <c r="G285" s="49"/>
    </row>
    <row r="286" spans="6:7" x14ac:dyDescent="0.25">
      <c r="F286" s="49"/>
      <c r="G286" s="49"/>
    </row>
    <row r="287" spans="6:7" x14ac:dyDescent="0.25">
      <c r="F287" s="49"/>
      <c r="G287" s="49"/>
    </row>
    <row r="288" spans="6:7" x14ac:dyDescent="0.25">
      <c r="F288" s="49"/>
      <c r="G288" s="49"/>
    </row>
    <row r="289" spans="6:7" x14ac:dyDescent="0.25">
      <c r="F289" s="49"/>
      <c r="G289" s="49"/>
    </row>
    <row r="290" spans="6:7" x14ac:dyDescent="0.25">
      <c r="F290" s="49"/>
      <c r="G290" s="49"/>
    </row>
    <row r="291" spans="6:7" x14ac:dyDescent="0.25">
      <c r="F291" s="49"/>
      <c r="G291" s="49"/>
    </row>
    <row r="292" spans="6:7" x14ac:dyDescent="0.25">
      <c r="F292" s="49"/>
      <c r="G292" s="49"/>
    </row>
    <row r="293" spans="6:7" x14ac:dyDescent="0.25">
      <c r="F293" s="49"/>
      <c r="G293" s="49"/>
    </row>
    <row r="294" spans="6:7" x14ac:dyDescent="0.25">
      <c r="F294" s="49"/>
      <c r="G294" s="49"/>
    </row>
    <row r="295" spans="6:7" x14ac:dyDescent="0.25">
      <c r="F295" s="49"/>
      <c r="G295" s="49"/>
    </row>
    <row r="296" spans="6:7" x14ac:dyDescent="0.25">
      <c r="F296" s="49"/>
      <c r="G296" s="49"/>
    </row>
    <row r="297" spans="6:7" x14ac:dyDescent="0.25">
      <c r="F297" s="49"/>
      <c r="G297" s="49"/>
    </row>
    <row r="298" spans="6:7" x14ac:dyDescent="0.25">
      <c r="F298" s="49"/>
      <c r="G298" s="49"/>
    </row>
    <row r="299" spans="6:7" x14ac:dyDescent="0.25">
      <c r="F299" s="49"/>
      <c r="G299" s="49"/>
    </row>
    <row r="300" spans="6:7" x14ac:dyDescent="0.25">
      <c r="F300" s="49"/>
      <c r="G300" s="49"/>
    </row>
    <row r="301" spans="6:7" x14ac:dyDescent="0.25">
      <c r="F301" s="49"/>
      <c r="G301" s="49"/>
    </row>
    <row r="302" spans="6:7" x14ac:dyDescent="0.25">
      <c r="F302" s="49"/>
      <c r="G302" s="49"/>
    </row>
    <row r="303" spans="6:7" x14ac:dyDescent="0.25">
      <c r="F303" s="49"/>
      <c r="G303" s="49"/>
    </row>
    <row r="304" spans="6:7" x14ac:dyDescent="0.25">
      <c r="F304" s="49"/>
      <c r="G304" s="49"/>
    </row>
    <row r="305" spans="6:7" x14ac:dyDescent="0.25">
      <c r="F305" s="49"/>
      <c r="G305" s="49"/>
    </row>
    <row r="306" spans="6:7" x14ac:dyDescent="0.25">
      <c r="F306" s="49"/>
      <c r="G306" s="49"/>
    </row>
    <row r="307" spans="6:7" x14ac:dyDescent="0.25">
      <c r="F307" s="49"/>
      <c r="G307" s="49"/>
    </row>
    <row r="308" spans="6:7" x14ac:dyDescent="0.25">
      <c r="F308" s="49"/>
      <c r="G308" s="49"/>
    </row>
    <row r="309" spans="6:7" x14ac:dyDescent="0.25">
      <c r="F309" s="49"/>
      <c r="G309" s="49"/>
    </row>
    <row r="310" spans="6:7" x14ac:dyDescent="0.25">
      <c r="F310" s="49"/>
      <c r="G310" s="49"/>
    </row>
    <row r="311" spans="6:7" x14ac:dyDescent="0.25">
      <c r="F311" s="49"/>
      <c r="G311" s="49"/>
    </row>
    <row r="312" spans="6:7" x14ac:dyDescent="0.25">
      <c r="F312" s="49"/>
      <c r="G312" s="49"/>
    </row>
    <row r="313" spans="6:7" x14ac:dyDescent="0.25">
      <c r="F313" s="49"/>
      <c r="G313" s="49"/>
    </row>
    <row r="314" spans="6:7" x14ac:dyDescent="0.25">
      <c r="F314" s="49"/>
      <c r="G314" s="49"/>
    </row>
    <row r="315" spans="6:7" x14ac:dyDescent="0.25">
      <c r="F315" s="49"/>
      <c r="G315" s="49"/>
    </row>
    <row r="316" spans="6:7" x14ac:dyDescent="0.25">
      <c r="F316" s="49"/>
      <c r="G316" s="49"/>
    </row>
    <row r="317" spans="6:7" x14ac:dyDescent="0.25">
      <c r="F317" s="49"/>
      <c r="G317" s="49"/>
    </row>
    <row r="318" spans="6:7" x14ac:dyDescent="0.25">
      <c r="F318" s="49"/>
      <c r="G318" s="49"/>
    </row>
    <row r="319" spans="6:7" x14ac:dyDescent="0.25">
      <c r="F319" s="49"/>
      <c r="G319" s="49"/>
    </row>
    <row r="320" spans="6:7" x14ac:dyDescent="0.25">
      <c r="F320" s="49"/>
      <c r="G320" s="49"/>
    </row>
    <row r="321" spans="6:7" x14ac:dyDescent="0.25">
      <c r="F321" s="49"/>
      <c r="G321" s="49"/>
    </row>
    <row r="322" spans="6:7" x14ac:dyDescent="0.25">
      <c r="F322" s="49"/>
      <c r="G322" s="49"/>
    </row>
    <row r="323" spans="6:7" x14ac:dyDescent="0.25">
      <c r="F323" s="49"/>
      <c r="G323" s="49"/>
    </row>
    <row r="324" spans="6:7" x14ac:dyDescent="0.25">
      <c r="F324" s="49"/>
      <c r="G324" s="49"/>
    </row>
    <row r="325" spans="6:7" x14ac:dyDescent="0.25">
      <c r="F325" s="49"/>
      <c r="G325" s="49"/>
    </row>
    <row r="326" spans="6:7" x14ac:dyDescent="0.25">
      <c r="F326" s="49"/>
      <c r="G326" s="49"/>
    </row>
    <row r="327" spans="6:7" x14ac:dyDescent="0.25">
      <c r="F327" s="49"/>
      <c r="G327" s="49"/>
    </row>
    <row r="328" spans="6:7" x14ac:dyDescent="0.25">
      <c r="F328" s="49"/>
      <c r="G328" s="49"/>
    </row>
    <row r="329" spans="6:7" x14ac:dyDescent="0.25">
      <c r="F329" s="49"/>
      <c r="G329" s="49"/>
    </row>
    <row r="330" spans="6:7" x14ac:dyDescent="0.25">
      <c r="F330" s="49"/>
      <c r="G330" s="49"/>
    </row>
    <row r="331" spans="6:7" x14ac:dyDescent="0.25">
      <c r="F331" s="49"/>
      <c r="G331" s="49"/>
    </row>
    <row r="332" spans="6:7" x14ac:dyDescent="0.25">
      <c r="F332" s="49"/>
      <c r="G332" s="49"/>
    </row>
    <row r="333" spans="6:7" x14ac:dyDescent="0.25">
      <c r="F333" s="49"/>
      <c r="G333" s="49"/>
    </row>
    <row r="334" spans="6:7" x14ac:dyDescent="0.25">
      <c r="F334" s="49"/>
      <c r="G334" s="49"/>
    </row>
    <row r="335" spans="6:7" x14ac:dyDescent="0.25">
      <c r="F335" s="49"/>
      <c r="G335" s="49"/>
    </row>
    <row r="336" spans="6:7" x14ac:dyDescent="0.25">
      <c r="F336" s="49"/>
      <c r="G336" s="49"/>
    </row>
    <row r="337" spans="6:7" x14ac:dyDescent="0.25">
      <c r="F337" s="49"/>
      <c r="G337" s="49"/>
    </row>
    <row r="338" spans="6:7" x14ac:dyDescent="0.25">
      <c r="F338" s="49"/>
      <c r="G338" s="49"/>
    </row>
    <row r="339" spans="6:7" x14ac:dyDescent="0.25">
      <c r="F339" s="49"/>
      <c r="G339" s="49"/>
    </row>
    <row r="340" spans="6:7" x14ac:dyDescent="0.25">
      <c r="F340" s="49"/>
      <c r="G340" s="49"/>
    </row>
    <row r="341" spans="6:7" x14ac:dyDescent="0.25">
      <c r="F341" s="49"/>
      <c r="G341" s="49"/>
    </row>
    <row r="342" spans="6:7" x14ac:dyDescent="0.25">
      <c r="F342" s="49"/>
      <c r="G342" s="49"/>
    </row>
    <row r="343" spans="6:7" x14ac:dyDescent="0.25">
      <c r="F343" s="49"/>
      <c r="G343" s="49"/>
    </row>
    <row r="344" spans="6:7" x14ac:dyDescent="0.25">
      <c r="F344" s="49"/>
      <c r="G344" s="49"/>
    </row>
    <row r="345" spans="6:7" x14ac:dyDescent="0.25">
      <c r="F345" s="49"/>
      <c r="G345" s="49"/>
    </row>
    <row r="346" spans="6:7" x14ac:dyDescent="0.25">
      <c r="F346" s="49"/>
      <c r="G346" s="49"/>
    </row>
    <row r="347" spans="6:7" x14ac:dyDescent="0.25">
      <c r="F347" s="49"/>
      <c r="G347" s="49"/>
    </row>
    <row r="348" spans="6:7" x14ac:dyDescent="0.25">
      <c r="F348" s="49"/>
      <c r="G348" s="49"/>
    </row>
    <row r="349" spans="6:7" x14ac:dyDescent="0.25">
      <c r="F349" s="49"/>
      <c r="G349" s="49"/>
    </row>
    <row r="350" spans="6:7" x14ac:dyDescent="0.25">
      <c r="F350" s="49"/>
      <c r="G350" s="49"/>
    </row>
    <row r="351" spans="6:7" x14ac:dyDescent="0.25">
      <c r="F351" s="49"/>
      <c r="G351" s="49"/>
    </row>
    <row r="352" spans="6:7" x14ac:dyDescent="0.25">
      <c r="F352" s="49"/>
      <c r="G352" s="49"/>
    </row>
    <row r="353" spans="6:7" x14ac:dyDescent="0.25">
      <c r="F353" s="49"/>
      <c r="G353" s="49"/>
    </row>
    <row r="354" spans="6:7" x14ac:dyDescent="0.25">
      <c r="F354" s="49"/>
      <c r="G354" s="49"/>
    </row>
    <row r="355" spans="6:7" x14ac:dyDescent="0.25">
      <c r="F355" s="49"/>
      <c r="G355" s="49"/>
    </row>
    <row r="356" spans="6:7" x14ac:dyDescent="0.25">
      <c r="F356" s="49"/>
      <c r="G356" s="49"/>
    </row>
    <row r="357" spans="6:7" x14ac:dyDescent="0.25">
      <c r="F357" s="49"/>
      <c r="G357" s="49"/>
    </row>
    <row r="358" spans="6:7" x14ac:dyDescent="0.25">
      <c r="F358" s="49"/>
      <c r="G358" s="49"/>
    </row>
    <row r="359" spans="6:7" x14ac:dyDescent="0.25">
      <c r="F359" s="49"/>
      <c r="G359" s="49"/>
    </row>
    <row r="360" spans="6:7" x14ac:dyDescent="0.25">
      <c r="F360" s="49"/>
      <c r="G360" s="49"/>
    </row>
    <row r="361" spans="6:7" x14ac:dyDescent="0.25">
      <c r="F361" s="49"/>
      <c r="G361" s="49"/>
    </row>
    <row r="362" spans="6:7" x14ac:dyDescent="0.25">
      <c r="F362" s="49"/>
      <c r="G362" s="49"/>
    </row>
    <row r="363" spans="6:7" x14ac:dyDescent="0.25">
      <c r="F363" s="49"/>
      <c r="G363" s="49"/>
    </row>
    <row r="364" spans="6:7" x14ac:dyDescent="0.25">
      <c r="F364" s="49"/>
      <c r="G364" s="49"/>
    </row>
    <row r="365" spans="6:7" x14ac:dyDescent="0.25">
      <c r="F365" s="49"/>
      <c r="G365" s="49"/>
    </row>
    <row r="366" spans="6:7" x14ac:dyDescent="0.25">
      <c r="F366" s="49"/>
      <c r="G366" s="49"/>
    </row>
    <row r="367" spans="6:7" x14ac:dyDescent="0.25">
      <c r="F367" s="49"/>
      <c r="G367" s="49"/>
    </row>
    <row r="368" spans="6:7" x14ac:dyDescent="0.25">
      <c r="F368" s="49"/>
      <c r="G368" s="49"/>
    </row>
    <row r="369" spans="6:7" x14ac:dyDescent="0.25">
      <c r="F369" s="49"/>
      <c r="G369" s="49"/>
    </row>
    <row r="370" spans="6:7" x14ac:dyDescent="0.25">
      <c r="F370" s="49"/>
      <c r="G370" s="49"/>
    </row>
    <row r="371" spans="6:7" x14ac:dyDescent="0.25">
      <c r="F371" s="49"/>
      <c r="G371" s="49"/>
    </row>
    <row r="372" spans="6:7" x14ac:dyDescent="0.25">
      <c r="F372" s="49"/>
      <c r="G372" s="49"/>
    </row>
    <row r="373" spans="6:7" x14ac:dyDescent="0.25">
      <c r="F373" s="49"/>
      <c r="G373" s="49"/>
    </row>
    <row r="374" spans="6:7" x14ac:dyDescent="0.25">
      <c r="F374" s="49"/>
      <c r="G374" s="49"/>
    </row>
    <row r="375" spans="6:7" x14ac:dyDescent="0.25">
      <c r="F375" s="49"/>
      <c r="G375" s="49"/>
    </row>
    <row r="376" spans="6:7" x14ac:dyDescent="0.25">
      <c r="F376" s="49"/>
      <c r="G376" s="49"/>
    </row>
    <row r="377" spans="6:7" x14ac:dyDescent="0.25">
      <c r="F377" s="49"/>
      <c r="G377" s="49"/>
    </row>
    <row r="378" spans="6:7" x14ac:dyDescent="0.25">
      <c r="F378" s="49"/>
      <c r="G378" s="49"/>
    </row>
    <row r="379" spans="6:7" x14ac:dyDescent="0.25">
      <c r="F379" s="49"/>
      <c r="G379" s="49"/>
    </row>
    <row r="380" spans="6:7" x14ac:dyDescent="0.25">
      <c r="F380" s="49"/>
      <c r="G380" s="49"/>
    </row>
    <row r="381" spans="6:7" x14ac:dyDescent="0.25">
      <c r="F381" s="49"/>
      <c r="G381" s="49"/>
    </row>
    <row r="382" spans="6:7" x14ac:dyDescent="0.25">
      <c r="F382" s="49"/>
      <c r="G382" s="49"/>
    </row>
    <row r="383" spans="6:7" x14ac:dyDescent="0.25">
      <c r="F383" s="49"/>
      <c r="G383" s="49"/>
    </row>
    <row r="384" spans="6:7" x14ac:dyDescent="0.25">
      <c r="F384" s="49"/>
      <c r="G384" s="49"/>
    </row>
    <row r="385" spans="6:7" x14ac:dyDescent="0.25">
      <c r="F385" s="49"/>
      <c r="G385" s="49"/>
    </row>
    <row r="386" spans="6:7" x14ac:dyDescent="0.25">
      <c r="F386" s="49"/>
      <c r="G386" s="49"/>
    </row>
    <row r="387" spans="6:7" x14ac:dyDescent="0.25">
      <c r="F387" s="49"/>
      <c r="G387" s="49"/>
    </row>
    <row r="388" spans="6:7" x14ac:dyDescent="0.25">
      <c r="F388" s="49"/>
      <c r="G388" s="49"/>
    </row>
    <row r="389" spans="6:7" x14ac:dyDescent="0.25">
      <c r="F389" s="49"/>
      <c r="G389" s="49"/>
    </row>
    <row r="390" spans="6:7" x14ac:dyDescent="0.25">
      <c r="F390" s="49"/>
      <c r="G390" s="49"/>
    </row>
    <row r="391" spans="6:7" x14ac:dyDescent="0.25">
      <c r="F391" s="49"/>
      <c r="G391" s="49"/>
    </row>
    <row r="392" spans="6:7" x14ac:dyDescent="0.25">
      <c r="F392" s="49"/>
      <c r="G392" s="49"/>
    </row>
    <row r="393" spans="6:7" x14ac:dyDescent="0.25">
      <c r="F393" s="49"/>
      <c r="G393" s="49"/>
    </row>
    <row r="394" spans="6:7" x14ac:dyDescent="0.25">
      <c r="F394" s="49"/>
      <c r="G394" s="49"/>
    </row>
    <row r="395" spans="6:7" x14ac:dyDescent="0.25">
      <c r="F395" s="49"/>
      <c r="G395" s="49"/>
    </row>
    <row r="396" spans="6:7" x14ac:dyDescent="0.25">
      <c r="F396" s="49"/>
      <c r="G396" s="49"/>
    </row>
    <row r="397" spans="6:7" x14ac:dyDescent="0.25">
      <c r="F397" s="49"/>
      <c r="G397" s="49"/>
    </row>
    <row r="398" spans="6:7" x14ac:dyDescent="0.25">
      <c r="F398" s="49"/>
      <c r="G398" s="49"/>
    </row>
    <row r="399" spans="6:7" x14ac:dyDescent="0.25">
      <c r="F399" s="49"/>
      <c r="G399" s="49"/>
    </row>
    <row r="400" spans="6:7" x14ac:dyDescent="0.25">
      <c r="F400" s="49"/>
      <c r="G400" s="49"/>
    </row>
    <row r="401" spans="6:7" x14ac:dyDescent="0.25">
      <c r="F401" s="49"/>
      <c r="G401" s="49"/>
    </row>
    <row r="402" spans="6:7" x14ac:dyDescent="0.25">
      <c r="F402" s="49"/>
      <c r="G402" s="49"/>
    </row>
    <row r="403" spans="6:7" x14ac:dyDescent="0.25">
      <c r="F403" s="49"/>
      <c r="G403" s="49"/>
    </row>
    <row r="404" spans="6:7" x14ac:dyDescent="0.25">
      <c r="F404" s="49"/>
      <c r="G404" s="49"/>
    </row>
    <row r="405" spans="6:7" x14ac:dyDescent="0.25">
      <c r="F405" s="49"/>
      <c r="G405" s="49"/>
    </row>
    <row r="406" spans="6:7" x14ac:dyDescent="0.25">
      <c r="F406" s="49"/>
      <c r="G406" s="49"/>
    </row>
    <row r="407" spans="6:7" x14ac:dyDescent="0.25">
      <c r="F407" s="49"/>
      <c r="G407" s="49"/>
    </row>
    <row r="408" spans="6:7" x14ac:dyDescent="0.25">
      <c r="F408" s="49"/>
      <c r="G408" s="49"/>
    </row>
    <row r="409" spans="6:7" x14ac:dyDescent="0.25">
      <c r="F409" s="49"/>
      <c r="G409" s="49"/>
    </row>
    <row r="410" spans="6:7" x14ac:dyDescent="0.25">
      <c r="F410" s="49"/>
      <c r="G410" s="49"/>
    </row>
    <row r="411" spans="6:7" x14ac:dyDescent="0.25">
      <c r="F411" s="49"/>
      <c r="G411" s="49"/>
    </row>
    <row r="412" spans="6:7" x14ac:dyDescent="0.25">
      <c r="F412" s="49"/>
      <c r="G412" s="49"/>
    </row>
    <row r="413" spans="6:7" x14ac:dyDescent="0.25">
      <c r="F413" s="49"/>
      <c r="G413" s="49"/>
    </row>
    <row r="414" spans="6:7" x14ac:dyDescent="0.25">
      <c r="F414" s="49"/>
      <c r="G414" s="49"/>
    </row>
    <row r="415" spans="6:7" x14ac:dyDescent="0.25">
      <c r="F415" s="49"/>
      <c r="G415" s="49"/>
    </row>
    <row r="416" spans="6:7" x14ac:dyDescent="0.25">
      <c r="F416" s="49"/>
      <c r="G416" s="49"/>
    </row>
    <row r="417" spans="6:7" x14ac:dyDescent="0.25">
      <c r="F417" s="49"/>
      <c r="G417" s="49"/>
    </row>
    <row r="418" spans="6:7" x14ac:dyDescent="0.25">
      <c r="F418" s="49"/>
      <c r="G418" s="49"/>
    </row>
    <row r="419" spans="6:7" x14ac:dyDescent="0.25">
      <c r="F419" s="49"/>
      <c r="G419" s="49"/>
    </row>
    <row r="420" spans="6:7" x14ac:dyDescent="0.25">
      <c r="F420" s="49"/>
      <c r="G420" s="49"/>
    </row>
    <row r="421" spans="6:7" x14ac:dyDescent="0.25">
      <c r="F421" s="49"/>
      <c r="G421" s="49"/>
    </row>
    <row r="422" spans="6:7" x14ac:dyDescent="0.25">
      <c r="F422" s="49"/>
      <c r="G422" s="49"/>
    </row>
    <row r="423" spans="6:7" x14ac:dyDescent="0.25">
      <c r="F423" s="49"/>
      <c r="G423" s="49"/>
    </row>
    <row r="424" spans="6:7" x14ac:dyDescent="0.25">
      <c r="F424" s="49"/>
      <c r="G424" s="49"/>
    </row>
    <row r="425" spans="6:7" x14ac:dyDescent="0.25">
      <c r="F425" s="49"/>
      <c r="G425" s="49"/>
    </row>
    <row r="426" spans="6:7" x14ac:dyDescent="0.25">
      <c r="F426" s="49"/>
      <c r="G426" s="49"/>
    </row>
    <row r="427" spans="6:7" x14ac:dyDescent="0.25">
      <c r="F427" s="49"/>
      <c r="G427" s="49"/>
    </row>
    <row r="428" spans="6:7" x14ac:dyDescent="0.25">
      <c r="F428" s="49"/>
      <c r="G428" s="49"/>
    </row>
    <row r="429" spans="6:7" x14ac:dyDescent="0.25">
      <c r="F429" s="49"/>
      <c r="G429" s="49"/>
    </row>
    <row r="430" spans="6:7" x14ac:dyDescent="0.25">
      <c r="F430" s="49"/>
      <c r="G430" s="49"/>
    </row>
    <row r="431" spans="6:7" x14ac:dyDescent="0.25">
      <c r="F431" s="49"/>
      <c r="G431" s="49"/>
    </row>
    <row r="432" spans="6:7" x14ac:dyDescent="0.25">
      <c r="F432" s="49"/>
      <c r="G432" s="49"/>
    </row>
    <row r="433" spans="6:7" x14ac:dyDescent="0.25">
      <c r="F433" s="49"/>
      <c r="G433" s="49"/>
    </row>
    <row r="434" spans="6:7" x14ac:dyDescent="0.25">
      <c r="F434" s="49"/>
      <c r="G434" s="49"/>
    </row>
    <row r="435" spans="6:7" x14ac:dyDescent="0.25">
      <c r="F435" s="49"/>
      <c r="G435" s="49"/>
    </row>
    <row r="436" spans="6:7" x14ac:dyDescent="0.25">
      <c r="F436" s="49"/>
      <c r="G436" s="49"/>
    </row>
    <row r="437" spans="6:7" x14ac:dyDescent="0.25">
      <c r="F437" s="49"/>
      <c r="G437" s="49"/>
    </row>
    <row r="438" spans="6:7" x14ac:dyDescent="0.25">
      <c r="F438" s="49"/>
      <c r="G438" s="49"/>
    </row>
    <row r="439" spans="6:7" x14ac:dyDescent="0.25">
      <c r="F439" s="49"/>
      <c r="G439" s="49"/>
    </row>
    <row r="440" spans="6:7" x14ac:dyDescent="0.25">
      <c r="F440" s="49"/>
      <c r="G440" s="49"/>
    </row>
    <row r="441" spans="6:7" x14ac:dyDescent="0.25">
      <c r="F441" s="49"/>
      <c r="G441" s="49"/>
    </row>
    <row r="442" spans="6:7" x14ac:dyDescent="0.25">
      <c r="F442" s="49"/>
      <c r="G442" s="49"/>
    </row>
    <row r="443" spans="6:7" x14ac:dyDescent="0.25">
      <c r="F443" s="49"/>
      <c r="G443" s="49"/>
    </row>
    <row r="444" spans="6:7" x14ac:dyDescent="0.25">
      <c r="F444" s="49"/>
      <c r="G444" s="49"/>
    </row>
    <row r="445" spans="6:7" x14ac:dyDescent="0.25">
      <c r="F445" s="49"/>
      <c r="G445" s="49"/>
    </row>
    <row r="446" spans="6:7" x14ac:dyDescent="0.25">
      <c r="F446" s="49"/>
      <c r="G446" s="49"/>
    </row>
    <row r="447" spans="6:7" x14ac:dyDescent="0.25">
      <c r="F447" s="49"/>
      <c r="G447" s="49"/>
    </row>
    <row r="448" spans="6:7" x14ac:dyDescent="0.25">
      <c r="F448" s="49"/>
      <c r="G448" s="49"/>
    </row>
    <row r="449" spans="6:7" x14ac:dyDescent="0.25">
      <c r="F449" s="49"/>
      <c r="G449" s="49"/>
    </row>
    <row r="450" spans="6:7" x14ac:dyDescent="0.25">
      <c r="F450" s="49"/>
      <c r="G450" s="49"/>
    </row>
    <row r="451" spans="6:7" x14ac:dyDescent="0.25">
      <c r="F451" s="49"/>
      <c r="G451" s="49"/>
    </row>
    <row r="452" spans="6:7" x14ac:dyDescent="0.25">
      <c r="F452" s="49"/>
      <c r="G452" s="49"/>
    </row>
    <row r="453" spans="6:7" x14ac:dyDescent="0.25">
      <c r="F453" s="49"/>
      <c r="G453" s="49"/>
    </row>
    <row r="454" spans="6:7" x14ac:dyDescent="0.25">
      <c r="F454" s="49"/>
      <c r="G454" s="49"/>
    </row>
    <row r="455" spans="6:7" x14ac:dyDescent="0.25">
      <c r="F455" s="49"/>
      <c r="G455" s="49"/>
    </row>
    <row r="456" spans="6:7" x14ac:dyDescent="0.25">
      <c r="F456" s="49"/>
      <c r="G456" s="49"/>
    </row>
    <row r="457" spans="6:7" x14ac:dyDescent="0.25">
      <c r="F457" s="49"/>
      <c r="G457" s="49"/>
    </row>
    <row r="458" spans="6:7" x14ac:dyDescent="0.25">
      <c r="F458" s="49"/>
      <c r="G458" s="49"/>
    </row>
    <row r="459" spans="6:7" x14ac:dyDescent="0.25">
      <c r="F459" s="49"/>
      <c r="G459" s="49"/>
    </row>
    <row r="460" spans="6:7" x14ac:dyDescent="0.25">
      <c r="F460" s="49"/>
      <c r="G460" s="49"/>
    </row>
    <row r="461" spans="6:7" x14ac:dyDescent="0.25">
      <c r="F461" s="49"/>
      <c r="G461" s="49"/>
    </row>
    <row r="462" spans="6:7" x14ac:dyDescent="0.25">
      <c r="F462" s="49"/>
      <c r="G462" s="49"/>
    </row>
    <row r="463" spans="6:7" x14ac:dyDescent="0.25">
      <c r="F463" s="49"/>
      <c r="G463" s="49"/>
    </row>
    <row r="464" spans="6:7" x14ac:dyDescent="0.25">
      <c r="F464" s="49"/>
      <c r="G464" s="49"/>
    </row>
    <row r="465" spans="6:7" x14ac:dyDescent="0.25">
      <c r="F465" s="49"/>
      <c r="G465" s="49"/>
    </row>
    <row r="466" spans="6:7" x14ac:dyDescent="0.25">
      <c r="F466" s="49"/>
      <c r="G466" s="49"/>
    </row>
    <row r="467" spans="6:7" x14ac:dyDescent="0.25">
      <c r="F467" s="49"/>
      <c r="G467" s="49"/>
    </row>
    <row r="468" spans="6:7" x14ac:dyDescent="0.25">
      <c r="F468" s="49"/>
      <c r="G468" s="49"/>
    </row>
    <row r="469" spans="6:7" x14ac:dyDescent="0.25">
      <c r="F469" s="49"/>
      <c r="G469" s="49"/>
    </row>
    <row r="470" spans="6:7" x14ac:dyDescent="0.25">
      <c r="F470" s="49"/>
      <c r="G470" s="49"/>
    </row>
    <row r="471" spans="6:7" x14ac:dyDescent="0.25">
      <c r="F471" s="49"/>
      <c r="G471" s="49"/>
    </row>
    <row r="472" spans="6:7" x14ac:dyDescent="0.25">
      <c r="F472" s="49"/>
      <c r="G472" s="49"/>
    </row>
    <row r="473" spans="6:7" x14ac:dyDescent="0.25">
      <c r="F473" s="49"/>
      <c r="G473" s="49"/>
    </row>
    <row r="474" spans="6:7" x14ac:dyDescent="0.25">
      <c r="F474" s="49"/>
      <c r="G474" s="49"/>
    </row>
    <row r="475" spans="6:7" x14ac:dyDescent="0.25">
      <c r="F475" s="49"/>
      <c r="G475" s="49"/>
    </row>
    <row r="476" spans="6:7" x14ac:dyDescent="0.25">
      <c r="F476" s="49"/>
      <c r="G476" s="49"/>
    </row>
    <row r="477" spans="6:7" x14ac:dyDescent="0.25">
      <c r="F477" s="49"/>
      <c r="G477" s="49"/>
    </row>
    <row r="478" spans="6:7" x14ac:dyDescent="0.25">
      <c r="F478" s="49"/>
      <c r="G478" s="49"/>
    </row>
    <row r="479" spans="6:7" x14ac:dyDescent="0.25">
      <c r="F479" s="49"/>
      <c r="G479" s="49"/>
    </row>
    <row r="480" spans="6:7" x14ac:dyDescent="0.25">
      <c r="F480" s="49"/>
      <c r="G480" s="49"/>
    </row>
    <row r="481" spans="6:7" x14ac:dyDescent="0.25">
      <c r="F481" s="49"/>
      <c r="G481" s="49"/>
    </row>
    <row r="482" spans="6:7" x14ac:dyDescent="0.25">
      <c r="F482" s="49"/>
      <c r="G482" s="49"/>
    </row>
    <row r="483" spans="6:7" x14ac:dyDescent="0.25">
      <c r="F483" s="49"/>
      <c r="G483" s="49"/>
    </row>
    <row r="484" spans="6:7" x14ac:dyDescent="0.25">
      <c r="F484" s="49"/>
      <c r="G484" s="49"/>
    </row>
    <row r="485" spans="6:7" x14ac:dyDescent="0.25">
      <c r="F485" s="49"/>
      <c r="G485" s="49"/>
    </row>
    <row r="486" spans="6:7" x14ac:dyDescent="0.25">
      <c r="F486" s="49"/>
      <c r="G486" s="49"/>
    </row>
    <row r="487" spans="6:7" x14ac:dyDescent="0.25">
      <c r="F487" s="49"/>
      <c r="G487" s="49"/>
    </row>
    <row r="488" spans="6:7" x14ac:dyDescent="0.25">
      <c r="F488" s="49"/>
      <c r="G488" s="49"/>
    </row>
    <row r="489" spans="6:7" x14ac:dyDescent="0.25">
      <c r="F489" s="49"/>
      <c r="G489" s="49"/>
    </row>
    <row r="490" spans="6:7" x14ac:dyDescent="0.25">
      <c r="F490" s="49"/>
      <c r="G490" s="49"/>
    </row>
    <row r="491" spans="6:7" x14ac:dyDescent="0.25">
      <c r="F491" s="49"/>
      <c r="G491" s="49"/>
    </row>
    <row r="492" spans="6:7" x14ac:dyDescent="0.25">
      <c r="F492" s="49"/>
      <c r="G492" s="49"/>
    </row>
    <row r="493" spans="6:7" x14ac:dyDescent="0.25">
      <c r="F493" s="49"/>
      <c r="G493" s="49"/>
    </row>
    <row r="494" spans="6:7" x14ac:dyDescent="0.25">
      <c r="F494" s="49"/>
      <c r="G494" s="49"/>
    </row>
    <row r="495" spans="6:7" x14ac:dyDescent="0.25">
      <c r="F495" s="49"/>
      <c r="G495" s="49"/>
    </row>
    <row r="496" spans="6:7" x14ac:dyDescent="0.25">
      <c r="F496" s="49"/>
      <c r="G496" s="49"/>
    </row>
    <row r="497" spans="6:7" x14ac:dyDescent="0.25">
      <c r="F497" s="49"/>
      <c r="G497" s="49"/>
    </row>
    <row r="498" spans="6:7" x14ac:dyDescent="0.25">
      <c r="F498" s="49"/>
      <c r="G498" s="49"/>
    </row>
    <row r="499" spans="6:7" x14ac:dyDescent="0.25">
      <c r="F499" s="49"/>
      <c r="G499" s="49"/>
    </row>
    <row r="500" spans="6:7" x14ac:dyDescent="0.25">
      <c r="F500" s="49"/>
      <c r="G500" s="49"/>
    </row>
    <row r="501" spans="6:7" x14ac:dyDescent="0.25">
      <c r="F501" s="49"/>
      <c r="G501" s="49"/>
    </row>
    <row r="502" spans="6:7" x14ac:dyDescent="0.25">
      <c r="F502" s="49"/>
      <c r="G502" s="49"/>
    </row>
    <row r="503" spans="6:7" x14ac:dyDescent="0.25">
      <c r="F503" s="49"/>
      <c r="G503" s="49"/>
    </row>
    <row r="504" spans="6:7" x14ac:dyDescent="0.25">
      <c r="F504" s="49"/>
      <c r="G504" s="49"/>
    </row>
    <row r="505" spans="6:7" x14ac:dyDescent="0.25">
      <c r="F505" s="49"/>
      <c r="G505" s="49"/>
    </row>
    <row r="506" spans="6:7" x14ac:dyDescent="0.25">
      <c r="F506" s="49"/>
      <c r="G506" s="49"/>
    </row>
    <row r="507" spans="6:7" x14ac:dyDescent="0.25">
      <c r="F507" s="49"/>
      <c r="G507" s="49"/>
    </row>
    <row r="508" spans="6:7" x14ac:dyDescent="0.25">
      <c r="F508" s="49"/>
      <c r="G508" s="49"/>
    </row>
    <row r="509" spans="6:7" x14ac:dyDescent="0.25">
      <c r="F509" s="49"/>
      <c r="G509" s="49"/>
    </row>
    <row r="510" spans="6:7" x14ac:dyDescent="0.25">
      <c r="F510" s="49"/>
      <c r="G510" s="49"/>
    </row>
    <row r="511" spans="6:7" x14ac:dyDescent="0.25">
      <c r="F511" s="49"/>
      <c r="G511" s="49"/>
    </row>
    <row r="512" spans="6:7" x14ac:dyDescent="0.25">
      <c r="F512" s="49"/>
      <c r="G512" s="49"/>
    </row>
    <row r="513" spans="6:7" x14ac:dyDescent="0.25">
      <c r="F513" s="49"/>
      <c r="G513" s="49"/>
    </row>
    <row r="514" spans="6:7" x14ac:dyDescent="0.25">
      <c r="F514" s="49"/>
      <c r="G514" s="49"/>
    </row>
    <row r="515" spans="6:7" x14ac:dyDescent="0.25">
      <c r="F515" s="49"/>
      <c r="G515" s="49"/>
    </row>
    <row r="516" spans="6:7" x14ac:dyDescent="0.25">
      <c r="F516" s="49"/>
      <c r="G516" s="49"/>
    </row>
    <row r="517" spans="6:7" x14ac:dyDescent="0.25">
      <c r="F517" s="49"/>
      <c r="G517" s="49"/>
    </row>
    <row r="518" spans="6:7" x14ac:dyDescent="0.25">
      <c r="F518" s="49"/>
      <c r="G518" s="49"/>
    </row>
    <row r="519" spans="6:7" x14ac:dyDescent="0.25">
      <c r="F519" s="49"/>
      <c r="G519" s="49"/>
    </row>
    <row r="520" spans="6:7" x14ac:dyDescent="0.25">
      <c r="F520" s="49"/>
      <c r="G520" s="49"/>
    </row>
    <row r="521" spans="6:7" x14ac:dyDescent="0.25">
      <c r="F521" s="49"/>
      <c r="G521" s="49"/>
    </row>
    <row r="522" spans="6:7" x14ac:dyDescent="0.25">
      <c r="F522" s="49"/>
      <c r="G522" s="49"/>
    </row>
    <row r="523" spans="6:7" x14ac:dyDescent="0.25">
      <c r="F523" s="49"/>
      <c r="G523" s="49"/>
    </row>
    <row r="524" spans="6:7" x14ac:dyDescent="0.25">
      <c r="F524" s="49"/>
      <c r="G524" s="49"/>
    </row>
    <row r="525" spans="6:7" x14ac:dyDescent="0.25">
      <c r="F525" s="49"/>
      <c r="G525" s="49"/>
    </row>
    <row r="526" spans="6:7" x14ac:dyDescent="0.25">
      <c r="F526" s="49"/>
      <c r="G526" s="49"/>
    </row>
    <row r="527" spans="6:7" x14ac:dyDescent="0.25">
      <c r="F527" s="49"/>
      <c r="G527" s="49"/>
    </row>
    <row r="528" spans="6:7" x14ac:dyDescent="0.25">
      <c r="F528" s="49"/>
      <c r="G528" s="49"/>
    </row>
    <row r="529" spans="6:7" x14ac:dyDescent="0.25">
      <c r="F529" s="49"/>
      <c r="G529" s="49"/>
    </row>
    <row r="530" spans="6:7" x14ac:dyDescent="0.25">
      <c r="F530" s="49"/>
      <c r="G530" s="49"/>
    </row>
    <row r="531" spans="6:7" x14ac:dyDescent="0.25">
      <c r="F531" s="49"/>
      <c r="G531" s="49"/>
    </row>
    <row r="532" spans="6:7" x14ac:dyDescent="0.25">
      <c r="F532" s="49"/>
      <c r="G532" s="49"/>
    </row>
    <row r="533" spans="6:7" x14ac:dyDescent="0.25">
      <c r="F533" s="49"/>
      <c r="G533" s="49"/>
    </row>
    <row r="534" spans="6:7" x14ac:dyDescent="0.25">
      <c r="F534" s="49"/>
      <c r="G534" s="49"/>
    </row>
    <row r="535" spans="6:7" x14ac:dyDescent="0.25">
      <c r="F535" s="49"/>
      <c r="G535" s="49"/>
    </row>
    <row r="536" spans="6:7" x14ac:dyDescent="0.25">
      <c r="F536" s="49"/>
      <c r="G536" s="49"/>
    </row>
    <row r="537" spans="6:7" x14ac:dyDescent="0.25">
      <c r="F537" s="49"/>
      <c r="G537" s="49"/>
    </row>
    <row r="538" spans="6:7" x14ac:dyDescent="0.25">
      <c r="F538" s="49"/>
      <c r="G538" s="49"/>
    </row>
    <row r="539" spans="6:7" x14ac:dyDescent="0.25">
      <c r="F539" s="49"/>
      <c r="G539" s="49"/>
    </row>
    <row r="540" spans="6:7" x14ac:dyDescent="0.25">
      <c r="F540" s="49"/>
      <c r="G540" s="49"/>
    </row>
    <row r="541" spans="6:7" x14ac:dyDescent="0.25">
      <c r="F541" s="49"/>
      <c r="G541" s="49"/>
    </row>
    <row r="542" spans="6:7" x14ac:dyDescent="0.25">
      <c r="F542" s="49"/>
      <c r="G542" s="49"/>
    </row>
    <row r="543" spans="6:7" x14ac:dyDescent="0.25">
      <c r="F543" s="49"/>
      <c r="G543" s="49"/>
    </row>
    <row r="544" spans="6:7" x14ac:dyDescent="0.25">
      <c r="F544" s="49"/>
      <c r="G544" s="49"/>
    </row>
    <row r="545" spans="6:7" x14ac:dyDescent="0.25">
      <c r="F545" s="49"/>
      <c r="G545" s="49"/>
    </row>
    <row r="546" spans="6:7" x14ac:dyDescent="0.25">
      <c r="F546" s="49"/>
      <c r="G546" s="49"/>
    </row>
    <row r="547" spans="6:7" x14ac:dyDescent="0.25">
      <c r="F547" s="49"/>
      <c r="G547" s="49"/>
    </row>
    <row r="548" spans="6:7" x14ac:dyDescent="0.25">
      <c r="F548" s="49"/>
      <c r="G548" s="49"/>
    </row>
    <row r="549" spans="6:7" x14ac:dyDescent="0.25">
      <c r="F549" s="49"/>
      <c r="G549" s="49"/>
    </row>
    <row r="550" spans="6:7" x14ac:dyDescent="0.25">
      <c r="F550" s="49"/>
      <c r="G550" s="49"/>
    </row>
    <row r="551" spans="6:7" x14ac:dyDescent="0.25">
      <c r="F551" s="49"/>
      <c r="G551" s="49"/>
    </row>
    <row r="552" spans="6:7" x14ac:dyDescent="0.25">
      <c r="F552" s="49"/>
      <c r="G552" s="49"/>
    </row>
    <row r="553" spans="6:7" x14ac:dyDescent="0.25">
      <c r="F553" s="49"/>
      <c r="G553" s="49"/>
    </row>
    <row r="554" spans="6:7" x14ac:dyDescent="0.25">
      <c r="F554" s="49"/>
      <c r="G554" s="49"/>
    </row>
    <row r="555" spans="6:7" x14ac:dyDescent="0.25">
      <c r="F555" s="49"/>
      <c r="G555" s="49"/>
    </row>
    <row r="556" spans="6:7" x14ac:dyDescent="0.25">
      <c r="F556" s="49"/>
      <c r="G556" s="49"/>
    </row>
    <row r="557" spans="6:7" x14ac:dyDescent="0.25">
      <c r="F557" s="49"/>
      <c r="G557" s="49"/>
    </row>
    <row r="558" spans="6:7" x14ac:dyDescent="0.25">
      <c r="F558" s="49"/>
      <c r="G558" s="49"/>
    </row>
    <row r="559" spans="6:7" x14ac:dyDescent="0.25">
      <c r="F559" s="49"/>
      <c r="G559" s="49"/>
    </row>
    <row r="560" spans="6:7" x14ac:dyDescent="0.25">
      <c r="F560" s="49"/>
      <c r="G560" s="49"/>
    </row>
    <row r="561" spans="6:7" x14ac:dyDescent="0.25">
      <c r="F561" s="49"/>
      <c r="G561" s="49"/>
    </row>
    <row r="562" spans="6:7" x14ac:dyDescent="0.25">
      <c r="F562" s="49"/>
      <c r="G562" s="49"/>
    </row>
    <row r="563" spans="6:7" x14ac:dyDescent="0.25">
      <c r="F563" s="49"/>
      <c r="G563" s="49"/>
    </row>
    <row r="564" spans="6:7" x14ac:dyDescent="0.25">
      <c r="F564" s="49"/>
      <c r="G564" s="49"/>
    </row>
    <row r="565" spans="6:7" x14ac:dyDescent="0.25">
      <c r="F565" s="49"/>
      <c r="G565" s="49"/>
    </row>
    <row r="566" spans="6:7" x14ac:dyDescent="0.25">
      <c r="F566" s="49"/>
      <c r="G566" s="49"/>
    </row>
    <row r="567" spans="6:7" x14ac:dyDescent="0.25">
      <c r="F567" s="49"/>
      <c r="G567" s="49"/>
    </row>
    <row r="568" spans="6:7" x14ac:dyDescent="0.25">
      <c r="F568" s="49"/>
      <c r="G568" s="49"/>
    </row>
    <row r="569" spans="6:7" x14ac:dyDescent="0.25">
      <c r="F569" s="49"/>
      <c r="G569" s="49"/>
    </row>
    <row r="570" spans="6:7" x14ac:dyDescent="0.25">
      <c r="F570" s="49"/>
      <c r="G570" s="49"/>
    </row>
    <row r="571" spans="6:7" x14ac:dyDescent="0.25">
      <c r="F571" s="49"/>
      <c r="G571" s="49"/>
    </row>
    <row r="572" spans="6:7" x14ac:dyDescent="0.25">
      <c r="F572" s="49"/>
      <c r="G572" s="49"/>
    </row>
    <row r="573" spans="6:7" x14ac:dyDescent="0.25">
      <c r="F573" s="49"/>
      <c r="G573" s="49"/>
    </row>
    <row r="574" spans="6:7" x14ac:dyDescent="0.25">
      <c r="F574" s="49"/>
      <c r="G574" s="49"/>
    </row>
    <row r="575" spans="6:7" x14ac:dyDescent="0.25">
      <c r="F575" s="49"/>
      <c r="G575" s="49"/>
    </row>
    <row r="576" spans="6:7" x14ac:dyDescent="0.25">
      <c r="F576" s="49"/>
      <c r="G576" s="49"/>
    </row>
    <row r="577" spans="6:7" x14ac:dyDescent="0.25">
      <c r="F577" s="49"/>
      <c r="G577" s="49"/>
    </row>
    <row r="578" spans="6:7" x14ac:dyDescent="0.25">
      <c r="F578" s="49"/>
      <c r="G578" s="49"/>
    </row>
    <row r="579" spans="6:7" x14ac:dyDescent="0.25">
      <c r="F579" s="49"/>
      <c r="G579" s="49"/>
    </row>
    <row r="580" spans="6:7" x14ac:dyDescent="0.25">
      <c r="F580" s="49"/>
      <c r="G580" s="49"/>
    </row>
    <row r="581" spans="6:7" x14ac:dyDescent="0.25">
      <c r="F581" s="49"/>
      <c r="G581" s="49"/>
    </row>
    <row r="582" spans="6:7" x14ac:dyDescent="0.25">
      <c r="F582" s="49"/>
      <c r="G582" s="49"/>
    </row>
    <row r="583" spans="6:7" x14ac:dyDescent="0.25">
      <c r="F583" s="49"/>
      <c r="G583" s="49"/>
    </row>
    <row r="584" spans="6:7" x14ac:dyDescent="0.25">
      <c r="F584" s="49"/>
      <c r="G584" s="49"/>
    </row>
    <row r="585" spans="6:7" x14ac:dyDescent="0.25">
      <c r="F585" s="49"/>
      <c r="G585" s="49"/>
    </row>
    <row r="586" spans="6:7" x14ac:dyDescent="0.25">
      <c r="F586" s="49"/>
      <c r="G586" s="49"/>
    </row>
    <row r="587" spans="6:7" x14ac:dyDescent="0.25">
      <c r="F587" s="49"/>
      <c r="G587" s="49"/>
    </row>
    <row r="588" spans="6:7" x14ac:dyDescent="0.25">
      <c r="F588" s="49"/>
      <c r="G588" s="49"/>
    </row>
    <row r="589" spans="6:7" x14ac:dyDescent="0.25">
      <c r="F589" s="49"/>
      <c r="G589" s="49"/>
    </row>
    <row r="590" spans="6:7" x14ac:dyDescent="0.25">
      <c r="F590" s="49"/>
      <c r="G590" s="49"/>
    </row>
    <row r="591" spans="6:7" x14ac:dyDescent="0.25">
      <c r="F591" s="49"/>
      <c r="G591" s="49"/>
    </row>
    <row r="592" spans="6:7" x14ac:dyDescent="0.25">
      <c r="F592" s="49"/>
      <c r="G592" s="49"/>
    </row>
    <row r="593" spans="6:7" x14ac:dyDescent="0.25">
      <c r="F593" s="49"/>
      <c r="G593" s="49"/>
    </row>
    <row r="594" spans="6:7" x14ac:dyDescent="0.25">
      <c r="F594" s="49"/>
      <c r="G594" s="49"/>
    </row>
    <row r="595" spans="6:7" x14ac:dyDescent="0.25">
      <c r="F595" s="49"/>
      <c r="G595" s="49"/>
    </row>
    <row r="596" spans="6:7" x14ac:dyDescent="0.25">
      <c r="F596" s="49"/>
      <c r="G596" s="49"/>
    </row>
    <row r="597" spans="6:7" x14ac:dyDescent="0.25">
      <c r="F597" s="49"/>
      <c r="G597" s="49"/>
    </row>
    <row r="598" spans="6:7" x14ac:dyDescent="0.25">
      <c r="F598" s="49"/>
      <c r="G598" s="49"/>
    </row>
    <row r="599" spans="6:7" x14ac:dyDescent="0.25">
      <c r="F599" s="49"/>
      <c r="G599" s="49"/>
    </row>
    <row r="600" spans="6:7" x14ac:dyDescent="0.25">
      <c r="F600" s="49"/>
      <c r="G600" s="49"/>
    </row>
    <row r="601" spans="6:7" x14ac:dyDescent="0.25">
      <c r="F601" s="49"/>
      <c r="G601" s="49"/>
    </row>
    <row r="602" spans="6:7" x14ac:dyDescent="0.25">
      <c r="F602" s="49"/>
      <c r="G602" s="49"/>
    </row>
    <row r="603" spans="6:7" x14ac:dyDescent="0.25">
      <c r="F603" s="49"/>
      <c r="G603" s="49"/>
    </row>
    <row r="604" spans="6:7" x14ac:dyDescent="0.25">
      <c r="F604" s="49"/>
      <c r="G604" s="49"/>
    </row>
    <row r="605" spans="6:7" x14ac:dyDescent="0.25">
      <c r="F605" s="49"/>
      <c r="G605" s="49"/>
    </row>
    <row r="606" spans="6:7" x14ac:dyDescent="0.25">
      <c r="F606" s="49"/>
      <c r="G606" s="49"/>
    </row>
    <row r="607" spans="6:7" x14ac:dyDescent="0.25">
      <c r="F607" s="49"/>
      <c r="G607" s="49"/>
    </row>
    <row r="608" spans="6:7" x14ac:dyDescent="0.25">
      <c r="F608" s="49"/>
      <c r="G608" s="49"/>
    </row>
    <row r="609" spans="6:7" x14ac:dyDescent="0.25">
      <c r="F609" s="49"/>
      <c r="G609" s="49"/>
    </row>
    <row r="610" spans="6:7" x14ac:dyDescent="0.25">
      <c r="F610" s="49"/>
      <c r="G610" s="49"/>
    </row>
    <row r="611" spans="6:7" x14ac:dyDescent="0.25">
      <c r="F611" s="49"/>
      <c r="G611" s="49"/>
    </row>
    <row r="612" spans="6:7" x14ac:dyDescent="0.25">
      <c r="F612" s="49"/>
      <c r="G612" s="49"/>
    </row>
    <row r="613" spans="6:7" x14ac:dyDescent="0.25">
      <c r="F613" s="49"/>
      <c r="G613" s="49"/>
    </row>
    <row r="614" spans="6:7" x14ac:dyDescent="0.25">
      <c r="F614" s="49"/>
      <c r="G614" s="49"/>
    </row>
    <row r="615" spans="6:7" x14ac:dyDescent="0.25">
      <c r="F615" s="49"/>
      <c r="G615" s="49"/>
    </row>
    <row r="616" spans="6:7" x14ac:dyDescent="0.25">
      <c r="F616" s="49"/>
      <c r="G616" s="49"/>
    </row>
    <row r="617" spans="6:7" x14ac:dyDescent="0.25">
      <c r="F617" s="49"/>
      <c r="G617" s="49"/>
    </row>
    <row r="618" spans="6:7" x14ac:dyDescent="0.25">
      <c r="F618" s="49"/>
      <c r="G618" s="49"/>
    </row>
    <row r="619" spans="6:7" x14ac:dyDescent="0.25">
      <c r="F619" s="49"/>
      <c r="G619" s="49"/>
    </row>
    <row r="620" spans="6:7" x14ac:dyDescent="0.25">
      <c r="F620" s="49"/>
      <c r="G620" s="49"/>
    </row>
    <row r="621" spans="6:7" x14ac:dyDescent="0.25">
      <c r="F621" s="49"/>
      <c r="G621" s="49"/>
    </row>
    <row r="622" spans="6:7" x14ac:dyDescent="0.25">
      <c r="F622" s="49"/>
      <c r="G622" s="49"/>
    </row>
    <row r="623" spans="6:7" x14ac:dyDescent="0.25">
      <c r="F623" s="49"/>
      <c r="G623" s="49"/>
    </row>
    <row r="624" spans="6:7" x14ac:dyDescent="0.25">
      <c r="F624" s="49"/>
      <c r="G624" s="49"/>
    </row>
    <row r="625" spans="6:7" x14ac:dyDescent="0.25">
      <c r="F625" s="49"/>
      <c r="G625" s="49"/>
    </row>
    <row r="626" spans="6:7" x14ac:dyDescent="0.25">
      <c r="F626" s="49"/>
      <c r="G626" s="49"/>
    </row>
    <row r="627" spans="6:7" x14ac:dyDescent="0.25">
      <c r="F627" s="49"/>
      <c r="G627" s="49"/>
    </row>
    <row r="628" spans="6:7" x14ac:dyDescent="0.25">
      <c r="F628" s="49"/>
      <c r="G628" s="49"/>
    </row>
    <row r="629" spans="6:7" x14ac:dyDescent="0.25">
      <c r="F629" s="49"/>
      <c r="G629" s="49"/>
    </row>
    <row r="630" spans="6:7" x14ac:dyDescent="0.25">
      <c r="F630" s="49"/>
      <c r="G630" s="49"/>
    </row>
    <row r="631" spans="6:7" x14ac:dyDescent="0.25">
      <c r="F631" s="49"/>
      <c r="G631" s="49"/>
    </row>
    <row r="632" spans="6:7" x14ac:dyDescent="0.25">
      <c r="F632" s="49"/>
      <c r="G632" s="49"/>
    </row>
    <row r="633" spans="6:7" x14ac:dyDescent="0.25">
      <c r="F633" s="49"/>
      <c r="G633" s="49"/>
    </row>
    <row r="634" spans="6:7" x14ac:dyDescent="0.25">
      <c r="F634" s="49"/>
      <c r="G634" s="49"/>
    </row>
    <row r="635" spans="6:7" x14ac:dyDescent="0.25">
      <c r="F635" s="49"/>
      <c r="G635" s="49"/>
    </row>
    <row r="636" spans="6:7" x14ac:dyDescent="0.25">
      <c r="F636" s="49"/>
      <c r="G636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7700A213FE647A2BDAE88399789CE" ma:contentTypeVersion="5" ma:contentTypeDescription="Create a new document." ma:contentTypeScope="" ma:versionID="4a4f1a4a533f44f8b30ea57a80bf1f85">
  <xsd:schema xmlns:xsd="http://www.w3.org/2001/XMLSchema" xmlns:xs="http://www.w3.org/2001/XMLSchema" xmlns:p="http://schemas.microsoft.com/office/2006/metadata/properties" xmlns:ns2="a295a52c-88f3-40a3-8405-ee78802b340e" xmlns:ns3="f5ab3860-6372-4476-aaf6-8884822c3b3b" targetNamespace="http://schemas.microsoft.com/office/2006/metadata/properties" ma:root="true" ma:fieldsID="d566a77689ae935e387f9f5d1a4cb6ee" ns2:_="" ns3:_="">
    <xsd:import namespace="a295a52c-88f3-40a3-8405-ee78802b340e"/>
    <xsd:import namespace="f5ab3860-6372-4476-aaf6-8884822c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a52c-88f3-40a3-8405-ee78802b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3860-6372-4476-aaf6-8884822c3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5ab3860-6372-4476-aaf6-8884822c3b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5E4E526-E4B2-41F4-8A90-5D480AC7FD9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2616BBD-F794-4617-95A5-AE1834830B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F6C8D-0EBE-43AE-9FAA-6C25EBE419A5}"/>
</file>

<file path=customXml/itemProps4.xml><?xml version="1.0" encoding="utf-8"?>
<ds:datastoreItem xmlns:ds="http://schemas.openxmlformats.org/officeDocument/2006/customXml" ds:itemID="{E2F28169-8B31-4921-8954-2702581F39D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5ab3860-6372-4476-aaf6-8884822c3b3b"/>
    <ds:schemaRef ds:uri="http://purl.org/dc/dcmitype/"/>
    <ds:schemaRef ds:uri="http://schemas.microsoft.com/office/infopath/2007/PartnerControls"/>
    <ds:schemaRef ds:uri="a295a52c-88f3-40a3-8405-ee78802b340e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Konsern</vt:lpstr>
      <vt:lpstr>Sandnes havn KF</vt:lpstr>
      <vt:lpstr>Sandnes bykasse</vt:lpstr>
      <vt:lpstr>Sandnes eiendomsselskap KF</vt:lpstr>
      <vt:lpstr>Sandnes parkering KF</vt:lpstr>
      <vt:lpstr>Sandnes kunst- og kulturhus KF</vt:lpstr>
      <vt:lpstr>Sandnes tomteselskap KF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Levang, Øyvind</dc:creator>
  <cp:lastModifiedBy>Levang, Øyvind</cp:lastModifiedBy>
  <cp:lastPrinted>2019-04-02T08:16:59Z</cp:lastPrinted>
  <dcterms:created xsi:type="dcterms:W3CDTF">2017-03-10T06:59:54Z</dcterms:created>
  <dcterms:modified xsi:type="dcterms:W3CDTF">2019-04-02T08:17:03Z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Rustøen, Linn Christin</vt:lpwstr>
  </property>
  <property fmtid="{D5CDD505-2E9C-101B-9397-08002B2CF9AE}" pid="3" name="Order">
    <vt:lpwstr>7700.00000000000</vt:lpwstr>
  </property>
  <property fmtid="{D5CDD505-2E9C-101B-9397-08002B2CF9AE}" pid="4" name="ComplianceAssetId">
    <vt:lpwstr/>
  </property>
  <property fmtid="{D5CDD505-2E9C-101B-9397-08002B2CF9AE}" pid="5" name="SharedWithUsers">
    <vt:lpwstr/>
  </property>
  <property fmtid="{D5CDD505-2E9C-101B-9397-08002B2CF9AE}" pid="6" name="display_urn:schemas-microsoft-com:office:office#Author">
    <vt:lpwstr>Årtun, Guri</vt:lpwstr>
  </property>
  <property fmtid="{D5CDD505-2E9C-101B-9397-08002B2CF9AE}" pid="7" name="ContentTypeId">
    <vt:lpwstr>0x010100D9E7700A213FE647A2BDAE88399789CE</vt:lpwstr>
  </property>
  <property fmtid="{D5CDD505-2E9C-101B-9397-08002B2CF9AE}" pid="8" name="AuthorIds_UIVersion_1024">
    <vt:lpwstr>17</vt:lpwstr>
  </property>
</Properties>
</file>