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udsjett og analyse\HEGE\HØP\HØP 2023-2026\"/>
    </mc:Choice>
  </mc:AlternateContent>
  <xr:revisionPtr revIDLastSave="0" documentId="13_ncr:1_{369279DF-489D-4A91-92B3-660C46632F04}" xr6:coauthVersionLast="47" xr6:coauthVersionMax="47" xr10:uidLastSave="{00000000-0000-0000-0000-000000000000}"/>
  <bookViews>
    <workbookView xWindow="4680" yWindow="1770" windowWidth="24150" windowHeight="19830" xr2:uid="{00000000-000D-0000-FFFF-FFFF00000000}"/>
  </bookViews>
  <sheets>
    <sheet name="VEDTATT" sheetId="48" r:id="rId1"/>
    <sheet name="11.10.22 ENDELIG" sheetId="47" r:id="rId2"/>
    <sheet name="LÅST ETTER STATSBUDSJETT" sheetId="46" r:id="rId3"/>
    <sheet name="ENDELIG FØR STATSBUD" sheetId="45" state="hidden" r:id="rId4"/>
    <sheet name="13.09.22" sheetId="44" state="hidden" r:id="rId5"/>
    <sheet name="30.08.2022 Tiltaksliste 23-26" sheetId="43" state="hidden" r:id="rId6"/>
    <sheet name="05.08.22 Tiltaksliste 2023-2026" sheetId="42" state="hidden" r:id="rId7"/>
    <sheet name="Tiltaksliste 2023-2026" sheetId="41" state="hidden" r:id="rId8"/>
    <sheet name="ETTER STATUSBUDSJETT 12.10.21" sheetId="39" state="hidden" r:id="rId9"/>
    <sheet name="14.09.21 LÅST SISTE VERSJON" sheetId="38" state="hidden" r:id="rId10"/>
    <sheet name="31.08.21 GJELDENDE" sheetId="36" state="hidden" r:id="rId11"/>
    <sheet name="Etter KLG 15.06.2021" sheetId="34" state="hidden" r:id="rId12"/>
    <sheet name="Start ny tiltaksliste HØP 22-25" sheetId="33" r:id="rId13"/>
    <sheet name="Internhusleie21-24" sheetId="35" state="hidden" r:id="rId14"/>
    <sheet name="Div" sheetId="3" r:id="rId15"/>
    <sheet name="Internhusleie oppsummert2021" sheetId="21" state="hidden" r:id="rId16"/>
  </sheets>
  <externalReferences>
    <externalReference r:id="rId17"/>
    <externalReference r:id="rId18"/>
  </externalReferences>
  <definedNames>
    <definedName name="_xlnm._FilterDatabase" localSheetId="6" hidden="1">'05.08.22 Tiltaksliste 2023-2026'!$A$28:$K$328</definedName>
    <definedName name="_xlnm._FilterDatabase" localSheetId="2" hidden="1">'LÅST ETTER STATSBUDSJETT'!$A$28:$J$248</definedName>
    <definedName name="_xlnm._FilterDatabase" localSheetId="12" hidden="1">'Start ny tiltaksliste HØP 22-25'!$A$26:$J$365</definedName>
    <definedName name="_xlnm._FilterDatabase" localSheetId="7" hidden="1">'Tiltaksliste 2023-2026'!$A$28:$J$321</definedName>
    <definedName name="_xlnm._FilterDatabase" localSheetId="0" hidden="1">VEDTATT!$B$3:$F$257</definedName>
    <definedName name="kOSTNADSTYPE">[1]Div!$D$3:$D$5</definedName>
  </definedNames>
  <calcPr calcId="191028" iterate="1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7" i="48" l="1"/>
  <c r="E237" i="48"/>
  <c r="D237" i="48"/>
  <c r="C237" i="48"/>
  <c r="F230" i="48"/>
  <c r="E230" i="48"/>
  <c r="D230" i="48"/>
  <c r="C230" i="48"/>
  <c r="C196" i="48"/>
  <c r="D130" i="48"/>
  <c r="C130" i="48"/>
  <c r="F114" i="48"/>
  <c r="E114" i="48"/>
  <c r="D114" i="48"/>
  <c r="C114" i="48"/>
  <c r="D113" i="48"/>
  <c r="E113" i="48" s="1"/>
  <c r="F113" i="48" s="1"/>
  <c r="D104" i="48"/>
  <c r="E104" i="48" s="1"/>
  <c r="F104" i="48" s="1"/>
  <c r="D101" i="48"/>
  <c r="C67" i="48"/>
  <c r="C73" i="48" s="1"/>
  <c r="E44" i="48"/>
  <c r="F44" i="48" s="1"/>
  <c r="F64" i="47"/>
  <c r="E101" i="48" l="1"/>
  <c r="C91" i="48"/>
  <c r="D73" i="48"/>
  <c r="E73" i="48" s="1"/>
  <c r="F73" i="48" s="1"/>
  <c r="D67" i="48"/>
  <c r="E67" i="48" s="1"/>
  <c r="F67" i="48" s="1"/>
  <c r="F13" i="47"/>
  <c r="F101" i="48" l="1"/>
  <c r="C96" i="48"/>
  <c r="D91" i="48"/>
  <c r="E91" i="48" s="1"/>
  <c r="F91" i="48" s="1"/>
  <c r="F243" i="47"/>
  <c r="B140" i="47"/>
  <c r="B139" i="47"/>
  <c r="B138" i="47"/>
  <c r="B136" i="47"/>
  <c r="B135" i="47"/>
  <c r="B134" i="47"/>
  <c r="B133" i="47"/>
  <c r="B132" i="47"/>
  <c r="B131" i="47"/>
  <c r="B129" i="47"/>
  <c r="B128" i="47"/>
  <c r="B127" i="47"/>
  <c r="B126" i="47"/>
  <c r="B125" i="47"/>
  <c r="B124" i="47"/>
  <c r="B123" i="47"/>
  <c r="B122" i="47"/>
  <c r="B121" i="47"/>
  <c r="B120" i="47"/>
  <c r="B119" i="47"/>
  <c r="B118" i="47"/>
  <c r="B117" i="47"/>
  <c r="B116" i="47"/>
  <c r="B115" i="47"/>
  <c r="B114" i="47"/>
  <c r="B113" i="47"/>
  <c r="B112" i="47"/>
  <c r="B111" i="47"/>
  <c r="B110" i="47"/>
  <c r="B109" i="47"/>
  <c r="B108" i="47"/>
  <c r="B107" i="47"/>
  <c r="B105" i="47"/>
  <c r="B104" i="47"/>
  <c r="I25" i="47"/>
  <c r="H25" i="47"/>
  <c r="G25" i="47"/>
  <c r="F25" i="47"/>
  <c r="F26" i="47" s="1"/>
  <c r="I19" i="47"/>
  <c r="H19" i="47"/>
  <c r="G19" i="47"/>
  <c r="F19" i="47"/>
  <c r="I16" i="47"/>
  <c r="H16" i="47"/>
  <c r="G16" i="47"/>
  <c r="F16" i="47"/>
  <c r="I12" i="47"/>
  <c r="H12" i="47"/>
  <c r="G12" i="47"/>
  <c r="F12" i="47"/>
  <c r="I9" i="47"/>
  <c r="H9" i="47"/>
  <c r="G9" i="47"/>
  <c r="F9" i="47"/>
  <c r="I8" i="47"/>
  <c r="H8" i="47"/>
  <c r="G8" i="47"/>
  <c r="F8" i="47"/>
  <c r="F22" i="47" s="1"/>
  <c r="G112" i="47"/>
  <c r="H112" i="47" s="1"/>
  <c r="G115" i="47"/>
  <c r="H115" i="47" s="1"/>
  <c r="I115" i="47" s="1"/>
  <c r="G122" i="47"/>
  <c r="H122" i="47" s="1"/>
  <c r="I122" i="47" s="1"/>
  <c r="F123" i="47"/>
  <c r="G123" i="47"/>
  <c r="H123" i="47"/>
  <c r="I123" i="47"/>
  <c r="F136" i="47"/>
  <c r="G136" i="47"/>
  <c r="B146" i="47"/>
  <c r="B147" i="47"/>
  <c r="B148" i="47"/>
  <c r="B149" i="47"/>
  <c r="B150" i="47"/>
  <c r="B156" i="47"/>
  <c r="B157" i="47"/>
  <c r="B159" i="47"/>
  <c r="B160" i="47"/>
  <c r="B161" i="47"/>
  <c r="B163" i="47"/>
  <c r="B165" i="47"/>
  <c r="B166" i="47"/>
  <c r="B167" i="47"/>
  <c r="B168" i="47"/>
  <c r="B169" i="47"/>
  <c r="B170" i="47"/>
  <c r="B171" i="47"/>
  <c r="B172" i="47"/>
  <c r="B173" i="47"/>
  <c r="B174" i="47"/>
  <c r="B175" i="47"/>
  <c r="B176" i="47"/>
  <c r="B181" i="47"/>
  <c r="B182" i="47"/>
  <c r="B183" i="47"/>
  <c r="B184" i="47"/>
  <c r="B185" i="47"/>
  <c r="B186" i="47"/>
  <c r="B187" i="47"/>
  <c r="B191" i="47"/>
  <c r="B192" i="47"/>
  <c r="B193" i="47"/>
  <c r="F193" i="47"/>
  <c r="B194" i="47"/>
  <c r="B195" i="47"/>
  <c r="B200" i="47"/>
  <c r="B201" i="47"/>
  <c r="B202" i="47"/>
  <c r="B203" i="47"/>
  <c r="B204" i="47"/>
  <c r="B205" i="47"/>
  <c r="B206" i="47"/>
  <c r="B207" i="47"/>
  <c r="B208" i="47"/>
  <c r="B209" i="47"/>
  <c r="B210" i="47"/>
  <c r="B211" i="47"/>
  <c r="B212" i="47"/>
  <c r="B213" i="47"/>
  <c r="B214" i="47"/>
  <c r="B215" i="47"/>
  <c r="B216" i="47"/>
  <c r="B217" i="47"/>
  <c r="B218" i="47"/>
  <c r="B219" i="47"/>
  <c r="B220" i="47"/>
  <c r="B221" i="47"/>
  <c r="B222" i="47"/>
  <c r="B223" i="47"/>
  <c r="F223" i="47"/>
  <c r="G223" i="47"/>
  <c r="H223" i="47"/>
  <c r="I223" i="47"/>
  <c r="B224" i="47"/>
  <c r="B225" i="47"/>
  <c r="B226" i="47"/>
  <c r="B227" i="47"/>
  <c r="B228" i="47"/>
  <c r="B229" i="47"/>
  <c r="F229" i="47"/>
  <c r="G229" i="47"/>
  <c r="H229" i="47"/>
  <c r="I229" i="47"/>
  <c r="B230" i="47"/>
  <c r="B231" i="47"/>
  <c r="B232" i="47"/>
  <c r="B233" i="47"/>
  <c r="B234" i="47"/>
  <c r="B235" i="47"/>
  <c r="B236" i="47"/>
  <c r="B237" i="47"/>
  <c r="B238" i="47"/>
  <c r="B239" i="47"/>
  <c r="B240" i="47"/>
  <c r="B241" i="47"/>
  <c r="B242" i="47"/>
  <c r="H69" i="47"/>
  <c r="I69" i="47" s="1"/>
  <c r="B70" i="47"/>
  <c r="B71" i="47"/>
  <c r="B72" i="47"/>
  <c r="B73" i="47"/>
  <c r="B74" i="47"/>
  <c r="B75" i="47"/>
  <c r="B76" i="47"/>
  <c r="B77" i="47"/>
  <c r="B78" i="47"/>
  <c r="B79" i="47"/>
  <c r="B80" i="47"/>
  <c r="B81" i="47"/>
  <c r="B82" i="47"/>
  <c r="B83" i="47"/>
  <c r="B84" i="47"/>
  <c r="B85" i="47"/>
  <c r="B86" i="47"/>
  <c r="F86" i="47"/>
  <c r="G86" i="47" s="1"/>
  <c r="H86" i="47" s="1"/>
  <c r="I86" i="47" s="1"/>
  <c r="B87" i="47"/>
  <c r="B88" i="47"/>
  <c r="B89" i="47"/>
  <c r="B90" i="47"/>
  <c r="B91" i="47"/>
  <c r="B92" i="47"/>
  <c r="B93" i="47"/>
  <c r="B94" i="47"/>
  <c r="B95" i="47"/>
  <c r="B96" i="47"/>
  <c r="B97" i="47"/>
  <c r="B98" i="47"/>
  <c r="B99" i="47"/>
  <c r="B100" i="47"/>
  <c r="F65" i="47"/>
  <c r="B31" i="47"/>
  <c r="B32" i="47"/>
  <c r="B33" i="47"/>
  <c r="B34" i="47"/>
  <c r="B35" i="47"/>
  <c r="B36" i="47"/>
  <c r="B37" i="47"/>
  <c r="B38" i="47"/>
  <c r="B39" i="47"/>
  <c r="B40" i="47"/>
  <c r="B42" i="47"/>
  <c r="B44" i="47"/>
  <c r="B45" i="47"/>
  <c r="B46" i="47"/>
  <c r="B47" i="47"/>
  <c r="B48" i="47"/>
  <c r="B49" i="47"/>
  <c r="B50" i="47"/>
  <c r="B51" i="47"/>
  <c r="B53" i="47"/>
  <c r="B54" i="47"/>
  <c r="B56" i="47"/>
  <c r="B57" i="47"/>
  <c r="B58" i="47"/>
  <c r="B59" i="47"/>
  <c r="B60" i="47"/>
  <c r="B61" i="47"/>
  <c r="B62" i="47"/>
  <c r="G26" i="47"/>
  <c r="H26" i="47"/>
  <c r="I26" i="47"/>
  <c r="G4" i="47"/>
  <c r="G65" i="47" s="1"/>
  <c r="A5" i="47"/>
  <c r="I243" i="47" s="1"/>
  <c r="B208" i="46"/>
  <c r="M37" i="46"/>
  <c r="C110" i="48" l="1"/>
  <c r="D96" i="48"/>
  <c r="E96" i="48" s="1"/>
  <c r="F96" i="48" s="1"/>
  <c r="F18" i="47"/>
  <c r="H13" i="47"/>
  <c r="H18" i="47" s="1"/>
  <c r="F178" i="47"/>
  <c r="F101" i="47"/>
  <c r="G141" i="47"/>
  <c r="G178" i="47"/>
  <c r="G196" i="47"/>
  <c r="G13" i="47"/>
  <c r="G18" i="47" s="1"/>
  <c r="G101" i="47"/>
  <c r="H141" i="47"/>
  <c r="H178" i="47"/>
  <c r="H196" i="47"/>
  <c r="F196" i="47"/>
  <c r="F244" i="47" s="1"/>
  <c r="H101" i="47"/>
  <c r="I178" i="47"/>
  <c r="I196" i="47"/>
  <c r="I64" i="47"/>
  <c r="F141" i="47"/>
  <c r="I101" i="47"/>
  <c r="F151" i="47"/>
  <c r="F188" i="47"/>
  <c r="G151" i="47"/>
  <c r="G188" i="47"/>
  <c r="G243" i="47"/>
  <c r="G64" i="47"/>
  <c r="H151" i="47"/>
  <c r="H188" i="47"/>
  <c r="H243" i="47"/>
  <c r="H64" i="47"/>
  <c r="I151" i="47"/>
  <c r="I188" i="47"/>
  <c r="H4" i="47"/>
  <c r="H65" i="47" s="1"/>
  <c r="I112" i="47"/>
  <c r="I13" i="47" s="1"/>
  <c r="F91" i="47"/>
  <c r="F104" i="47" s="1"/>
  <c r="M39" i="46"/>
  <c r="C123" i="48" l="1"/>
  <c r="D110" i="48"/>
  <c r="E110" i="48" s="1"/>
  <c r="F110" i="48" s="1"/>
  <c r="H244" i="47"/>
  <c r="G244" i="47"/>
  <c r="G20" i="47"/>
  <c r="H22" i="47"/>
  <c r="I4" i="47"/>
  <c r="I141" i="47"/>
  <c r="I244" i="47" s="1"/>
  <c r="H20" i="47"/>
  <c r="F20" i="47"/>
  <c r="G27" i="47"/>
  <c r="H27" i="47"/>
  <c r="F27" i="47"/>
  <c r="I18" i="47"/>
  <c r="G22" i="47"/>
  <c r="H5" i="47"/>
  <c r="H6" i="47" s="1"/>
  <c r="H66" i="47"/>
  <c r="I65" i="47"/>
  <c r="I66" i="47" s="1"/>
  <c r="G91" i="47"/>
  <c r="H91" i="47" s="1"/>
  <c r="I91" i="47" s="1"/>
  <c r="G5" i="47"/>
  <c r="G6" i="47" s="1"/>
  <c r="G66" i="47"/>
  <c r="I5" i="47"/>
  <c r="I6" i="47" s="1"/>
  <c r="F5" i="47"/>
  <c r="F6" i="47" s="1"/>
  <c r="F66" i="47"/>
  <c r="I22" i="47"/>
  <c r="B33" i="46"/>
  <c r="B34" i="46"/>
  <c r="B35" i="46"/>
  <c r="B207" i="46"/>
  <c r="B206" i="46"/>
  <c r="C132" i="48" l="1"/>
  <c r="D123" i="48"/>
  <c r="E123" i="48" s="1"/>
  <c r="F123" i="48" s="1"/>
  <c r="I27" i="47"/>
  <c r="I20" i="47"/>
  <c r="I14" i="47"/>
  <c r="I10" i="47"/>
  <c r="H10" i="47"/>
  <c r="H14" i="47"/>
  <c r="G14" i="47"/>
  <c r="G10" i="47"/>
  <c r="F14" i="47"/>
  <c r="F10" i="47"/>
  <c r="B90" i="46"/>
  <c r="F13" i="45"/>
  <c r="F8" i="45"/>
  <c r="B126" i="46"/>
  <c r="D132" i="48" l="1"/>
  <c r="E132" i="48" s="1"/>
  <c r="F132" i="48" s="1"/>
  <c r="G104" i="47"/>
  <c r="H104" i="47" s="1"/>
  <c r="I104" i="47" s="1"/>
  <c r="F107" i="47"/>
  <c r="B209" i="46"/>
  <c r="B210" i="46"/>
  <c r="B211" i="46"/>
  <c r="B212" i="46"/>
  <c r="B213" i="46"/>
  <c r="B214" i="46"/>
  <c r="B215" i="46"/>
  <c r="B216" i="46"/>
  <c r="B217" i="46"/>
  <c r="B218" i="46"/>
  <c r="B219" i="46"/>
  <c r="B220" i="46"/>
  <c r="B221" i="46"/>
  <c r="B222" i="46"/>
  <c r="B223" i="46"/>
  <c r="B224" i="46"/>
  <c r="B225" i="46"/>
  <c r="B226" i="46"/>
  <c r="B227" i="46"/>
  <c r="B228" i="46"/>
  <c r="B229" i="46"/>
  <c r="B230" i="46"/>
  <c r="B231" i="46"/>
  <c r="B232" i="46"/>
  <c r="B233" i="46"/>
  <c r="B234" i="46"/>
  <c r="B235" i="46"/>
  <c r="B236" i="46"/>
  <c r="B237" i="46"/>
  <c r="B238" i="46"/>
  <c r="B239" i="46"/>
  <c r="B240" i="46"/>
  <c r="B241" i="46"/>
  <c r="B242" i="46"/>
  <c r="B243" i="46"/>
  <c r="B244" i="46"/>
  <c r="B245" i="46"/>
  <c r="B246" i="46"/>
  <c r="B247" i="46"/>
  <c r="F245" i="45"/>
  <c r="G107" i="47" l="1"/>
  <c r="H107" i="47" s="1"/>
  <c r="I107" i="47" s="1"/>
  <c r="F119" i="47"/>
  <c r="G228" i="46"/>
  <c r="H228" i="46"/>
  <c r="I228" i="46"/>
  <c r="F228" i="46"/>
  <c r="B197" i="45"/>
  <c r="B109" i="46"/>
  <c r="B110" i="46"/>
  <c r="B112" i="46"/>
  <c r="B113" i="46"/>
  <c r="B114" i="46"/>
  <c r="B115" i="46"/>
  <c r="B116" i="46"/>
  <c r="B117" i="46"/>
  <c r="G117" i="46"/>
  <c r="H117" i="46" s="1"/>
  <c r="B118" i="46"/>
  <c r="B119" i="46"/>
  <c r="B120" i="46"/>
  <c r="G120" i="46"/>
  <c r="H120" i="46" s="1"/>
  <c r="I120" i="46" s="1"/>
  <c r="B121" i="46"/>
  <c r="B122" i="46"/>
  <c r="B123" i="46"/>
  <c r="B124" i="46"/>
  <c r="B125" i="46"/>
  <c r="B127" i="46"/>
  <c r="G127" i="46"/>
  <c r="H127" i="46" s="1"/>
  <c r="I127" i="46" s="1"/>
  <c r="B128" i="46"/>
  <c r="F128" i="46"/>
  <c r="G128" i="46"/>
  <c r="H128" i="46"/>
  <c r="I128" i="46"/>
  <c r="B129" i="46"/>
  <c r="B130" i="46"/>
  <c r="B131" i="46"/>
  <c r="B132" i="46"/>
  <c r="B133" i="46"/>
  <c r="B134" i="46"/>
  <c r="B136" i="46"/>
  <c r="B137" i="46"/>
  <c r="B138" i="46"/>
  <c r="B139" i="46"/>
  <c r="B140" i="46"/>
  <c r="B141" i="46"/>
  <c r="F141" i="46"/>
  <c r="J77" i="46" s="1"/>
  <c r="G141" i="46"/>
  <c r="B143" i="46"/>
  <c r="B144" i="46"/>
  <c r="B145" i="46"/>
  <c r="B151" i="46"/>
  <c r="B152" i="46"/>
  <c r="B153" i="46"/>
  <c r="B154" i="46"/>
  <c r="B155" i="46"/>
  <c r="B161" i="46"/>
  <c r="B162" i="46"/>
  <c r="B164" i="46"/>
  <c r="B165" i="46"/>
  <c r="B166" i="46"/>
  <c r="B168" i="46"/>
  <c r="B170" i="46"/>
  <c r="B171" i="46"/>
  <c r="B172" i="46"/>
  <c r="B173" i="46"/>
  <c r="B174" i="46"/>
  <c r="B175" i="46"/>
  <c r="B176" i="46"/>
  <c r="B177" i="46"/>
  <c r="B178" i="46"/>
  <c r="B179" i="46"/>
  <c r="B180" i="46"/>
  <c r="B181" i="46"/>
  <c r="B186" i="46"/>
  <c r="B187" i="46"/>
  <c r="B188" i="46"/>
  <c r="B189" i="46"/>
  <c r="B190" i="46"/>
  <c r="B191" i="46"/>
  <c r="B192" i="46"/>
  <c r="B196" i="46"/>
  <c r="B197" i="46"/>
  <c r="B198" i="46"/>
  <c r="F198" i="46"/>
  <c r="B199" i="46"/>
  <c r="B200" i="46"/>
  <c r="B205" i="46"/>
  <c r="F234" i="46"/>
  <c r="G234" i="46"/>
  <c r="H234" i="46"/>
  <c r="I234" i="46"/>
  <c r="B106" i="46"/>
  <c r="F107" i="46"/>
  <c r="G107" i="46"/>
  <c r="H107" i="46"/>
  <c r="I107" i="46"/>
  <c r="H70" i="46"/>
  <c r="I70" i="46" s="1"/>
  <c r="B71" i="46"/>
  <c r="B72" i="46"/>
  <c r="B73" i="46"/>
  <c r="B74" i="46"/>
  <c r="B75" i="46"/>
  <c r="B76" i="46"/>
  <c r="B77" i="46"/>
  <c r="B78" i="46"/>
  <c r="B79" i="46"/>
  <c r="B80" i="46"/>
  <c r="B81" i="46"/>
  <c r="B82" i="46"/>
  <c r="B83" i="46"/>
  <c r="B84" i="46"/>
  <c r="B85" i="46"/>
  <c r="B86" i="46"/>
  <c r="B87" i="46"/>
  <c r="F87" i="46"/>
  <c r="G87" i="46" s="1"/>
  <c r="H87" i="46" s="1"/>
  <c r="I87" i="46" s="1"/>
  <c r="B88" i="46"/>
  <c r="B89" i="46"/>
  <c r="B91" i="46"/>
  <c r="B92" i="46"/>
  <c r="B93" i="46"/>
  <c r="B94" i="46"/>
  <c r="B95" i="46"/>
  <c r="B96" i="46"/>
  <c r="B97" i="46"/>
  <c r="B98" i="46"/>
  <c r="B99" i="46"/>
  <c r="B100" i="46"/>
  <c r="B101" i="46"/>
  <c r="F66" i="46"/>
  <c r="B31" i="46"/>
  <c r="B32" i="46"/>
  <c r="B37" i="46"/>
  <c r="T57" i="46"/>
  <c r="T58" i="46" s="1"/>
  <c r="O39" i="46"/>
  <c r="V57" i="46"/>
  <c r="V58" i="46" s="1"/>
  <c r="B38" i="46"/>
  <c r="B39" i="46"/>
  <c r="B40" i="46"/>
  <c r="B41" i="46"/>
  <c r="B43" i="46"/>
  <c r="B45" i="46"/>
  <c r="B46" i="46"/>
  <c r="B47" i="46"/>
  <c r="B48" i="46"/>
  <c r="B49" i="46"/>
  <c r="M49" i="46"/>
  <c r="M51" i="46" s="1"/>
  <c r="N49" i="46"/>
  <c r="N51" i="46" s="1"/>
  <c r="O49" i="46"/>
  <c r="O51" i="46" s="1"/>
  <c r="P49" i="46"/>
  <c r="P51" i="46" s="1"/>
  <c r="B50" i="46"/>
  <c r="B51" i="46"/>
  <c r="B52" i="46"/>
  <c r="B54" i="46"/>
  <c r="B55" i="46"/>
  <c r="B57" i="46"/>
  <c r="B58" i="46"/>
  <c r="B59" i="46"/>
  <c r="B60" i="46"/>
  <c r="B61" i="46"/>
  <c r="B62" i="46"/>
  <c r="B63" i="46"/>
  <c r="F25" i="46"/>
  <c r="F26" i="46" s="1"/>
  <c r="G25" i="46"/>
  <c r="G26" i="46" s="1"/>
  <c r="H25" i="46"/>
  <c r="H26" i="46" s="1"/>
  <c r="I25" i="46"/>
  <c r="I26" i="46" s="1"/>
  <c r="F19" i="46"/>
  <c r="G19" i="46"/>
  <c r="H19" i="46"/>
  <c r="I19" i="46"/>
  <c r="F16" i="46"/>
  <c r="G16" i="46"/>
  <c r="H16" i="46"/>
  <c r="I16" i="46"/>
  <c r="F12" i="46"/>
  <c r="G12" i="46"/>
  <c r="H12" i="46"/>
  <c r="I12" i="46"/>
  <c r="F8" i="46"/>
  <c r="G8" i="46"/>
  <c r="H8" i="46"/>
  <c r="I8" i="46"/>
  <c r="F9" i="46"/>
  <c r="G9" i="46"/>
  <c r="H9" i="46"/>
  <c r="I9" i="46"/>
  <c r="G4" i="46"/>
  <c r="G66" i="46" s="1"/>
  <c r="A5" i="46"/>
  <c r="B224" i="45"/>
  <c r="B225" i="45"/>
  <c r="B226" i="45"/>
  <c r="G139" i="45"/>
  <c r="F139" i="45"/>
  <c r="B221" i="45"/>
  <c r="B227" i="45"/>
  <c r="B228" i="45"/>
  <c r="B229" i="45"/>
  <c r="B230" i="45"/>
  <c r="B231" i="45"/>
  <c r="B232" i="45"/>
  <c r="B233" i="45"/>
  <c r="B234" i="45"/>
  <c r="B235" i="45"/>
  <c r="B236" i="45"/>
  <c r="B237" i="45"/>
  <c r="B238" i="45"/>
  <c r="B239" i="45"/>
  <c r="B240" i="45"/>
  <c r="B241" i="45"/>
  <c r="B242" i="45"/>
  <c r="B243" i="45"/>
  <c r="B244" i="45"/>
  <c r="B210" i="45"/>
  <c r="B211" i="45"/>
  <c r="B212" i="45"/>
  <c r="B213" i="45"/>
  <c r="B214" i="45"/>
  <c r="B215" i="45"/>
  <c r="B216" i="45"/>
  <c r="B217" i="45"/>
  <c r="B218" i="45"/>
  <c r="B219" i="45"/>
  <c r="B220" i="45"/>
  <c r="B222" i="45"/>
  <c r="B223" i="45"/>
  <c r="F129" i="47" l="1"/>
  <c r="G119" i="47"/>
  <c r="H119" i="47" s="1"/>
  <c r="I119" i="47" s="1"/>
  <c r="G183" i="46"/>
  <c r="F65" i="46"/>
  <c r="F248" i="46"/>
  <c r="G201" i="46"/>
  <c r="F13" i="46"/>
  <c r="P39" i="46"/>
  <c r="S57" i="46"/>
  <c r="S58" i="46" s="1"/>
  <c r="F92" i="46"/>
  <c r="G92" i="46" s="1"/>
  <c r="H92" i="46" s="1"/>
  <c r="I92" i="46" s="1"/>
  <c r="U57" i="46"/>
  <c r="U58" i="46" s="1"/>
  <c r="G13" i="46"/>
  <c r="G18" i="46" s="1"/>
  <c r="I117" i="46"/>
  <c r="I146" i="46" s="1"/>
  <c r="H13" i="46"/>
  <c r="H18" i="46" s="1"/>
  <c r="I102" i="46"/>
  <c r="H4" i="46"/>
  <c r="H102" i="46"/>
  <c r="I183" i="46"/>
  <c r="H146" i="46"/>
  <c r="G102" i="46"/>
  <c r="I193" i="46"/>
  <c r="H183" i="46"/>
  <c r="G146" i="46"/>
  <c r="F102" i="46"/>
  <c r="I201" i="46"/>
  <c r="H193" i="46"/>
  <c r="I156" i="46"/>
  <c r="F146" i="46"/>
  <c r="I65" i="46"/>
  <c r="H201" i="46"/>
  <c r="G193" i="46"/>
  <c r="F183" i="46"/>
  <c r="H156" i="46"/>
  <c r="N39" i="46"/>
  <c r="H65" i="46"/>
  <c r="F193" i="46"/>
  <c r="G156" i="46"/>
  <c r="G65" i="46"/>
  <c r="F201" i="46"/>
  <c r="F156" i="46"/>
  <c r="G8" i="45"/>
  <c r="H8" i="45"/>
  <c r="I8" i="45"/>
  <c r="F12" i="45"/>
  <c r="G12" i="45"/>
  <c r="H12" i="45"/>
  <c r="I12" i="45"/>
  <c r="F16" i="45"/>
  <c r="G16" i="45"/>
  <c r="H16" i="45"/>
  <c r="I16" i="45"/>
  <c r="F19" i="45"/>
  <c r="G19" i="45"/>
  <c r="H19" i="45"/>
  <c r="I19" i="45"/>
  <c r="F25" i="45"/>
  <c r="G25" i="45"/>
  <c r="H25" i="45"/>
  <c r="I25" i="45"/>
  <c r="C158" i="48" l="1"/>
  <c r="G129" i="47"/>
  <c r="H129" i="47" s="1"/>
  <c r="I129" i="47" s="1"/>
  <c r="F138" i="47"/>
  <c r="F249" i="46"/>
  <c r="I13" i="46"/>
  <c r="I18" i="46" s="1"/>
  <c r="F105" i="46"/>
  <c r="G105" i="46" s="1"/>
  <c r="H105" i="46" s="1"/>
  <c r="I105" i="46" s="1"/>
  <c r="F18" i="46"/>
  <c r="F27" i="46" s="1"/>
  <c r="F22" i="46"/>
  <c r="G22" i="46"/>
  <c r="H22" i="46"/>
  <c r="G67" i="46"/>
  <c r="G5" i="46"/>
  <c r="G6" i="46" s="1"/>
  <c r="H66" i="46"/>
  <c r="H67" i="46" s="1"/>
  <c r="I4" i="46"/>
  <c r="F67" i="46"/>
  <c r="F5" i="46"/>
  <c r="F6" i="46" s="1"/>
  <c r="I5" i="46"/>
  <c r="H5" i="46"/>
  <c r="H6" i="46" s="1"/>
  <c r="G126" i="45"/>
  <c r="H126" i="45"/>
  <c r="I126" i="45"/>
  <c r="F126" i="45"/>
  <c r="I55" i="45"/>
  <c r="H55" i="45"/>
  <c r="G55" i="45"/>
  <c r="F55" i="45"/>
  <c r="I230" i="45"/>
  <c r="H230" i="45"/>
  <c r="G230" i="45"/>
  <c r="F230" i="45"/>
  <c r="B209" i="45"/>
  <c r="B208" i="45"/>
  <c r="B207" i="45"/>
  <c r="B206" i="45"/>
  <c r="B205" i="45"/>
  <c r="B204" i="45"/>
  <c r="B199" i="45"/>
  <c r="B198" i="45"/>
  <c r="F196" i="45"/>
  <c r="B196" i="45"/>
  <c r="B195" i="45"/>
  <c r="B194" i="45"/>
  <c r="B190" i="45"/>
  <c r="B189" i="45"/>
  <c r="B188" i="45"/>
  <c r="B187" i="45"/>
  <c r="B186" i="45"/>
  <c r="B185" i="45"/>
  <c r="B184" i="45"/>
  <c r="B179" i="45"/>
  <c r="B178" i="45"/>
  <c r="B177" i="45"/>
  <c r="B176" i="45"/>
  <c r="B175" i="45"/>
  <c r="B174" i="45"/>
  <c r="B173" i="45"/>
  <c r="B172" i="45"/>
  <c r="B171" i="45"/>
  <c r="B170" i="45"/>
  <c r="B169" i="45"/>
  <c r="B168" i="45"/>
  <c r="B166" i="45"/>
  <c r="B164" i="45"/>
  <c r="B163" i="45"/>
  <c r="B162" i="45"/>
  <c r="B160" i="45"/>
  <c r="B159" i="45"/>
  <c r="B153" i="45"/>
  <c r="B152" i="45"/>
  <c r="B151" i="45"/>
  <c r="B150" i="45"/>
  <c r="B149" i="45"/>
  <c r="B143" i="45"/>
  <c r="B142" i="45"/>
  <c r="B141" i="45"/>
  <c r="B139" i="45"/>
  <c r="B138" i="45"/>
  <c r="B137" i="45"/>
  <c r="B136" i="45"/>
  <c r="B135" i="45"/>
  <c r="B134" i="45"/>
  <c r="B132" i="45"/>
  <c r="B131" i="45"/>
  <c r="B130" i="45"/>
  <c r="B129" i="45"/>
  <c r="B128" i="45"/>
  <c r="B127" i="45"/>
  <c r="B126" i="45"/>
  <c r="G125" i="45"/>
  <c r="H125" i="45" s="1"/>
  <c r="I125" i="45" s="1"/>
  <c r="B125" i="45"/>
  <c r="B124" i="45"/>
  <c r="B123" i="45"/>
  <c r="B122" i="45"/>
  <c r="B121" i="45"/>
  <c r="B120" i="45"/>
  <c r="G119" i="45"/>
  <c r="H119" i="45" s="1"/>
  <c r="I119" i="45" s="1"/>
  <c r="B119" i="45"/>
  <c r="B118" i="45"/>
  <c r="B117" i="45"/>
  <c r="G116" i="45"/>
  <c r="B116" i="45"/>
  <c r="B115" i="45"/>
  <c r="B114" i="45"/>
  <c r="B113" i="45"/>
  <c r="B112" i="45"/>
  <c r="B111" i="45"/>
  <c r="B109" i="45"/>
  <c r="B108" i="45"/>
  <c r="I106" i="45"/>
  <c r="I9" i="45" s="1"/>
  <c r="H106" i="45"/>
  <c r="H9" i="45" s="1"/>
  <c r="G106" i="45"/>
  <c r="G9" i="45" s="1"/>
  <c r="F106" i="45"/>
  <c r="F9" i="45" s="1"/>
  <c r="B105" i="45"/>
  <c r="B100" i="45"/>
  <c r="B99" i="45"/>
  <c r="B98" i="45"/>
  <c r="B97" i="45"/>
  <c r="B96" i="45"/>
  <c r="B95" i="45"/>
  <c r="B94" i="45"/>
  <c r="B93" i="45"/>
  <c r="B92" i="45"/>
  <c r="B91" i="45"/>
  <c r="B90" i="45"/>
  <c r="B89" i="45"/>
  <c r="B88" i="45"/>
  <c r="F87" i="45"/>
  <c r="F91" i="45" s="1"/>
  <c r="B87" i="45"/>
  <c r="B86" i="45"/>
  <c r="B85" i="45"/>
  <c r="B84" i="45"/>
  <c r="B83" i="45"/>
  <c r="B82" i="45"/>
  <c r="B81" i="45"/>
  <c r="B80" i="45"/>
  <c r="B79" i="45"/>
  <c r="B78" i="45"/>
  <c r="J77" i="45"/>
  <c r="B77" i="45"/>
  <c r="B76" i="45"/>
  <c r="B75" i="45"/>
  <c r="B74" i="45"/>
  <c r="B73" i="45"/>
  <c r="B72" i="45"/>
  <c r="B71" i="45"/>
  <c r="H70" i="45"/>
  <c r="I70" i="45" s="1"/>
  <c r="F66" i="45"/>
  <c r="B63" i="45"/>
  <c r="B62" i="45"/>
  <c r="B61" i="45"/>
  <c r="B60" i="45"/>
  <c r="B59" i="45"/>
  <c r="B58" i="45"/>
  <c r="B57" i="45"/>
  <c r="B55" i="45"/>
  <c r="B54" i="45"/>
  <c r="B52" i="45"/>
  <c r="B51" i="45"/>
  <c r="B50" i="45"/>
  <c r="P49" i="45"/>
  <c r="P51" i="45" s="1"/>
  <c r="O49" i="45"/>
  <c r="O51" i="45" s="1"/>
  <c r="N49" i="45"/>
  <c r="N51" i="45" s="1"/>
  <c r="M49" i="45"/>
  <c r="M51" i="45" s="1"/>
  <c r="B49" i="45"/>
  <c r="B48" i="45"/>
  <c r="B47" i="45"/>
  <c r="B46" i="45"/>
  <c r="B45" i="45"/>
  <c r="B43" i="45"/>
  <c r="B41" i="45"/>
  <c r="B40" i="45"/>
  <c r="B39" i="45"/>
  <c r="B38" i="45"/>
  <c r="P37" i="45"/>
  <c r="P39" i="45" s="1"/>
  <c r="O37" i="45"/>
  <c r="O39" i="45" s="1"/>
  <c r="N37" i="45"/>
  <c r="T57" i="45" s="1"/>
  <c r="T58" i="45" s="1"/>
  <c r="M37" i="45"/>
  <c r="S57" i="45" s="1"/>
  <c r="S58" i="45" s="1"/>
  <c r="B37" i="45"/>
  <c r="B36" i="45"/>
  <c r="B35" i="45"/>
  <c r="B34" i="45"/>
  <c r="B33" i="45"/>
  <c r="B32" i="45"/>
  <c r="B31" i="45"/>
  <c r="I26" i="45"/>
  <c r="H26" i="45"/>
  <c r="G26" i="45"/>
  <c r="F26" i="45"/>
  <c r="A5" i="45"/>
  <c r="G4" i="45"/>
  <c r="G66" i="45" s="1"/>
  <c r="D158" i="48" l="1"/>
  <c r="E158" i="48" s="1"/>
  <c r="F158" i="48" s="1"/>
  <c r="C162" i="48"/>
  <c r="G138" i="47"/>
  <c r="H138" i="47" s="1"/>
  <c r="I138" i="47" s="1"/>
  <c r="F144" i="47"/>
  <c r="F109" i="46"/>
  <c r="I22" i="46"/>
  <c r="F20" i="46"/>
  <c r="H10" i="46"/>
  <c r="H14" i="46"/>
  <c r="G109" i="46"/>
  <c r="H109" i="46" s="1"/>
  <c r="I109" i="46" s="1"/>
  <c r="F112" i="46"/>
  <c r="I6" i="46"/>
  <c r="I66" i="46"/>
  <c r="I67" i="46" s="1"/>
  <c r="F10" i="46"/>
  <c r="F14" i="46"/>
  <c r="G10" i="46"/>
  <c r="G14" i="46"/>
  <c r="F18" i="45"/>
  <c r="F27" i="45" s="1"/>
  <c r="F65" i="45"/>
  <c r="F101" i="45"/>
  <c r="F181" i="45"/>
  <c r="F200" i="45"/>
  <c r="H65" i="45"/>
  <c r="H101" i="45"/>
  <c r="H154" i="45"/>
  <c r="H181" i="45"/>
  <c r="H191" i="45"/>
  <c r="H200" i="45"/>
  <c r="H245" i="45"/>
  <c r="G65" i="45"/>
  <c r="G101" i="45"/>
  <c r="G144" i="45"/>
  <c r="G154" i="45"/>
  <c r="G181" i="45"/>
  <c r="G191" i="45"/>
  <c r="G200" i="45"/>
  <c r="G245" i="45"/>
  <c r="I65" i="45"/>
  <c r="I101" i="45"/>
  <c r="I154" i="45"/>
  <c r="I181" i="45"/>
  <c r="I191" i="45"/>
  <c r="I200" i="45"/>
  <c r="I245" i="45"/>
  <c r="F144" i="45"/>
  <c r="F154" i="45"/>
  <c r="F191" i="45"/>
  <c r="H116" i="45"/>
  <c r="H13" i="45" s="1"/>
  <c r="H18" i="45" s="1"/>
  <c r="G13" i="45"/>
  <c r="G18" i="45" s="1"/>
  <c r="M39" i="45"/>
  <c r="N39" i="45"/>
  <c r="F104" i="45"/>
  <c r="G91" i="45"/>
  <c r="H91" i="45" s="1"/>
  <c r="I91" i="45" s="1"/>
  <c r="U57" i="45"/>
  <c r="U58" i="45" s="1"/>
  <c r="H4" i="45"/>
  <c r="V57" i="45"/>
  <c r="V58" i="45" s="1"/>
  <c r="G87" i="45"/>
  <c r="H87" i="45" s="1"/>
  <c r="I87" i="45" s="1"/>
  <c r="C172" i="48" l="1"/>
  <c r="D162" i="48"/>
  <c r="E162" i="48" s="1"/>
  <c r="F162" i="48" s="1"/>
  <c r="C182" i="48"/>
  <c r="G144" i="47"/>
  <c r="H144" i="47" s="1"/>
  <c r="I144" i="47" s="1"/>
  <c r="F153" i="47"/>
  <c r="I14" i="46"/>
  <c r="I10" i="46"/>
  <c r="G112" i="46"/>
  <c r="H112" i="46" s="1"/>
  <c r="I112" i="46" s="1"/>
  <c r="F124" i="46"/>
  <c r="I116" i="45"/>
  <c r="I13" i="45" s="1"/>
  <c r="I18" i="45" s="1"/>
  <c r="F20" i="45"/>
  <c r="G22" i="45"/>
  <c r="G27" i="45"/>
  <c r="H144" i="45"/>
  <c r="H27" i="45" s="1"/>
  <c r="G20" i="45"/>
  <c r="F22" i="45"/>
  <c r="H22" i="45"/>
  <c r="G104" i="45"/>
  <c r="H104" i="45" s="1"/>
  <c r="I104" i="45" s="1"/>
  <c r="F108" i="45"/>
  <c r="H5" i="45"/>
  <c r="H6" i="45" s="1"/>
  <c r="H66" i="45"/>
  <c r="H67" i="45" s="1"/>
  <c r="I4" i="45"/>
  <c r="F67" i="45"/>
  <c r="F5" i="45"/>
  <c r="F6" i="45" s="1"/>
  <c r="F14" i="45" s="1"/>
  <c r="I5" i="45"/>
  <c r="G67" i="45"/>
  <c r="G5" i="45"/>
  <c r="G6" i="45" s="1"/>
  <c r="C193" i="48" l="1"/>
  <c r="D182" i="48"/>
  <c r="E182" i="48" s="1"/>
  <c r="F182" i="48" s="1"/>
  <c r="C177" i="48"/>
  <c r="D177" i="48" s="1"/>
  <c r="E177" i="48" s="1"/>
  <c r="F177" i="48" s="1"/>
  <c r="D172" i="48"/>
  <c r="E172" i="48" s="1"/>
  <c r="F172" i="48" s="1"/>
  <c r="F155" i="47"/>
  <c r="G153" i="47"/>
  <c r="H153" i="47" s="1"/>
  <c r="I153" i="47" s="1"/>
  <c r="F134" i="46"/>
  <c r="G124" i="46"/>
  <c r="H124" i="46" s="1"/>
  <c r="I124" i="46" s="1"/>
  <c r="I144" i="45"/>
  <c r="I27" i="45" s="1"/>
  <c r="I22" i="45"/>
  <c r="H20" i="45"/>
  <c r="H14" i="45"/>
  <c r="H10" i="45"/>
  <c r="I66" i="45"/>
  <c r="I67" i="45" s="1"/>
  <c r="I6" i="45"/>
  <c r="I14" i="45" s="1"/>
  <c r="F111" i="45"/>
  <c r="G108" i="45"/>
  <c r="H108" i="45" s="1"/>
  <c r="I108" i="45" s="1"/>
  <c r="G14" i="45"/>
  <c r="G10" i="45"/>
  <c r="F10" i="45"/>
  <c r="C203" i="48" l="1"/>
  <c r="D193" i="48"/>
  <c r="E193" i="48" s="1"/>
  <c r="F193" i="48" s="1"/>
  <c r="F159" i="47"/>
  <c r="G155" i="47"/>
  <c r="H155" i="47" s="1"/>
  <c r="I155" i="47" s="1"/>
  <c r="G134" i="46"/>
  <c r="H134" i="46" s="1"/>
  <c r="I134" i="46" s="1"/>
  <c r="F143" i="46"/>
  <c r="I20" i="45"/>
  <c r="I10" i="45"/>
  <c r="F123" i="45"/>
  <c r="G111" i="45"/>
  <c r="H111" i="45" s="1"/>
  <c r="I111" i="45" s="1"/>
  <c r="C241" i="48" l="1"/>
  <c r="D241" i="48" s="1"/>
  <c r="E241" i="48" s="1"/>
  <c r="F241" i="48" s="1"/>
  <c r="D203" i="48"/>
  <c r="E203" i="48" s="1"/>
  <c r="F203" i="48" s="1"/>
  <c r="F163" i="47"/>
  <c r="G163" i="47" s="1"/>
  <c r="H163" i="47" s="1"/>
  <c r="I163" i="47" s="1"/>
  <c r="G159" i="47"/>
  <c r="H159" i="47" s="1"/>
  <c r="I159" i="47" s="1"/>
  <c r="F165" i="47"/>
  <c r="F149" i="46"/>
  <c r="G143" i="46"/>
  <c r="H143" i="46" s="1"/>
  <c r="I143" i="46" s="1"/>
  <c r="G123" i="45"/>
  <c r="H123" i="45" s="1"/>
  <c r="I123" i="45" s="1"/>
  <c r="F132" i="45"/>
  <c r="F180" i="47" l="1"/>
  <c r="G165" i="47"/>
  <c r="H165" i="47" s="1"/>
  <c r="I165" i="47" s="1"/>
  <c r="F171" i="47"/>
  <c r="G149" i="46"/>
  <c r="H149" i="46" s="1"/>
  <c r="I149" i="46" s="1"/>
  <c r="F158" i="46"/>
  <c r="F141" i="45"/>
  <c r="G132" i="45"/>
  <c r="H132" i="45" s="1"/>
  <c r="I132" i="45" s="1"/>
  <c r="G171" i="47" l="1"/>
  <c r="H171" i="47" s="1"/>
  <c r="I171" i="47" s="1"/>
  <c r="F175" i="47"/>
  <c r="G175" i="47" s="1"/>
  <c r="H175" i="47" s="1"/>
  <c r="I175" i="47" s="1"/>
  <c r="G180" i="47"/>
  <c r="H180" i="47" s="1"/>
  <c r="I180" i="47" s="1"/>
  <c r="F190" i="47"/>
  <c r="F160" i="46"/>
  <c r="G158" i="46"/>
  <c r="H158" i="46" s="1"/>
  <c r="I158" i="46" s="1"/>
  <c r="F147" i="45"/>
  <c r="G141" i="45"/>
  <c r="H141" i="45" s="1"/>
  <c r="I141" i="45" s="1"/>
  <c r="G190" i="47" l="1"/>
  <c r="H190" i="47" s="1"/>
  <c r="I190" i="47" s="1"/>
  <c r="F199" i="47"/>
  <c r="F164" i="46"/>
  <c r="G160" i="46"/>
  <c r="H160" i="46" s="1"/>
  <c r="I160" i="46" s="1"/>
  <c r="F156" i="45"/>
  <c r="G147" i="45"/>
  <c r="H147" i="45" s="1"/>
  <c r="I147" i="45" s="1"/>
  <c r="F232" i="47" l="1"/>
  <c r="G232" i="47" s="1"/>
  <c r="H232" i="47" s="1"/>
  <c r="I232" i="47" s="1"/>
  <c r="G199" i="47"/>
  <c r="H199" i="47" s="1"/>
  <c r="I199" i="47" s="1"/>
  <c r="G164" i="46"/>
  <c r="H164" i="46" s="1"/>
  <c r="I164" i="46" s="1"/>
  <c r="F170" i="46"/>
  <c r="F168" i="46"/>
  <c r="G168" i="46" s="1"/>
  <c r="H168" i="46" s="1"/>
  <c r="I168" i="46" s="1"/>
  <c r="F158" i="45"/>
  <c r="G156" i="45"/>
  <c r="H156" i="45" s="1"/>
  <c r="I156" i="45" s="1"/>
  <c r="G170" i="46" l="1"/>
  <c r="H170" i="46" s="1"/>
  <c r="I170" i="46" s="1"/>
  <c r="F185" i="46"/>
  <c r="F176" i="46"/>
  <c r="F162" i="45"/>
  <c r="G158" i="45"/>
  <c r="H158" i="45" s="1"/>
  <c r="I158" i="45" s="1"/>
  <c r="G176" i="46" l="1"/>
  <c r="H176" i="46" s="1"/>
  <c r="I176" i="46" s="1"/>
  <c r="F180" i="46"/>
  <c r="G180" i="46" s="1"/>
  <c r="H180" i="46" s="1"/>
  <c r="I180" i="46" s="1"/>
  <c r="G185" i="46"/>
  <c r="H185" i="46" s="1"/>
  <c r="I185" i="46" s="1"/>
  <c r="F195" i="46"/>
  <c r="F168" i="45"/>
  <c r="F166" i="45"/>
  <c r="G166" i="45" s="1"/>
  <c r="H166" i="45" s="1"/>
  <c r="I166" i="45" s="1"/>
  <c r="G162" i="45"/>
  <c r="H162" i="45" s="1"/>
  <c r="I162" i="45" s="1"/>
  <c r="F204" i="46" l="1"/>
  <c r="F237" i="46" s="1"/>
  <c r="G195" i="46"/>
  <c r="H195" i="46" s="1"/>
  <c r="I195" i="46" s="1"/>
  <c r="F183" i="45"/>
  <c r="F174" i="45"/>
  <c r="G168" i="45"/>
  <c r="H168" i="45" s="1"/>
  <c r="I168" i="45" s="1"/>
  <c r="G204" i="46" l="1"/>
  <c r="H204" i="46" s="1"/>
  <c r="I204" i="46" s="1"/>
  <c r="G174" i="45"/>
  <c r="H174" i="45" s="1"/>
  <c r="I174" i="45" s="1"/>
  <c r="F178" i="45"/>
  <c r="G178" i="45" s="1"/>
  <c r="H178" i="45" s="1"/>
  <c r="I178" i="45" s="1"/>
  <c r="G183" i="45"/>
  <c r="H183" i="45" s="1"/>
  <c r="I183" i="45" s="1"/>
  <c r="F193" i="45"/>
  <c r="G193" i="45" l="1"/>
  <c r="H193" i="45" s="1"/>
  <c r="I193" i="45" s="1"/>
  <c r="F203" i="45"/>
  <c r="G237" i="46" l="1"/>
  <c r="F205" i="45"/>
  <c r="G203" i="45"/>
  <c r="H203" i="45" s="1"/>
  <c r="I203" i="45" s="1"/>
  <c r="H237" i="46" l="1"/>
  <c r="G248" i="46"/>
  <c r="G205" i="45"/>
  <c r="H205" i="45" s="1"/>
  <c r="I205" i="45" s="1"/>
  <c r="F234" i="45"/>
  <c r="G234" i="45" s="1"/>
  <c r="H234" i="45" s="1"/>
  <c r="I234" i="45" s="1"/>
  <c r="G27" i="46" l="1"/>
  <c r="G20" i="46"/>
  <c r="I237" i="46"/>
  <c r="I248" i="46" s="1"/>
  <c r="H248" i="46"/>
  <c r="M37" i="44"/>
  <c r="S57" i="44" s="1"/>
  <c r="S58" i="44" s="1"/>
  <c r="B211" i="44"/>
  <c r="N49" i="44"/>
  <c r="O49" i="44"/>
  <c r="O51" i="44" s="1"/>
  <c r="P49" i="44"/>
  <c r="P51" i="44" s="1"/>
  <c r="M49" i="44"/>
  <c r="M51" i="44" s="1"/>
  <c r="N51" i="44"/>
  <c r="N37" i="44"/>
  <c r="N39" i="44" s="1"/>
  <c r="O37" i="44"/>
  <c r="O39" i="44" s="1"/>
  <c r="P37" i="44"/>
  <c r="P39" i="44" s="1"/>
  <c r="G16" i="44"/>
  <c r="B201" i="44"/>
  <c r="G227" i="44"/>
  <c r="H227" i="44"/>
  <c r="I227" i="44"/>
  <c r="F227" i="44"/>
  <c r="I20" i="46" l="1"/>
  <c r="I27" i="46"/>
  <c r="H27" i="46"/>
  <c r="H20" i="46"/>
  <c r="M39" i="44"/>
  <c r="T57" i="44"/>
  <c r="T58" i="44" s="1"/>
  <c r="U57" i="44"/>
  <c r="U58" i="44" s="1"/>
  <c r="V57" i="44"/>
  <c r="V58" i="44" s="1"/>
  <c r="B128" i="44"/>
  <c r="B129" i="44"/>
  <c r="B130" i="44"/>
  <c r="B131" i="44"/>
  <c r="B132" i="44"/>
  <c r="B123" i="44" l="1"/>
  <c r="B122" i="44"/>
  <c r="H120" i="43" l="1"/>
  <c r="I120" i="43"/>
  <c r="H121" i="43"/>
  <c r="I121" i="43"/>
  <c r="G121" i="43"/>
  <c r="G120" i="43"/>
  <c r="B172" i="44" l="1"/>
  <c r="B173" i="44"/>
  <c r="B98" i="44"/>
  <c r="B199" i="44"/>
  <c r="B197" i="44"/>
  <c r="B189" i="44"/>
  <c r="B241" i="44" l="1"/>
  <c r="B240" i="44"/>
  <c r="B239" i="44"/>
  <c r="B238" i="44"/>
  <c r="B237" i="44"/>
  <c r="B236" i="44"/>
  <c r="B235" i="44"/>
  <c r="B234" i="44"/>
  <c r="B233" i="44"/>
  <c r="B232" i="44"/>
  <c r="B231" i="44"/>
  <c r="B230" i="44"/>
  <c r="B229" i="44"/>
  <c r="B228" i="44"/>
  <c r="B227" i="44"/>
  <c r="B226" i="44"/>
  <c r="B225" i="44"/>
  <c r="B224" i="44"/>
  <c r="B223" i="44"/>
  <c r="B222" i="44"/>
  <c r="B221" i="44"/>
  <c r="B220" i="44"/>
  <c r="B219" i="44"/>
  <c r="B218" i="44"/>
  <c r="B217" i="44"/>
  <c r="B216" i="44"/>
  <c r="B215" i="44"/>
  <c r="B214" i="44"/>
  <c r="B213" i="44"/>
  <c r="B212" i="44"/>
  <c r="B210" i="44"/>
  <c r="B209" i="44"/>
  <c r="B208" i="44"/>
  <c r="B207" i="44"/>
  <c r="B206" i="44"/>
  <c r="B200" i="44"/>
  <c r="F198" i="44"/>
  <c r="B198" i="44"/>
  <c r="B196" i="44"/>
  <c r="B192" i="44"/>
  <c r="B191" i="44"/>
  <c r="B190" i="44"/>
  <c r="B188" i="44"/>
  <c r="B187" i="44"/>
  <c r="B186" i="44"/>
  <c r="B181" i="44"/>
  <c r="B180" i="44"/>
  <c r="B179" i="44"/>
  <c r="B178" i="44"/>
  <c r="B177" i="44"/>
  <c r="B176" i="44"/>
  <c r="B175" i="44"/>
  <c r="B174" i="44"/>
  <c r="B171" i="44"/>
  <c r="B170" i="44"/>
  <c r="B168" i="44"/>
  <c r="B166" i="44"/>
  <c r="B165" i="44"/>
  <c r="B164" i="44"/>
  <c r="B162" i="44"/>
  <c r="B161" i="44"/>
  <c r="B159" i="44"/>
  <c r="B155" i="44"/>
  <c r="B154" i="44"/>
  <c r="B153" i="44"/>
  <c r="B152" i="44"/>
  <c r="B151" i="44"/>
  <c r="B150" i="44"/>
  <c r="B145" i="44"/>
  <c r="B144" i="44"/>
  <c r="B143" i="44"/>
  <c r="B141" i="44"/>
  <c r="G140" i="44"/>
  <c r="F140" i="44"/>
  <c r="J77" i="44" s="1"/>
  <c r="B140" i="44"/>
  <c r="B139" i="44"/>
  <c r="B138" i="44"/>
  <c r="B137" i="44"/>
  <c r="B136" i="44"/>
  <c r="B135" i="44"/>
  <c r="B133" i="44"/>
  <c r="B127" i="44"/>
  <c r="G126" i="44"/>
  <c r="H126" i="44" s="1"/>
  <c r="I126" i="44" s="1"/>
  <c r="B126" i="44"/>
  <c r="B125" i="44"/>
  <c r="B124" i="44"/>
  <c r="B121" i="44"/>
  <c r="G120" i="44"/>
  <c r="H120" i="44" s="1"/>
  <c r="I120" i="44" s="1"/>
  <c r="B120" i="44"/>
  <c r="B119" i="44"/>
  <c r="B118" i="44"/>
  <c r="G117" i="44"/>
  <c r="B117" i="44"/>
  <c r="B116" i="44"/>
  <c r="B115" i="44"/>
  <c r="B114" i="44"/>
  <c r="B113" i="44"/>
  <c r="B112" i="44"/>
  <c r="B110" i="44"/>
  <c r="B109" i="44"/>
  <c r="I107" i="44"/>
  <c r="I9" i="44" s="1"/>
  <c r="H107" i="44"/>
  <c r="G107" i="44"/>
  <c r="G9" i="44" s="1"/>
  <c r="F107" i="44"/>
  <c r="F9" i="44" s="1"/>
  <c r="B107" i="44"/>
  <c r="B106" i="44"/>
  <c r="B101" i="44"/>
  <c r="B100" i="44"/>
  <c r="B99" i="44"/>
  <c r="B97" i="44"/>
  <c r="B96" i="44"/>
  <c r="B95" i="44"/>
  <c r="B94" i="44"/>
  <c r="B93" i="44"/>
  <c r="B92" i="44"/>
  <c r="B91" i="44"/>
  <c r="B90" i="44"/>
  <c r="B89" i="44"/>
  <c r="B88" i="44"/>
  <c r="F87" i="44"/>
  <c r="F92" i="44" s="1"/>
  <c r="B87" i="44"/>
  <c r="B86" i="44"/>
  <c r="B85" i="44"/>
  <c r="B84" i="44"/>
  <c r="B83" i="44"/>
  <c r="B82" i="44"/>
  <c r="B81" i="44"/>
  <c r="B80" i="44"/>
  <c r="B79" i="44"/>
  <c r="B78" i="44"/>
  <c r="B77" i="44"/>
  <c r="B76" i="44"/>
  <c r="B75" i="44"/>
  <c r="B74" i="44"/>
  <c r="B73" i="44"/>
  <c r="B72" i="44"/>
  <c r="B71" i="44"/>
  <c r="H70" i="44"/>
  <c r="I70" i="44" s="1"/>
  <c r="F66" i="44"/>
  <c r="B63" i="44"/>
  <c r="B62" i="44"/>
  <c r="B61" i="44"/>
  <c r="B60" i="44"/>
  <c r="B59" i="44"/>
  <c r="B58" i="44"/>
  <c r="B57" i="44"/>
  <c r="B56" i="44"/>
  <c r="B55" i="44"/>
  <c r="B54" i="44"/>
  <c r="B53" i="44"/>
  <c r="B52" i="44"/>
  <c r="B51" i="44"/>
  <c r="B50" i="44"/>
  <c r="B49" i="44"/>
  <c r="B48" i="44"/>
  <c r="B47" i="44"/>
  <c r="B46" i="44"/>
  <c r="B45" i="44"/>
  <c r="B44" i="44"/>
  <c r="B43" i="44"/>
  <c r="B42" i="44"/>
  <c r="B41" i="44"/>
  <c r="B40" i="44"/>
  <c r="B39" i="44"/>
  <c r="B38" i="44"/>
  <c r="B37" i="44"/>
  <c r="B36" i="44"/>
  <c r="B35" i="44"/>
  <c r="B34" i="44"/>
  <c r="B33" i="44"/>
  <c r="B32" i="44"/>
  <c r="B31" i="44"/>
  <c r="I25" i="44"/>
  <c r="I26" i="44" s="1"/>
  <c r="H25" i="44"/>
  <c r="H26" i="44" s="1"/>
  <c r="G25" i="44"/>
  <c r="G26" i="44" s="1"/>
  <c r="F25" i="44"/>
  <c r="F26" i="44" s="1"/>
  <c r="I19" i="44"/>
  <c r="H19" i="44"/>
  <c r="G19" i="44"/>
  <c r="F19" i="44"/>
  <c r="I16" i="44"/>
  <c r="H16" i="44"/>
  <c r="F16" i="44"/>
  <c r="I12" i="44"/>
  <c r="H12" i="44"/>
  <c r="G12" i="44"/>
  <c r="F12" i="44"/>
  <c r="H9" i="44"/>
  <c r="I8" i="44"/>
  <c r="H8" i="44"/>
  <c r="G8" i="44"/>
  <c r="F8" i="44"/>
  <c r="A5" i="44"/>
  <c r="I242" i="44" s="1"/>
  <c r="G4" i="44"/>
  <c r="G66" i="44" s="1"/>
  <c r="F13" i="44" l="1"/>
  <c r="F18" i="44" s="1"/>
  <c r="G13" i="44"/>
  <c r="G18" i="44" s="1"/>
  <c r="H117" i="44"/>
  <c r="I117" i="44" s="1"/>
  <c r="I146" i="44" s="1"/>
  <c r="H65" i="44"/>
  <c r="H5" i="44" s="1"/>
  <c r="I102" i="44"/>
  <c r="H202" i="44"/>
  <c r="I13" i="44"/>
  <c r="I22" i="44" s="1"/>
  <c r="G183" i="44"/>
  <c r="H4" i="44"/>
  <c r="H66" i="44" s="1"/>
  <c r="H156" i="44"/>
  <c r="H13" i="44"/>
  <c r="H18" i="44" s="1"/>
  <c r="F146" i="44"/>
  <c r="I193" i="44"/>
  <c r="G92" i="44"/>
  <c r="H92" i="44" s="1"/>
  <c r="I92" i="44" s="1"/>
  <c r="F105" i="44"/>
  <c r="F242" i="44"/>
  <c r="I65" i="44"/>
  <c r="G87" i="44"/>
  <c r="H87" i="44" s="1"/>
  <c r="I87" i="44" s="1"/>
  <c r="F102" i="44"/>
  <c r="G146" i="44"/>
  <c r="I156" i="44"/>
  <c r="H183" i="44"/>
  <c r="F193" i="44"/>
  <c r="I202" i="44"/>
  <c r="G242" i="44"/>
  <c r="F65" i="44"/>
  <c r="G102" i="44"/>
  <c r="F156" i="44"/>
  <c r="I183" i="44"/>
  <c r="G193" i="44"/>
  <c r="F202" i="44"/>
  <c r="H242" i="44"/>
  <c r="G65" i="44"/>
  <c r="H102" i="44"/>
  <c r="G156" i="44"/>
  <c r="F183" i="44"/>
  <c r="H193" i="44"/>
  <c r="G202" i="44"/>
  <c r="B152" i="43"/>
  <c r="F208" i="43"/>
  <c r="F27" i="44" l="1"/>
  <c r="F22" i="44"/>
  <c r="H146" i="44"/>
  <c r="H27" i="44" s="1"/>
  <c r="G22" i="44"/>
  <c r="I18" i="44"/>
  <c r="I27" i="44" s="1"/>
  <c r="H67" i="44"/>
  <c r="H6" i="44"/>
  <c r="H10" i="44" s="1"/>
  <c r="I4" i="44"/>
  <c r="I66" i="44" s="1"/>
  <c r="I67" i="44" s="1"/>
  <c r="H22" i="44"/>
  <c r="G20" i="44"/>
  <c r="F20" i="44"/>
  <c r="G27" i="44"/>
  <c r="F67" i="44"/>
  <c r="F5" i="44"/>
  <c r="F6" i="44" s="1"/>
  <c r="G67" i="44"/>
  <c r="G5" i="44"/>
  <c r="G6" i="44" s="1"/>
  <c r="I5" i="44"/>
  <c r="G105" i="44"/>
  <c r="H105" i="44" s="1"/>
  <c r="I105" i="44" s="1"/>
  <c r="F109" i="44"/>
  <c r="B193" i="43"/>
  <c r="B138" i="43"/>
  <c r="B214" i="43"/>
  <c r="B186" i="43"/>
  <c r="B185" i="43"/>
  <c r="B84" i="43"/>
  <c r="B85" i="43"/>
  <c r="B86" i="43"/>
  <c r="B87" i="43"/>
  <c r="B88" i="43"/>
  <c r="H20" i="44" l="1"/>
  <c r="I6" i="44"/>
  <c r="I14" i="44" s="1"/>
  <c r="H14" i="44"/>
  <c r="I20" i="44"/>
  <c r="G14" i="44"/>
  <c r="G10" i="44"/>
  <c r="F14" i="44"/>
  <c r="F10" i="44"/>
  <c r="F112" i="44"/>
  <c r="G109" i="44"/>
  <c r="H109" i="44" s="1"/>
  <c r="I109" i="44" s="1"/>
  <c r="B212" i="43"/>
  <c r="B151" i="43"/>
  <c r="B234" i="43"/>
  <c r="B215" i="43"/>
  <c r="B233" i="43"/>
  <c r="B232" i="43"/>
  <c r="B231" i="43"/>
  <c r="B230" i="43"/>
  <c r="B229" i="43"/>
  <c r="B228" i="43"/>
  <c r="B227" i="43"/>
  <c r="B226" i="43"/>
  <c r="B225" i="43"/>
  <c r="B224" i="43"/>
  <c r="B223" i="43"/>
  <c r="B222" i="43"/>
  <c r="B221" i="43"/>
  <c r="B220" i="43"/>
  <c r="B219" i="43"/>
  <c r="B218" i="43"/>
  <c r="B217" i="43"/>
  <c r="B216" i="43"/>
  <c r="B213" i="43"/>
  <c r="B211" i="43"/>
  <c r="B210" i="43"/>
  <c r="B209" i="43"/>
  <c r="B208" i="43"/>
  <c r="B207" i="43"/>
  <c r="B206" i="43"/>
  <c r="B205" i="43"/>
  <c r="B204" i="43"/>
  <c r="B203" i="43"/>
  <c r="B202" i="43"/>
  <c r="B201" i="43"/>
  <c r="B200" i="43"/>
  <c r="B199" i="43"/>
  <c r="B198" i="43"/>
  <c r="B192" i="43"/>
  <c r="F191" i="43"/>
  <c r="B191" i="43"/>
  <c r="B190" i="43"/>
  <c r="B184" i="43"/>
  <c r="B183" i="43"/>
  <c r="B182" i="43"/>
  <c r="B181" i="43"/>
  <c r="B176" i="43"/>
  <c r="B175" i="43"/>
  <c r="B174" i="43"/>
  <c r="B173" i="43"/>
  <c r="B172" i="43"/>
  <c r="B171" i="43"/>
  <c r="B170" i="43"/>
  <c r="B169" i="43"/>
  <c r="B168" i="43"/>
  <c r="B167" i="43"/>
  <c r="B165" i="43"/>
  <c r="B163" i="43"/>
  <c r="B162" i="43"/>
  <c r="B161" i="43"/>
  <c r="B159" i="43"/>
  <c r="B158" i="43"/>
  <c r="B156" i="43"/>
  <c r="B150" i="43"/>
  <c r="B149" i="43"/>
  <c r="B148" i="43"/>
  <c r="B147" i="43"/>
  <c r="B142" i="43"/>
  <c r="B141" i="43"/>
  <c r="B140" i="43"/>
  <c r="G137" i="43"/>
  <c r="F137" i="43"/>
  <c r="J77" i="43" s="1"/>
  <c r="B137" i="43"/>
  <c r="B136" i="43"/>
  <c r="B135" i="43"/>
  <c r="B134" i="43"/>
  <c r="B133" i="43"/>
  <c r="B132" i="43"/>
  <c r="B130" i="43"/>
  <c r="B129" i="43"/>
  <c r="B128" i="43"/>
  <c r="G127" i="43"/>
  <c r="H127" i="43" s="1"/>
  <c r="I127" i="43" s="1"/>
  <c r="B127" i="43"/>
  <c r="B126" i="43"/>
  <c r="B125" i="43"/>
  <c r="B124" i="43"/>
  <c r="B123" i="43"/>
  <c r="G122" i="43"/>
  <c r="H122" i="43" s="1"/>
  <c r="I122" i="43" s="1"/>
  <c r="B122" i="43"/>
  <c r="B121" i="43"/>
  <c r="B120" i="43"/>
  <c r="B119" i="43"/>
  <c r="G118" i="43"/>
  <c r="H118" i="43" s="1"/>
  <c r="B118" i="43"/>
  <c r="B117" i="43"/>
  <c r="B116" i="43"/>
  <c r="B115" i="43"/>
  <c r="B114" i="43"/>
  <c r="B113" i="43"/>
  <c r="B111" i="43"/>
  <c r="B110" i="43"/>
  <c r="I108" i="43"/>
  <c r="H108" i="43"/>
  <c r="G108" i="43"/>
  <c r="F108" i="43"/>
  <c r="B108" i="43"/>
  <c r="B107" i="43"/>
  <c r="B102" i="43"/>
  <c r="B101" i="43"/>
  <c r="B100" i="43"/>
  <c r="B99" i="43"/>
  <c r="B98" i="43"/>
  <c r="B97" i="43"/>
  <c r="B96" i="43"/>
  <c r="B95" i="43"/>
  <c r="B94" i="43"/>
  <c r="B93" i="43"/>
  <c r="B92" i="43"/>
  <c r="B91" i="43"/>
  <c r="B90" i="43"/>
  <c r="F89" i="43"/>
  <c r="G89" i="43" s="1"/>
  <c r="H89" i="43" s="1"/>
  <c r="I89" i="43" s="1"/>
  <c r="B89" i="43"/>
  <c r="B83" i="43"/>
  <c r="B82" i="43"/>
  <c r="B81" i="43"/>
  <c r="B80" i="43"/>
  <c r="B79" i="43"/>
  <c r="B78" i="43"/>
  <c r="B77" i="43"/>
  <c r="B76" i="43"/>
  <c r="B75" i="43"/>
  <c r="B74" i="43"/>
  <c r="B73" i="43"/>
  <c r="B72" i="43"/>
  <c r="B71" i="43"/>
  <c r="H70" i="43"/>
  <c r="I70" i="43" s="1"/>
  <c r="F66" i="43"/>
  <c r="K64" i="43"/>
  <c r="K63" i="43"/>
  <c r="B63" i="43"/>
  <c r="K62" i="43"/>
  <c r="B62" i="43"/>
  <c r="B61" i="43"/>
  <c r="B60" i="43"/>
  <c r="B59" i="43"/>
  <c r="B58" i="43"/>
  <c r="B57" i="43"/>
  <c r="B56" i="43"/>
  <c r="B55" i="43"/>
  <c r="B54" i="43"/>
  <c r="B53" i="43"/>
  <c r="B52" i="43"/>
  <c r="B51" i="43"/>
  <c r="B50" i="43"/>
  <c r="B49" i="43"/>
  <c r="B48" i="43"/>
  <c r="B47" i="43"/>
  <c r="B46" i="43"/>
  <c r="B45" i="43"/>
  <c r="B44" i="43"/>
  <c r="B43" i="43"/>
  <c r="B42" i="43"/>
  <c r="B41" i="43"/>
  <c r="B40" i="43"/>
  <c r="B39" i="43"/>
  <c r="B38" i="43"/>
  <c r="B37" i="43"/>
  <c r="B36" i="43"/>
  <c r="B35" i="43"/>
  <c r="B34" i="43"/>
  <c r="B33" i="43"/>
  <c r="B32" i="43"/>
  <c r="B31" i="43"/>
  <c r="I25" i="43"/>
  <c r="I26" i="43" s="1"/>
  <c r="H25" i="43"/>
  <c r="H26" i="43" s="1"/>
  <c r="G25" i="43"/>
  <c r="G26" i="43" s="1"/>
  <c r="F25" i="43"/>
  <c r="F26" i="43" s="1"/>
  <c r="I19" i="43"/>
  <c r="H19" i="43"/>
  <c r="G19" i="43"/>
  <c r="F19" i="43"/>
  <c r="I16" i="43"/>
  <c r="H16" i="43"/>
  <c r="G16" i="43"/>
  <c r="F16" i="43"/>
  <c r="I12" i="43"/>
  <c r="H12" i="43"/>
  <c r="G12" i="43"/>
  <c r="F12" i="43"/>
  <c r="I8" i="43"/>
  <c r="H8" i="43"/>
  <c r="G8" i="43"/>
  <c r="F8" i="43"/>
  <c r="A5" i="43"/>
  <c r="I235" i="43" s="1"/>
  <c r="G4" i="43"/>
  <c r="G66" i="43" s="1"/>
  <c r="B77" i="42"/>
  <c r="B229" i="42"/>
  <c r="B223" i="42"/>
  <c r="F280" i="42"/>
  <c r="I10" i="44" l="1"/>
  <c r="G112" i="44"/>
  <c r="H112" i="44" s="1"/>
  <c r="I112" i="44" s="1"/>
  <c r="F124" i="44"/>
  <c r="F9" i="43"/>
  <c r="H9" i="43"/>
  <c r="G13" i="43"/>
  <c r="G18" i="43" s="1"/>
  <c r="G9" i="43"/>
  <c r="I9" i="43"/>
  <c r="F13" i="43"/>
  <c r="F18" i="43" s="1"/>
  <c r="I118" i="43"/>
  <c r="I13" i="43" s="1"/>
  <c r="H13" i="43"/>
  <c r="H65" i="43"/>
  <c r="F103" i="43"/>
  <c r="H143" i="43"/>
  <c r="F153" i="43"/>
  <c r="H178" i="43"/>
  <c r="I187" i="43"/>
  <c r="H194" i="43"/>
  <c r="F235" i="43"/>
  <c r="I65" i="43"/>
  <c r="G103" i="43"/>
  <c r="G153" i="43"/>
  <c r="I178" i="43"/>
  <c r="F187" i="43"/>
  <c r="I194" i="43"/>
  <c r="G235" i="43"/>
  <c r="H235" i="43"/>
  <c r="F65" i="43"/>
  <c r="F94" i="43"/>
  <c r="F143" i="43"/>
  <c r="H153" i="43"/>
  <c r="F178" i="43"/>
  <c r="G187" i="43"/>
  <c r="F194" i="43"/>
  <c r="H4" i="43"/>
  <c r="G65" i="43"/>
  <c r="G143" i="43"/>
  <c r="I153" i="43"/>
  <c r="G178" i="43"/>
  <c r="H187" i="43"/>
  <c r="G194" i="43"/>
  <c r="B91" i="42"/>
  <c r="B90" i="42"/>
  <c r="B89" i="42"/>
  <c r="B88" i="42"/>
  <c r="B87" i="42"/>
  <c r="B86" i="42"/>
  <c r="B85" i="42"/>
  <c r="B84" i="42"/>
  <c r="B83" i="42"/>
  <c r="B82" i="42"/>
  <c r="B81" i="42"/>
  <c r="B80" i="42"/>
  <c r="B79" i="42"/>
  <c r="B78" i="42"/>
  <c r="B76" i="42"/>
  <c r="B75" i="42"/>
  <c r="B74" i="42"/>
  <c r="B73" i="42"/>
  <c r="B72" i="42"/>
  <c r="B71" i="42"/>
  <c r="G124" i="44" l="1"/>
  <c r="H124" i="44" s="1"/>
  <c r="I124" i="44" s="1"/>
  <c r="F133" i="44"/>
  <c r="I143" i="43"/>
  <c r="I22" i="43"/>
  <c r="G22" i="43"/>
  <c r="F22" i="43"/>
  <c r="H103" i="43"/>
  <c r="F20" i="43"/>
  <c r="G27" i="43"/>
  <c r="F27" i="43"/>
  <c r="G20" i="43"/>
  <c r="H22" i="43"/>
  <c r="G94" i="43"/>
  <c r="H94" i="43" s="1"/>
  <c r="I94" i="43" s="1"/>
  <c r="F106" i="43"/>
  <c r="I5" i="43"/>
  <c r="F67" i="43"/>
  <c r="F5" i="43"/>
  <c r="F6" i="43" s="1"/>
  <c r="G67" i="43"/>
  <c r="G5" i="43"/>
  <c r="G6" i="43" s="1"/>
  <c r="I4" i="43"/>
  <c r="H66" i="43"/>
  <c r="H67" i="43" s="1"/>
  <c r="H5" i="43"/>
  <c r="H6" i="43" s="1"/>
  <c r="I25" i="42"/>
  <c r="H25" i="42"/>
  <c r="G25" i="42"/>
  <c r="F25" i="42"/>
  <c r="I19" i="42"/>
  <c r="H19" i="42"/>
  <c r="G19" i="42"/>
  <c r="F19" i="42"/>
  <c r="I16" i="42"/>
  <c r="H16" i="42"/>
  <c r="G16" i="42"/>
  <c r="F16" i="42"/>
  <c r="I12" i="42"/>
  <c r="H12" i="42"/>
  <c r="G12" i="42"/>
  <c r="F12" i="42"/>
  <c r="I8" i="42"/>
  <c r="H8" i="42"/>
  <c r="G8" i="42"/>
  <c r="F8" i="42"/>
  <c r="G160" i="42"/>
  <c r="H160" i="42"/>
  <c r="I160" i="42"/>
  <c r="F160" i="42"/>
  <c r="F143" i="44" l="1"/>
  <c r="G133" i="44"/>
  <c r="H133" i="44" s="1"/>
  <c r="I133" i="44" s="1"/>
  <c r="H18" i="43"/>
  <c r="I18" i="43"/>
  <c r="I103" i="43"/>
  <c r="H14" i="43"/>
  <c r="H10" i="43"/>
  <c r="I66" i="43"/>
  <c r="I67" i="43" s="1"/>
  <c r="I6" i="43"/>
  <c r="F10" i="43"/>
  <c r="F14" i="43"/>
  <c r="F110" i="43"/>
  <c r="G106" i="43"/>
  <c r="H106" i="43" s="1"/>
  <c r="I106" i="43" s="1"/>
  <c r="G14" i="43"/>
  <c r="G10" i="43"/>
  <c r="B100" i="42"/>
  <c r="B302" i="42"/>
  <c r="B303" i="42"/>
  <c r="B301" i="42"/>
  <c r="B304" i="42"/>
  <c r="B297" i="42"/>
  <c r="B298" i="42"/>
  <c r="B299" i="42"/>
  <c r="B300" i="42"/>
  <c r="G158" i="42"/>
  <c r="H158" i="42"/>
  <c r="I158" i="42"/>
  <c r="F158" i="42"/>
  <c r="G143" i="44" l="1"/>
  <c r="H143" i="44" s="1"/>
  <c r="I143" i="44" s="1"/>
  <c r="F149" i="44"/>
  <c r="I27" i="43"/>
  <c r="I20" i="43"/>
  <c r="H27" i="43"/>
  <c r="H20" i="43"/>
  <c r="I14" i="43"/>
  <c r="I10" i="43"/>
  <c r="F113" i="43"/>
  <c r="G110" i="43"/>
  <c r="H110" i="43" s="1"/>
  <c r="I110" i="43" s="1"/>
  <c r="B224" i="42"/>
  <c r="G155" i="42"/>
  <c r="H155" i="42" s="1"/>
  <c r="I155" i="42" s="1"/>
  <c r="B155" i="42"/>
  <c r="B37" i="42"/>
  <c r="B38" i="42"/>
  <c r="B39" i="42"/>
  <c r="B40" i="42"/>
  <c r="B41" i="42"/>
  <c r="B42" i="42"/>
  <c r="B43" i="42"/>
  <c r="B44" i="42"/>
  <c r="B45" i="42"/>
  <c r="B46" i="42"/>
  <c r="B47" i="42"/>
  <c r="B48" i="42"/>
  <c r="B49" i="42"/>
  <c r="B50" i="42"/>
  <c r="B51" i="42"/>
  <c r="B52" i="42"/>
  <c r="B53" i="42"/>
  <c r="B54" i="42"/>
  <c r="B55" i="42"/>
  <c r="B56" i="42"/>
  <c r="B57" i="42"/>
  <c r="B58" i="42"/>
  <c r="B59" i="42"/>
  <c r="B60" i="42"/>
  <c r="B61" i="42"/>
  <c r="B62" i="42"/>
  <c r="B63" i="42"/>
  <c r="B36" i="42"/>
  <c r="B35" i="42"/>
  <c r="B290" i="42"/>
  <c r="B273" i="42"/>
  <c r="B201" i="42"/>
  <c r="B139" i="42"/>
  <c r="B94" i="42"/>
  <c r="B95" i="42"/>
  <c r="B96" i="42"/>
  <c r="B97" i="42"/>
  <c r="B98" i="42"/>
  <c r="B99" i="42"/>
  <c r="B101" i="42"/>
  <c r="B102" i="42"/>
  <c r="B93" i="42"/>
  <c r="B92" i="42"/>
  <c r="B326" i="42"/>
  <c r="B325" i="42"/>
  <c r="B324" i="42"/>
  <c r="B323" i="42"/>
  <c r="B322" i="42"/>
  <c r="B321" i="42"/>
  <c r="B320" i="42"/>
  <c r="B319" i="42"/>
  <c r="B318" i="42"/>
  <c r="B317" i="42"/>
  <c r="B316" i="42"/>
  <c r="B315" i="42"/>
  <c r="B314" i="42"/>
  <c r="B313" i="42"/>
  <c r="B312" i="42"/>
  <c r="B311" i="42"/>
  <c r="B310" i="42"/>
  <c r="B309" i="42"/>
  <c r="B308" i="42"/>
  <c r="B307" i="42"/>
  <c r="B306" i="42"/>
  <c r="B305" i="42"/>
  <c r="B296" i="42"/>
  <c r="B295" i="42"/>
  <c r="B294" i="42"/>
  <c r="B293" i="42"/>
  <c r="B292" i="42"/>
  <c r="B291" i="42"/>
  <c r="B289" i="42"/>
  <c r="B284" i="42"/>
  <c r="B283" i="42"/>
  <c r="B282" i="42"/>
  <c r="B281" i="42"/>
  <c r="B280" i="42"/>
  <c r="B279" i="42"/>
  <c r="B278" i="42"/>
  <c r="B277" i="42"/>
  <c r="B272" i="42"/>
  <c r="B271" i="42"/>
  <c r="B270" i="42"/>
  <c r="B269" i="42"/>
  <c r="B268" i="42"/>
  <c r="I267" i="42"/>
  <c r="B267" i="42"/>
  <c r="B266" i="42"/>
  <c r="B265" i="42"/>
  <c r="B264" i="42"/>
  <c r="B259" i="42"/>
  <c r="I258" i="42"/>
  <c r="H258" i="42"/>
  <c r="G258" i="42"/>
  <c r="F258" i="42"/>
  <c r="B258" i="42"/>
  <c r="I257" i="42"/>
  <c r="H257" i="42"/>
  <c r="G257" i="42"/>
  <c r="F257" i="42"/>
  <c r="B257" i="42"/>
  <c r="B256" i="42"/>
  <c r="B255" i="42"/>
  <c r="B254" i="42"/>
  <c r="B253" i="42"/>
  <c r="B252" i="42"/>
  <c r="B251" i="42"/>
  <c r="B250" i="42"/>
  <c r="B249" i="42"/>
  <c r="B248" i="42"/>
  <c r="B247" i="42"/>
  <c r="B246" i="42"/>
  <c r="B245" i="42"/>
  <c r="B244" i="42"/>
  <c r="B243" i="42"/>
  <c r="B242" i="42"/>
  <c r="B241" i="42"/>
  <c r="B240" i="42"/>
  <c r="B239" i="42"/>
  <c r="B238" i="42"/>
  <c r="B237" i="42"/>
  <c r="B236" i="42"/>
  <c r="B235" i="42"/>
  <c r="B234" i="42"/>
  <c r="B233" i="42"/>
  <c r="I232" i="42"/>
  <c r="H232" i="42"/>
  <c r="G232" i="42"/>
  <c r="F232" i="42"/>
  <c r="B232" i="42"/>
  <c r="B231" i="42"/>
  <c r="H230" i="42"/>
  <c r="G230" i="42"/>
  <c r="F230" i="42"/>
  <c r="B230" i="42"/>
  <c r="B228" i="42"/>
  <c r="B227" i="42"/>
  <c r="B226" i="42"/>
  <c r="B225" i="42"/>
  <c r="B222" i="42"/>
  <c r="B221" i="42"/>
  <c r="B220" i="42"/>
  <c r="B219" i="42"/>
  <c r="B218" i="42"/>
  <c r="B217" i="42"/>
  <c r="B216" i="42"/>
  <c r="B215" i="42"/>
  <c r="B214" i="42"/>
  <c r="B213" i="42"/>
  <c r="B212" i="42"/>
  <c r="B211" i="42"/>
  <c r="B210" i="42"/>
  <c r="B209" i="42"/>
  <c r="B208" i="42"/>
  <c r="B207" i="42"/>
  <c r="B206" i="42"/>
  <c r="B205" i="42"/>
  <c r="B204" i="42"/>
  <c r="B203" i="42"/>
  <c r="B200" i="42"/>
  <c r="B196" i="42"/>
  <c r="B195" i="42"/>
  <c r="B194" i="42"/>
  <c r="B193" i="42"/>
  <c r="B192" i="42"/>
  <c r="B191" i="42"/>
  <c r="B190" i="42"/>
  <c r="B189" i="42"/>
  <c r="B188" i="42"/>
  <c r="B187" i="42"/>
  <c r="B182" i="42"/>
  <c r="B181" i="42"/>
  <c r="B180" i="42"/>
  <c r="B179" i="42"/>
  <c r="G177" i="42"/>
  <c r="F177" i="42"/>
  <c r="B177" i="42"/>
  <c r="B176" i="42"/>
  <c r="B175" i="42"/>
  <c r="B174" i="42"/>
  <c r="B173" i="42"/>
  <c r="B172" i="42"/>
  <c r="I171" i="42"/>
  <c r="H171" i="42"/>
  <c r="G171" i="42"/>
  <c r="F171" i="42"/>
  <c r="B171" i="42"/>
  <c r="I170" i="42"/>
  <c r="H170" i="42"/>
  <c r="G170" i="42"/>
  <c r="F170" i="42"/>
  <c r="B170" i="42"/>
  <c r="B169" i="42"/>
  <c r="B168" i="42"/>
  <c r="B166" i="42"/>
  <c r="B165" i="42"/>
  <c r="B164" i="42"/>
  <c r="B163" i="42"/>
  <c r="B162" i="42"/>
  <c r="B161" i="42"/>
  <c r="B160" i="42"/>
  <c r="B159" i="42"/>
  <c r="B158" i="42"/>
  <c r="B157" i="42"/>
  <c r="B156" i="42"/>
  <c r="B154" i="42"/>
  <c r="B153" i="42"/>
  <c r="B152" i="42"/>
  <c r="B151" i="42"/>
  <c r="G150" i="42"/>
  <c r="H150" i="42" s="1"/>
  <c r="I150" i="42" s="1"/>
  <c r="B150" i="42"/>
  <c r="B149" i="42"/>
  <c r="B148" i="42"/>
  <c r="B147" i="42"/>
  <c r="I146" i="42"/>
  <c r="H146" i="42"/>
  <c r="G146" i="42"/>
  <c r="F146" i="42"/>
  <c r="B146" i="42"/>
  <c r="I145" i="42"/>
  <c r="H145" i="42"/>
  <c r="G145" i="42"/>
  <c r="F145" i="42"/>
  <c r="B145" i="42"/>
  <c r="G144" i="42"/>
  <c r="B144" i="42"/>
  <c r="B143" i="42"/>
  <c r="B142" i="42"/>
  <c r="B141" i="42"/>
  <c r="B140" i="42"/>
  <c r="B138" i="42"/>
  <c r="B136" i="42"/>
  <c r="B135" i="42"/>
  <c r="I133" i="42"/>
  <c r="H133" i="42"/>
  <c r="G133" i="42"/>
  <c r="F133" i="42"/>
  <c r="F9" i="42" s="1"/>
  <c r="B133" i="42"/>
  <c r="B132" i="42"/>
  <c r="B127" i="42"/>
  <c r="B126" i="42"/>
  <c r="B125" i="42"/>
  <c r="B124" i="42"/>
  <c r="G123" i="42"/>
  <c r="H123" i="42" s="1"/>
  <c r="I123" i="42" s="1"/>
  <c r="B123" i="42"/>
  <c r="F122" i="42"/>
  <c r="B122" i="42"/>
  <c r="G121" i="42"/>
  <c r="H121" i="42" s="1"/>
  <c r="H122" i="42" s="1"/>
  <c r="B121" i="42"/>
  <c r="B120" i="42"/>
  <c r="B119" i="42"/>
  <c r="B118" i="42"/>
  <c r="B117" i="42"/>
  <c r="B116" i="42"/>
  <c r="B115" i="42"/>
  <c r="B114" i="42"/>
  <c r="B113" i="42"/>
  <c r="B112" i="42"/>
  <c r="B111" i="42"/>
  <c r="B110" i="42"/>
  <c r="B109" i="42"/>
  <c r="B108" i="42"/>
  <c r="B107" i="42"/>
  <c r="B106" i="42"/>
  <c r="B105" i="42"/>
  <c r="B104" i="42"/>
  <c r="B103" i="42"/>
  <c r="F91" i="42"/>
  <c r="G91" i="42" s="1"/>
  <c r="H91" i="42" s="1"/>
  <c r="I91" i="42" s="1"/>
  <c r="H70" i="42"/>
  <c r="I70" i="42" s="1"/>
  <c r="F66" i="42"/>
  <c r="K64" i="42"/>
  <c r="K63" i="42"/>
  <c r="K62" i="42"/>
  <c r="B34" i="42"/>
  <c r="B33" i="42"/>
  <c r="B32" i="42"/>
  <c r="B31" i="42"/>
  <c r="I26" i="42"/>
  <c r="H26" i="42"/>
  <c r="G26" i="42"/>
  <c r="F26" i="42"/>
  <c r="A5" i="42"/>
  <c r="G4" i="42"/>
  <c r="G66" i="42" s="1"/>
  <c r="J77" i="41"/>
  <c r="F158" i="44" l="1"/>
  <c r="G149" i="44"/>
  <c r="H149" i="44" s="1"/>
  <c r="I149" i="44" s="1"/>
  <c r="F125" i="43"/>
  <c r="G113" i="43"/>
  <c r="H113" i="43" s="1"/>
  <c r="I113" i="43" s="1"/>
  <c r="F13" i="42"/>
  <c r="F18" i="42" s="1"/>
  <c r="J80" i="42"/>
  <c r="H144" i="42"/>
  <c r="H13" i="42" s="1"/>
  <c r="H18" i="42" s="1"/>
  <c r="G13" i="42"/>
  <c r="I328" i="42"/>
  <c r="H328" i="42"/>
  <c r="H285" i="42"/>
  <c r="H274" i="42"/>
  <c r="H261" i="42"/>
  <c r="H197" i="42"/>
  <c r="H183" i="42"/>
  <c r="H128" i="42"/>
  <c r="H65" i="42"/>
  <c r="G328" i="42"/>
  <c r="G285" i="42"/>
  <c r="G274" i="42"/>
  <c r="G261" i="42"/>
  <c r="G197" i="42"/>
  <c r="G183" i="42"/>
  <c r="G65" i="42"/>
  <c r="F328" i="42"/>
  <c r="F285" i="42"/>
  <c r="F274" i="42"/>
  <c r="F261" i="42"/>
  <c r="F197" i="42"/>
  <c r="F183" i="42"/>
  <c r="F128" i="42"/>
  <c r="F65" i="42"/>
  <c r="F5" i="42" s="1"/>
  <c r="I285" i="42"/>
  <c r="I274" i="42"/>
  <c r="I261" i="42"/>
  <c r="I197" i="42"/>
  <c r="I65" i="42"/>
  <c r="H9" i="42"/>
  <c r="G9" i="42"/>
  <c r="I9" i="42"/>
  <c r="G122" i="42"/>
  <c r="G128" i="42" s="1"/>
  <c r="I144" i="42"/>
  <c r="I13" i="42" s="1"/>
  <c r="F103" i="42"/>
  <c r="I121" i="42"/>
  <c r="I122" i="42" s="1"/>
  <c r="H4" i="42"/>
  <c r="B201" i="41"/>
  <c r="B43" i="41"/>
  <c r="B41" i="41"/>
  <c r="G116" i="41"/>
  <c r="H116" i="41"/>
  <c r="I116" i="41"/>
  <c r="G114" i="41"/>
  <c r="H114" i="41"/>
  <c r="B276" i="41"/>
  <c r="B277" i="41"/>
  <c r="B278" i="41"/>
  <c r="B279" i="41"/>
  <c r="B280" i="41"/>
  <c r="B281" i="41"/>
  <c r="B282" i="41"/>
  <c r="B283" i="41"/>
  <c r="B284" i="41"/>
  <c r="B285" i="41"/>
  <c r="B286" i="41"/>
  <c r="B287" i="41"/>
  <c r="B288" i="41"/>
  <c r="B289" i="41"/>
  <c r="B290" i="41"/>
  <c r="B291" i="41"/>
  <c r="B292" i="41"/>
  <c r="B293" i="41"/>
  <c r="B294" i="41"/>
  <c r="B295" i="41"/>
  <c r="B296" i="41"/>
  <c r="B297" i="41"/>
  <c r="B298" i="41"/>
  <c r="B299" i="41"/>
  <c r="B300" i="41"/>
  <c r="B301" i="41"/>
  <c r="B302" i="41"/>
  <c r="B303" i="41"/>
  <c r="B304" i="41"/>
  <c r="B305" i="41"/>
  <c r="B306" i="41"/>
  <c r="B307" i="41"/>
  <c r="B308" i="41"/>
  <c r="B309" i="41"/>
  <c r="B310" i="41"/>
  <c r="B311" i="41"/>
  <c r="B312" i="41"/>
  <c r="B313" i="41"/>
  <c r="B314" i="41"/>
  <c r="B315" i="41"/>
  <c r="B316" i="41"/>
  <c r="B317" i="41"/>
  <c r="B318" i="41"/>
  <c r="B275" i="41"/>
  <c r="B270" i="41"/>
  <c r="B263" i="41"/>
  <c r="B203" i="41"/>
  <c r="I254" i="41"/>
  <c r="B88" i="41"/>
  <c r="B87" i="41"/>
  <c r="F115" i="41"/>
  <c r="B115" i="41"/>
  <c r="F8" i="41"/>
  <c r="G8" i="41"/>
  <c r="H8" i="41"/>
  <c r="I8" i="41"/>
  <c r="F12" i="41"/>
  <c r="G12" i="41"/>
  <c r="H12" i="41"/>
  <c r="I12" i="41"/>
  <c r="F16" i="41"/>
  <c r="G16" i="41"/>
  <c r="H16" i="41"/>
  <c r="I16" i="41"/>
  <c r="F19" i="41"/>
  <c r="F18" i="41" s="1"/>
  <c r="F20" i="41" s="1"/>
  <c r="G19" i="41"/>
  <c r="H19" i="41"/>
  <c r="I19" i="41"/>
  <c r="F25" i="41"/>
  <c r="F26" i="41" s="1"/>
  <c r="G25" i="41"/>
  <c r="H25" i="41"/>
  <c r="I25" i="41"/>
  <c r="G149" i="41"/>
  <c r="H149" i="41"/>
  <c r="I149" i="41"/>
  <c r="F149" i="41"/>
  <c r="I114" i="41"/>
  <c r="I115" i="41"/>
  <c r="H115" i="41"/>
  <c r="G115" i="41"/>
  <c r="B151" i="41"/>
  <c r="B152" i="41"/>
  <c r="B145" i="41"/>
  <c r="B146" i="41"/>
  <c r="B147" i="41"/>
  <c r="B148" i="41"/>
  <c r="B149" i="41"/>
  <c r="B150" i="41"/>
  <c r="B134" i="41"/>
  <c r="B135" i="41"/>
  <c r="B136" i="41"/>
  <c r="B137" i="41"/>
  <c r="B138" i="41"/>
  <c r="B139" i="41"/>
  <c r="B140" i="41"/>
  <c r="B141" i="41"/>
  <c r="B142" i="41"/>
  <c r="B143" i="41"/>
  <c r="B144" i="41"/>
  <c r="B153" i="41"/>
  <c r="B154" i="41"/>
  <c r="B155" i="41"/>
  <c r="F217" i="41"/>
  <c r="H217" i="41"/>
  <c r="G142" i="41"/>
  <c r="H142" i="41"/>
  <c r="I142" i="41"/>
  <c r="B119" i="41"/>
  <c r="B109" i="41"/>
  <c r="B94" i="41"/>
  <c r="B95" i="41"/>
  <c r="G217" i="41"/>
  <c r="G318" i="41"/>
  <c r="H318" i="41"/>
  <c r="I318" i="41"/>
  <c r="F318" i="41"/>
  <c r="G317" i="41"/>
  <c r="H317" i="41"/>
  <c r="I317" i="41"/>
  <c r="F317" i="41"/>
  <c r="G314" i="41"/>
  <c r="H314" i="41"/>
  <c r="I314" i="41"/>
  <c r="F314" i="41"/>
  <c r="G313" i="41"/>
  <c r="H313" i="41"/>
  <c r="I313" i="41"/>
  <c r="F313" i="41"/>
  <c r="I312" i="41"/>
  <c r="H312" i="41"/>
  <c r="G312" i="41"/>
  <c r="F312" i="41"/>
  <c r="H311" i="41"/>
  <c r="I311" i="41"/>
  <c r="G311" i="41"/>
  <c r="F311" i="41"/>
  <c r="G219" i="41"/>
  <c r="H219" i="41"/>
  <c r="I219" i="41"/>
  <c r="F219" i="41"/>
  <c r="I162" i="41"/>
  <c r="H162" i="41"/>
  <c r="G162" i="41"/>
  <c r="F162" i="41"/>
  <c r="G161" i="41"/>
  <c r="H161" i="41"/>
  <c r="I161" i="41"/>
  <c r="F161" i="41"/>
  <c r="I126" i="41"/>
  <c r="H126" i="41"/>
  <c r="H9" i="41"/>
  <c r="G126" i="41"/>
  <c r="G9" i="41"/>
  <c r="F126" i="41"/>
  <c r="F9" i="41"/>
  <c r="F27" i="41" s="1"/>
  <c r="I9" i="41"/>
  <c r="B91" i="41"/>
  <c r="B92" i="41"/>
  <c r="B93" i="41"/>
  <c r="B200" i="41"/>
  <c r="B131" i="41"/>
  <c r="B132" i="41"/>
  <c r="B133" i="41"/>
  <c r="B164" i="41"/>
  <c r="B165" i="41"/>
  <c r="B166" i="41"/>
  <c r="B167" i="41"/>
  <c r="B168" i="41"/>
  <c r="G168" i="41"/>
  <c r="H168" i="41"/>
  <c r="I168" i="41"/>
  <c r="F168" i="41"/>
  <c r="F13" i="41"/>
  <c r="G137" i="41"/>
  <c r="H137" i="41"/>
  <c r="I137" i="41"/>
  <c r="F137" i="41"/>
  <c r="I138" i="41"/>
  <c r="G138" i="41"/>
  <c r="H138" i="41"/>
  <c r="F138" i="41"/>
  <c r="B212" i="41"/>
  <c r="B213" i="41"/>
  <c r="F65" i="41"/>
  <c r="B75" i="41"/>
  <c r="B76" i="41"/>
  <c r="B77" i="41"/>
  <c r="B78" i="41"/>
  <c r="B194" i="41"/>
  <c r="B195" i="41"/>
  <c r="B196" i="41"/>
  <c r="B197" i="41"/>
  <c r="B198" i="41"/>
  <c r="B199" i="41"/>
  <c r="B202" i="41"/>
  <c r="B204" i="41"/>
  <c r="B205" i="41"/>
  <c r="B206" i="41"/>
  <c r="B207" i="41"/>
  <c r="B208" i="41"/>
  <c r="B209" i="41"/>
  <c r="B210" i="41"/>
  <c r="B211" i="41"/>
  <c r="B214" i="41"/>
  <c r="B215" i="41"/>
  <c r="B216" i="41"/>
  <c r="B217" i="41"/>
  <c r="B218" i="41"/>
  <c r="B219" i="41"/>
  <c r="B220" i="41"/>
  <c r="B221" i="41"/>
  <c r="B222" i="41"/>
  <c r="B223" i="41"/>
  <c r="B224" i="41"/>
  <c r="B225" i="41"/>
  <c r="B226" i="41"/>
  <c r="B227" i="41"/>
  <c r="B228" i="41"/>
  <c r="B229" i="41"/>
  <c r="B230" i="41"/>
  <c r="B231" i="41"/>
  <c r="B232" i="41"/>
  <c r="B233" i="41"/>
  <c r="B234" i="41"/>
  <c r="B235" i="41"/>
  <c r="B236" i="41"/>
  <c r="B237" i="41"/>
  <c r="B238" i="41"/>
  <c r="B239" i="41"/>
  <c r="B240" i="41"/>
  <c r="B241" i="41"/>
  <c r="B242" i="41"/>
  <c r="B243" i="41"/>
  <c r="B244" i="41"/>
  <c r="B245" i="41"/>
  <c r="B246" i="41"/>
  <c r="B193" i="41"/>
  <c r="B191" i="41"/>
  <c r="B185" i="41"/>
  <c r="B186" i="41"/>
  <c r="G4" i="41"/>
  <c r="H4" i="41"/>
  <c r="I4" i="41"/>
  <c r="G136" i="41"/>
  <c r="K61" i="41"/>
  <c r="K62" i="41"/>
  <c r="K63" i="41"/>
  <c r="G245" i="41"/>
  <c r="H245" i="41"/>
  <c r="I245" i="41"/>
  <c r="F245" i="41"/>
  <c r="G244" i="41"/>
  <c r="H244" i="41"/>
  <c r="I244" i="41"/>
  <c r="F244" i="41"/>
  <c r="H136" i="41"/>
  <c r="H13" i="41"/>
  <c r="G13" i="41"/>
  <c r="I136" i="41"/>
  <c r="I13" i="41"/>
  <c r="B163" i="41"/>
  <c r="B156" i="41"/>
  <c r="B266" i="41"/>
  <c r="B267" i="41"/>
  <c r="B268" i="41"/>
  <c r="B253" i="41"/>
  <c r="B254" i="41"/>
  <c r="B255" i="41"/>
  <c r="B256" i="41"/>
  <c r="B257" i="41"/>
  <c r="B258" i="41"/>
  <c r="B265" i="41"/>
  <c r="B269" i="41"/>
  <c r="B71" i="41"/>
  <c r="B72" i="41"/>
  <c r="B73" i="41"/>
  <c r="B74" i="41"/>
  <c r="B79" i="41"/>
  <c r="B80" i="41"/>
  <c r="B81" i="41"/>
  <c r="B82" i="41"/>
  <c r="B83" i="41"/>
  <c r="B84" i="41"/>
  <c r="B85" i="41"/>
  <c r="B86" i="41"/>
  <c r="B89" i="41"/>
  <c r="B90" i="41"/>
  <c r="B96" i="41"/>
  <c r="B97" i="41"/>
  <c r="B98" i="41"/>
  <c r="B99" i="41"/>
  <c r="B100" i="41"/>
  <c r="B101" i="41"/>
  <c r="B102" i="41"/>
  <c r="B103" i="41"/>
  <c r="B104" i="41"/>
  <c r="B105" i="41"/>
  <c r="B106" i="41"/>
  <c r="B107" i="41"/>
  <c r="B108" i="41"/>
  <c r="B110" i="41"/>
  <c r="B111" i="41"/>
  <c r="B112" i="41"/>
  <c r="B113" i="41"/>
  <c r="B114" i="41"/>
  <c r="B116" i="41"/>
  <c r="B117" i="41"/>
  <c r="B118" i="41"/>
  <c r="B120" i="41"/>
  <c r="B70" i="41"/>
  <c r="B32" i="41"/>
  <c r="B33" i="41"/>
  <c r="B34" i="41"/>
  <c r="B36" i="41"/>
  <c r="B37" i="41"/>
  <c r="B38" i="41"/>
  <c r="B39" i="41"/>
  <c r="B40" i="41"/>
  <c r="B42" i="41"/>
  <c r="B44" i="41"/>
  <c r="B45" i="41"/>
  <c r="B46" i="41"/>
  <c r="B47" i="41"/>
  <c r="B48" i="41"/>
  <c r="B49" i="41"/>
  <c r="B50" i="41"/>
  <c r="B51" i="41"/>
  <c r="B52" i="41"/>
  <c r="B53" i="41"/>
  <c r="B54" i="41"/>
  <c r="B55" i="41"/>
  <c r="B56" i="41"/>
  <c r="B57" i="41"/>
  <c r="B58" i="41"/>
  <c r="B59" i="41"/>
  <c r="B60" i="41"/>
  <c r="B61" i="41"/>
  <c r="B62" i="41"/>
  <c r="B125" i="41"/>
  <c r="B126" i="41"/>
  <c r="B128" i="41"/>
  <c r="B129" i="41"/>
  <c r="B157" i="41"/>
  <c r="B159" i="41"/>
  <c r="B160" i="41"/>
  <c r="B161" i="41"/>
  <c r="B162" i="41"/>
  <c r="B170" i="41"/>
  <c r="B171" i="41"/>
  <c r="B172" i="41"/>
  <c r="B173" i="41"/>
  <c r="B178" i="41"/>
  <c r="B179" i="41"/>
  <c r="B180" i="41"/>
  <c r="B181" i="41"/>
  <c r="B182" i="41"/>
  <c r="B183" i="41"/>
  <c r="B184" i="41"/>
  <c r="B187" i="41"/>
  <c r="B251" i="41"/>
  <c r="B252" i="41"/>
  <c r="B259" i="41"/>
  <c r="B264" i="41"/>
  <c r="B31" i="41"/>
  <c r="G18" i="41"/>
  <c r="H18" i="41"/>
  <c r="I18" i="41"/>
  <c r="F85" i="41"/>
  <c r="F96" i="41"/>
  <c r="F124" i="41"/>
  <c r="F128" i="41"/>
  <c r="G128" i="41"/>
  <c r="H128" i="41"/>
  <c r="I128" i="41"/>
  <c r="H69" i="41"/>
  <c r="I69" i="41"/>
  <c r="I65" i="41"/>
  <c r="H65" i="41"/>
  <c r="G65" i="41"/>
  <c r="I26" i="41"/>
  <c r="H26" i="41"/>
  <c r="G26" i="41"/>
  <c r="A5" i="41"/>
  <c r="F321" i="41"/>
  <c r="H64" i="41"/>
  <c r="H121" i="41"/>
  <c r="H174" i="41"/>
  <c r="H188" i="41"/>
  <c r="H248" i="41"/>
  <c r="H260" i="41"/>
  <c r="H271" i="41"/>
  <c r="H321" i="41"/>
  <c r="I64" i="41"/>
  <c r="I121" i="41"/>
  <c r="I174" i="41"/>
  <c r="I188" i="41"/>
  <c r="I248" i="41"/>
  <c r="I260" i="41"/>
  <c r="I271" i="41"/>
  <c r="I321" i="41"/>
  <c r="G64" i="41"/>
  <c r="G121" i="41"/>
  <c r="G174" i="41"/>
  <c r="G188" i="41"/>
  <c r="G248" i="41"/>
  <c r="G260" i="41"/>
  <c r="G271" i="41"/>
  <c r="G321" i="41"/>
  <c r="F64" i="41"/>
  <c r="F66" i="41" s="1"/>
  <c r="F121" i="41"/>
  <c r="F174" i="41"/>
  <c r="F188" i="41"/>
  <c r="F248" i="41"/>
  <c r="F260" i="41"/>
  <c r="F271" i="41"/>
  <c r="F131" i="41"/>
  <c r="F145" i="41"/>
  <c r="G85" i="41"/>
  <c r="H85" i="41"/>
  <c r="I85" i="41"/>
  <c r="G96" i="41"/>
  <c r="H96" i="41"/>
  <c r="I96" i="41"/>
  <c r="G124" i="41"/>
  <c r="H124" i="41"/>
  <c r="I124" i="41"/>
  <c r="I27" i="41"/>
  <c r="I20" i="41"/>
  <c r="H20" i="41"/>
  <c r="H27" i="41"/>
  <c r="G20" i="41"/>
  <c r="G27" i="41"/>
  <c r="H22" i="41"/>
  <c r="G131" i="41"/>
  <c r="H131" i="41"/>
  <c r="I131" i="41"/>
  <c r="G22" i="41"/>
  <c r="I22" i="41"/>
  <c r="H66" i="41"/>
  <c r="H5" i="41"/>
  <c r="H6" i="41"/>
  <c r="F157" i="41"/>
  <c r="G145" i="41"/>
  <c r="H145" i="41"/>
  <c r="I145" i="41"/>
  <c r="I5" i="41"/>
  <c r="I6" i="41"/>
  <c r="I66" i="41"/>
  <c r="G66" i="41"/>
  <c r="G5" i="41"/>
  <c r="G6" i="41"/>
  <c r="I23" i="39"/>
  <c r="I17" i="39"/>
  <c r="H17" i="39"/>
  <c r="G17" i="39"/>
  <c r="F17" i="39"/>
  <c r="I12" i="39"/>
  <c r="H12" i="39"/>
  <c r="G12" i="39"/>
  <c r="F12" i="39"/>
  <c r="I9" i="39"/>
  <c r="H9" i="39"/>
  <c r="G9" i="39"/>
  <c r="F9" i="39"/>
  <c r="I14" i="41"/>
  <c r="I10" i="41"/>
  <c r="G14" i="41"/>
  <c r="G10" i="41"/>
  <c r="H14" i="41"/>
  <c r="H10" i="41"/>
  <c r="F170" i="41"/>
  <c r="G157" i="41"/>
  <c r="H157" i="41"/>
  <c r="I157" i="41"/>
  <c r="F23" i="39"/>
  <c r="G23" i="39"/>
  <c r="H23" i="39"/>
  <c r="G170" i="41"/>
  <c r="H170" i="41"/>
  <c r="I170" i="41"/>
  <c r="F177" i="41"/>
  <c r="F190" i="41"/>
  <c r="G177" i="41"/>
  <c r="H177" i="41"/>
  <c r="I177" i="41"/>
  <c r="G190" i="41"/>
  <c r="H190" i="41"/>
  <c r="I190" i="41"/>
  <c r="F192" i="41"/>
  <c r="G192" i="41"/>
  <c r="H192" i="41"/>
  <c r="I192" i="41"/>
  <c r="F203" i="41"/>
  <c r="F215" i="41"/>
  <c r="G215" i="41"/>
  <c r="H215" i="41"/>
  <c r="I215" i="41"/>
  <c r="G203" i="41"/>
  <c r="H203" i="41"/>
  <c r="I203" i="41"/>
  <c r="F218" i="41"/>
  <c r="F230" i="41"/>
  <c r="G230" i="41"/>
  <c r="H230" i="41"/>
  <c r="I230" i="41"/>
  <c r="F238" i="41"/>
  <c r="G218" i="41"/>
  <c r="H218" i="41"/>
  <c r="I218" i="41"/>
  <c r="F250" i="41"/>
  <c r="G238" i="41"/>
  <c r="H238" i="41"/>
  <c r="I238" i="41"/>
  <c r="F262" i="41"/>
  <c r="G250" i="41"/>
  <c r="H250" i="41"/>
  <c r="I250" i="41"/>
  <c r="F274" i="41"/>
  <c r="G262" i="41"/>
  <c r="H262" i="41"/>
  <c r="I262" i="41"/>
  <c r="G274" i="41"/>
  <c r="H274" i="41"/>
  <c r="I274" i="41"/>
  <c r="F276" i="41"/>
  <c r="G276" i="41"/>
  <c r="H276" i="41"/>
  <c r="I276" i="41"/>
  <c r="F299" i="41"/>
  <c r="G299" i="41"/>
  <c r="H299" i="41"/>
  <c r="I299" i="41"/>
  <c r="I49" i="39"/>
  <c r="H49" i="39"/>
  <c r="G49" i="39"/>
  <c r="F49" i="39"/>
  <c r="F63" i="39"/>
  <c r="H118" i="39"/>
  <c r="I118" i="39"/>
  <c r="H75" i="39"/>
  <c r="I75" i="39"/>
  <c r="G75" i="39"/>
  <c r="F75" i="39"/>
  <c r="F13" i="39"/>
  <c r="F16" i="39"/>
  <c r="G122" i="39"/>
  <c r="H122" i="39"/>
  <c r="I122" i="39"/>
  <c r="B184" i="39"/>
  <c r="L185" i="39"/>
  <c r="B193" i="39"/>
  <c r="L194" i="39"/>
  <c r="B203" i="39"/>
  <c r="B204" i="39"/>
  <c r="L205" i="39"/>
  <c r="B205" i="39"/>
  <c r="B222" i="39"/>
  <c r="B233" i="39"/>
  <c r="B244" i="39"/>
  <c r="B155" i="39"/>
  <c r="B156" i="39"/>
  <c r="L157" i="39"/>
  <c r="B157" i="39"/>
  <c r="F158" i="39"/>
  <c r="G158" i="39"/>
  <c r="H158" i="39"/>
  <c r="I158" i="39"/>
  <c r="B160" i="39"/>
  <c r="B161" i="39"/>
  <c r="B162" i="39"/>
  <c r="L163" i="39"/>
  <c r="B163" i="39"/>
  <c r="B164" i="39"/>
  <c r="B165" i="39"/>
  <c r="B177" i="39"/>
  <c r="B178" i="39"/>
  <c r="B180" i="39"/>
  <c r="B142" i="39"/>
  <c r="L143" i="39"/>
  <c r="B143" i="39"/>
  <c r="B146" i="39"/>
  <c r="B147" i="39"/>
  <c r="L148" i="39"/>
  <c r="B148" i="39"/>
  <c r="B107" i="39"/>
  <c r="B108" i="39"/>
  <c r="L109" i="39"/>
  <c r="B109" i="39"/>
  <c r="B112" i="39"/>
  <c r="G115" i="39"/>
  <c r="H115" i="39"/>
  <c r="I115" i="39"/>
  <c r="F119" i="39"/>
  <c r="F8" i="39"/>
  <c r="G119" i="39"/>
  <c r="G8" i="39"/>
  <c r="B123" i="39"/>
  <c r="B134" i="39"/>
  <c r="H136" i="39"/>
  <c r="I136" i="39"/>
  <c r="G137" i="39"/>
  <c r="H137" i="39"/>
  <c r="I137" i="39"/>
  <c r="G95" i="39"/>
  <c r="G96" i="39"/>
  <c r="H96" i="39"/>
  <c r="I96" i="39"/>
  <c r="F84" i="39"/>
  <c r="F92" i="39"/>
  <c r="G92" i="39"/>
  <c r="H92" i="39"/>
  <c r="I92" i="39"/>
  <c r="H85" i="39"/>
  <c r="H86" i="39"/>
  <c r="H67" i="39"/>
  <c r="I67" i="39"/>
  <c r="B68" i="39"/>
  <c r="L69" i="39"/>
  <c r="L70" i="39"/>
  <c r="L29" i="39"/>
  <c r="L30" i="39"/>
  <c r="B30" i="39"/>
  <c r="G63" i="39"/>
  <c r="H63" i="39"/>
  <c r="I63" i="39"/>
  <c r="A5" i="39"/>
  <c r="B149" i="38"/>
  <c r="I245" i="39"/>
  <c r="I198" i="39"/>
  <c r="I190" i="39"/>
  <c r="I181" i="39"/>
  <c r="I151" i="39"/>
  <c r="I62" i="39"/>
  <c r="H245" i="39"/>
  <c r="H198" i="39"/>
  <c r="H190" i="39"/>
  <c r="H181" i="39"/>
  <c r="H151" i="39"/>
  <c r="H62" i="39"/>
  <c r="G245" i="39"/>
  <c r="G198" i="39"/>
  <c r="G190" i="39"/>
  <c r="G181" i="39"/>
  <c r="G151" i="39"/>
  <c r="G138" i="39"/>
  <c r="G104" i="39"/>
  <c r="G62" i="39"/>
  <c r="F245" i="39"/>
  <c r="F198" i="39"/>
  <c r="F190" i="39"/>
  <c r="F181" i="39"/>
  <c r="F151" i="39"/>
  <c r="F138" i="39"/>
  <c r="F104" i="39"/>
  <c r="F62" i="39"/>
  <c r="L166" i="39"/>
  <c r="B166" i="39"/>
  <c r="L158" i="39"/>
  <c r="G13" i="39"/>
  <c r="G16" i="39"/>
  <c r="H119" i="39"/>
  <c r="I119" i="39"/>
  <c r="I8" i="39"/>
  <c r="L149" i="39"/>
  <c r="B149" i="39"/>
  <c r="G84" i="39"/>
  <c r="H84" i="39"/>
  <c r="I84" i="39"/>
  <c r="L144" i="39"/>
  <c r="L145" i="39"/>
  <c r="B145" i="39"/>
  <c r="L206" i="39"/>
  <c r="B206" i="39"/>
  <c r="H95" i="39"/>
  <c r="H13" i="39"/>
  <c r="H16" i="39"/>
  <c r="F20" i="39"/>
  <c r="B70" i="39"/>
  <c r="L71" i="39"/>
  <c r="F24" i="39"/>
  <c r="G24" i="39"/>
  <c r="H24" i="39"/>
  <c r="I24" i="39"/>
  <c r="L31" i="39"/>
  <c r="B29" i="39"/>
  <c r="B69" i="39"/>
  <c r="F107" i="39"/>
  <c r="B158" i="39"/>
  <c r="L159" i="39"/>
  <c r="B159" i="39"/>
  <c r="B194" i="39"/>
  <c r="L195" i="39"/>
  <c r="B195" i="39"/>
  <c r="L196" i="39"/>
  <c r="L186" i="39"/>
  <c r="B185" i="39"/>
  <c r="L110" i="39"/>
  <c r="L209" i="38"/>
  <c r="L210" i="38"/>
  <c r="L211" i="38"/>
  <c r="L212" i="38"/>
  <c r="L213" i="38"/>
  <c r="L214" i="38"/>
  <c r="L215" i="38"/>
  <c r="L216" i="38"/>
  <c r="L217" i="38"/>
  <c r="L218" i="38"/>
  <c r="L219" i="38"/>
  <c r="L220" i="38"/>
  <c r="L208" i="38"/>
  <c r="B208" i="38"/>
  <c r="B205" i="38"/>
  <c r="L206" i="38"/>
  <c r="L207" i="38"/>
  <c r="L205" i="38"/>
  <c r="L207" i="39"/>
  <c r="B144" i="39"/>
  <c r="G20" i="39"/>
  <c r="H8" i="39"/>
  <c r="H104" i="39"/>
  <c r="L167" i="39"/>
  <c r="H138" i="39"/>
  <c r="I138" i="39"/>
  <c r="L150" i="39"/>
  <c r="I95" i="39"/>
  <c r="L32" i="39"/>
  <c r="B31" i="39"/>
  <c r="F5" i="39"/>
  <c r="F6" i="39"/>
  <c r="F64" i="39"/>
  <c r="B110" i="39"/>
  <c r="L111" i="39"/>
  <c r="L187" i="39"/>
  <c r="B186" i="39"/>
  <c r="B196" i="39"/>
  <c r="L197" i="39"/>
  <c r="B197" i="39"/>
  <c r="I64" i="39"/>
  <c r="I5" i="39"/>
  <c r="I6" i="39"/>
  <c r="H64" i="39"/>
  <c r="H5" i="39"/>
  <c r="H6" i="39"/>
  <c r="G64" i="39"/>
  <c r="G5" i="39"/>
  <c r="G6" i="39"/>
  <c r="B71" i="39"/>
  <c r="L72" i="39"/>
  <c r="B207" i="39"/>
  <c r="L208" i="39"/>
  <c r="G107" i="39"/>
  <c r="H107" i="39"/>
  <c r="I107" i="39"/>
  <c r="F112" i="39"/>
  <c r="H252" i="38"/>
  <c r="G252" i="38"/>
  <c r="F252" i="38"/>
  <c r="N176" i="38"/>
  <c r="M176" i="38"/>
  <c r="F122" i="38"/>
  <c r="I13" i="39"/>
  <c r="I20" i="39"/>
  <c r="I104" i="39"/>
  <c r="B167" i="39"/>
  <c r="L168" i="39"/>
  <c r="H20" i="39"/>
  <c r="L188" i="39"/>
  <c r="B188" i="39"/>
  <c r="B187" i="39"/>
  <c r="F10" i="39"/>
  <c r="F14" i="39"/>
  <c r="H14" i="39"/>
  <c r="H10" i="39"/>
  <c r="B208" i="39"/>
  <c r="L209" i="39"/>
  <c r="B72" i="39"/>
  <c r="L73" i="39"/>
  <c r="G14" i="39"/>
  <c r="G10" i="39"/>
  <c r="I10" i="39"/>
  <c r="G112" i="39"/>
  <c r="H112" i="39"/>
  <c r="I112" i="39"/>
  <c r="F116" i="39"/>
  <c r="L113" i="39"/>
  <c r="B111" i="39"/>
  <c r="B32" i="39"/>
  <c r="L33" i="39"/>
  <c r="I14" i="39"/>
  <c r="L169" i="39"/>
  <c r="B168" i="39"/>
  <c r="I16" i="39"/>
  <c r="F123" i="39"/>
  <c r="G116" i="39"/>
  <c r="H116" i="39"/>
  <c r="I116" i="39"/>
  <c r="B209" i="39"/>
  <c r="L210" i="39"/>
  <c r="L114" i="39"/>
  <c r="B113" i="39"/>
  <c r="B73" i="39"/>
  <c r="L74" i="39"/>
  <c r="B33" i="39"/>
  <c r="L34" i="39"/>
  <c r="B184" i="38"/>
  <c r="M184" i="38"/>
  <c r="N184" i="38"/>
  <c r="L185" i="38"/>
  <c r="L186" i="38"/>
  <c r="B193" i="38"/>
  <c r="M193" i="38"/>
  <c r="N193" i="38"/>
  <c r="L194" i="38"/>
  <c r="B194" i="38"/>
  <c r="M194" i="38"/>
  <c r="N194" i="38"/>
  <c r="M195" i="38"/>
  <c r="N195" i="38"/>
  <c r="M196" i="38"/>
  <c r="N196" i="38"/>
  <c r="M201" i="38"/>
  <c r="N201" i="38"/>
  <c r="B202" i="38"/>
  <c r="B203" i="38"/>
  <c r="M203" i="38"/>
  <c r="N203" i="38"/>
  <c r="L204" i="38"/>
  <c r="B204" i="38"/>
  <c r="M204" i="38"/>
  <c r="N204" i="38"/>
  <c r="M206" i="38"/>
  <c r="N206" i="38"/>
  <c r="M207" i="38"/>
  <c r="N207" i="38"/>
  <c r="M209" i="38"/>
  <c r="N209" i="38"/>
  <c r="M210" i="38"/>
  <c r="N210" i="38"/>
  <c r="M211" i="38"/>
  <c r="N211" i="38"/>
  <c r="M212" i="38"/>
  <c r="N212" i="38"/>
  <c r="M213" i="38"/>
  <c r="N213" i="38"/>
  <c r="M214" i="38"/>
  <c r="N214" i="38"/>
  <c r="M215" i="38"/>
  <c r="N215" i="38"/>
  <c r="M216" i="38"/>
  <c r="N216" i="38"/>
  <c r="M217" i="38"/>
  <c r="N217" i="38"/>
  <c r="M220" i="38"/>
  <c r="N220" i="38"/>
  <c r="B221" i="38"/>
  <c r="M222" i="38"/>
  <c r="N222" i="38"/>
  <c r="M223" i="38"/>
  <c r="N223" i="38"/>
  <c r="M224" i="38"/>
  <c r="N224" i="38"/>
  <c r="M225" i="38"/>
  <c r="N225" i="38"/>
  <c r="M226" i="38"/>
  <c r="N226" i="38"/>
  <c r="M228" i="38"/>
  <c r="N228" i="38"/>
  <c r="B231" i="38"/>
  <c r="M232" i="38"/>
  <c r="N232" i="38"/>
  <c r="M233" i="38"/>
  <c r="N233" i="38"/>
  <c r="M234" i="38"/>
  <c r="N234" i="38"/>
  <c r="M235" i="38"/>
  <c r="N235" i="38"/>
  <c r="M241" i="38"/>
  <c r="N241" i="38"/>
  <c r="B242" i="38"/>
  <c r="F246" i="38"/>
  <c r="G246" i="38"/>
  <c r="H246" i="38"/>
  <c r="F247" i="38"/>
  <c r="G247" i="38"/>
  <c r="H247" i="38"/>
  <c r="F249" i="38"/>
  <c r="G249" i="38"/>
  <c r="H249" i="38"/>
  <c r="R259" i="38"/>
  <c r="S259" i="38"/>
  <c r="T259" i="38"/>
  <c r="U259" i="38"/>
  <c r="R260" i="38"/>
  <c r="S260" i="38"/>
  <c r="T260" i="38"/>
  <c r="U260" i="38"/>
  <c r="R261" i="38"/>
  <c r="S261" i="38"/>
  <c r="T261" i="38"/>
  <c r="U261" i="38"/>
  <c r="R262" i="38"/>
  <c r="S262" i="38"/>
  <c r="T262" i="38"/>
  <c r="U262" i="38"/>
  <c r="R263" i="38"/>
  <c r="S263" i="38"/>
  <c r="T263" i="38"/>
  <c r="U263" i="38"/>
  <c r="R264" i="38"/>
  <c r="S264" i="38"/>
  <c r="T264" i="38"/>
  <c r="U264" i="38"/>
  <c r="R265" i="38"/>
  <c r="S265" i="38"/>
  <c r="T265" i="38"/>
  <c r="U265" i="38"/>
  <c r="R266" i="38"/>
  <c r="S266" i="38"/>
  <c r="T266" i="38"/>
  <c r="U266" i="38"/>
  <c r="R267" i="38"/>
  <c r="S267" i="38"/>
  <c r="T267" i="38"/>
  <c r="U267" i="38"/>
  <c r="B155" i="38"/>
  <c r="F158" i="38"/>
  <c r="G158" i="38"/>
  <c r="H158" i="38"/>
  <c r="I158" i="38"/>
  <c r="B160" i="38"/>
  <c r="B161" i="38"/>
  <c r="B162" i="38"/>
  <c r="L163" i="38"/>
  <c r="B163" i="38"/>
  <c r="M163" i="38"/>
  <c r="N163" i="38"/>
  <c r="B164" i="38"/>
  <c r="B165" i="38"/>
  <c r="M166" i="38"/>
  <c r="M167" i="38"/>
  <c r="M168" i="38"/>
  <c r="N168" i="38"/>
  <c r="M169" i="38"/>
  <c r="N169" i="38"/>
  <c r="M170" i="38"/>
  <c r="N170" i="38"/>
  <c r="M171" i="38"/>
  <c r="N171" i="38"/>
  <c r="M172" i="38"/>
  <c r="N172" i="38"/>
  <c r="M173" i="38"/>
  <c r="N173" i="38"/>
  <c r="M174" i="38"/>
  <c r="N174" i="38"/>
  <c r="B177" i="38"/>
  <c r="M177" i="38"/>
  <c r="N177" i="38"/>
  <c r="B178" i="38"/>
  <c r="M178" i="38"/>
  <c r="N178" i="38"/>
  <c r="M179" i="38"/>
  <c r="N179" i="38"/>
  <c r="B180" i="38"/>
  <c r="M180" i="38"/>
  <c r="N180" i="38"/>
  <c r="B142" i="38"/>
  <c r="M142" i="38"/>
  <c r="N142" i="38"/>
  <c r="L143" i="38"/>
  <c r="L144" i="38"/>
  <c r="M143" i="38"/>
  <c r="N143" i="38"/>
  <c r="M145" i="38"/>
  <c r="N145" i="38"/>
  <c r="M146" i="38"/>
  <c r="N146" i="38"/>
  <c r="M147" i="38"/>
  <c r="N147" i="38"/>
  <c r="M148" i="38"/>
  <c r="N148" i="38"/>
  <c r="B110" i="38"/>
  <c r="B111" i="38"/>
  <c r="M111" i="38"/>
  <c r="N111" i="38"/>
  <c r="L112" i="38"/>
  <c r="B112" i="38"/>
  <c r="M112" i="38"/>
  <c r="N112" i="38"/>
  <c r="M114" i="38"/>
  <c r="N114" i="38"/>
  <c r="B115" i="38"/>
  <c r="M116" i="38"/>
  <c r="N116" i="38"/>
  <c r="G118" i="38"/>
  <c r="H118" i="38"/>
  <c r="I118" i="38"/>
  <c r="M118" i="38"/>
  <c r="N118" i="38"/>
  <c r="M120" i="38"/>
  <c r="N120" i="38"/>
  <c r="F8" i="38"/>
  <c r="G122" i="38"/>
  <c r="H122" i="38"/>
  <c r="I122" i="38"/>
  <c r="M122" i="38"/>
  <c r="N122" i="38"/>
  <c r="B125" i="38"/>
  <c r="M127" i="38"/>
  <c r="N127" i="38"/>
  <c r="M128" i="38"/>
  <c r="N128" i="38"/>
  <c r="M130" i="38"/>
  <c r="N130" i="38"/>
  <c r="M131" i="38"/>
  <c r="N131" i="38"/>
  <c r="M132" i="38"/>
  <c r="N132" i="38"/>
  <c r="M133" i="38"/>
  <c r="N133" i="38"/>
  <c r="B134" i="38"/>
  <c r="M135" i="38"/>
  <c r="N135" i="38"/>
  <c r="H136" i="38"/>
  <c r="I136" i="38"/>
  <c r="G137" i="38"/>
  <c r="H137" i="38"/>
  <c r="I137" i="38"/>
  <c r="M137" i="38"/>
  <c r="N137" i="38"/>
  <c r="M91" i="38"/>
  <c r="N91" i="38"/>
  <c r="M103" i="38"/>
  <c r="N103" i="38"/>
  <c r="M104" i="38"/>
  <c r="N104" i="38"/>
  <c r="M92" i="38"/>
  <c r="N92" i="38"/>
  <c r="M93" i="38"/>
  <c r="N93" i="38"/>
  <c r="G95" i="38"/>
  <c r="H95" i="38"/>
  <c r="I95" i="38"/>
  <c r="G96" i="38"/>
  <c r="H96" i="38"/>
  <c r="G97" i="38"/>
  <c r="H97" i="38"/>
  <c r="I97" i="38"/>
  <c r="G98" i="38"/>
  <c r="H98" i="38"/>
  <c r="I98" i="38"/>
  <c r="G99" i="38"/>
  <c r="H99" i="38"/>
  <c r="I99" i="38"/>
  <c r="F83" i="38"/>
  <c r="G83" i="38"/>
  <c r="H83" i="38"/>
  <c r="I83" i="38"/>
  <c r="H84" i="38"/>
  <c r="M84" i="38"/>
  <c r="N84" i="38"/>
  <c r="H85" i="38"/>
  <c r="M85" i="38"/>
  <c r="N85" i="38"/>
  <c r="M86" i="38"/>
  <c r="N86" i="38"/>
  <c r="M88" i="38"/>
  <c r="N88" i="38"/>
  <c r="H67" i="38"/>
  <c r="I67" i="38"/>
  <c r="B68" i="38"/>
  <c r="M68" i="38"/>
  <c r="N68" i="38"/>
  <c r="L69" i="38"/>
  <c r="L70" i="38"/>
  <c r="B70" i="38"/>
  <c r="M70" i="38"/>
  <c r="N70" i="38"/>
  <c r="M72" i="38"/>
  <c r="N72" i="38"/>
  <c r="M77" i="38"/>
  <c r="N77" i="38"/>
  <c r="L29" i="38"/>
  <c r="B29" i="38"/>
  <c r="F30" i="38"/>
  <c r="G30" i="38"/>
  <c r="H30" i="38"/>
  <c r="I30" i="38"/>
  <c r="N31" i="38"/>
  <c r="N34" i="38"/>
  <c r="O34" i="38"/>
  <c r="AR7" i="38"/>
  <c r="P34" i="38"/>
  <c r="F63" i="38"/>
  <c r="G63" i="38"/>
  <c r="H63" i="38"/>
  <c r="I63" i="38"/>
  <c r="F12" i="38"/>
  <c r="G12" i="38"/>
  <c r="H12" i="38"/>
  <c r="I12" i="38"/>
  <c r="F17" i="38"/>
  <c r="G17" i="38"/>
  <c r="H17" i="38"/>
  <c r="I17" i="38"/>
  <c r="Q4" i="38"/>
  <c r="Q8" i="38"/>
  <c r="R4" i="38"/>
  <c r="R8" i="38"/>
  <c r="U4" i="38"/>
  <c r="U8" i="38"/>
  <c r="V4" i="38"/>
  <c r="V8" i="38"/>
  <c r="Y4" i="38"/>
  <c r="Y8" i="38"/>
  <c r="Z4" i="38"/>
  <c r="Z8" i="38"/>
  <c r="AC4" i="38"/>
  <c r="AC8" i="38"/>
  <c r="AD4" i="38"/>
  <c r="AD8" i="38"/>
  <c r="AG4" i="38"/>
  <c r="AG8" i="38"/>
  <c r="AH4" i="38"/>
  <c r="AH8" i="38"/>
  <c r="AK4" i="38"/>
  <c r="AK8" i="38"/>
  <c r="AL4" i="38"/>
  <c r="AL8" i="38"/>
  <c r="AO4" i="38"/>
  <c r="AO8" i="38"/>
  <c r="AP4" i="38"/>
  <c r="AP8" i="38"/>
  <c r="AS4" i="38"/>
  <c r="AS8" i="38"/>
  <c r="AT4" i="38"/>
  <c r="AT8" i="38"/>
  <c r="A5" i="38"/>
  <c r="Q5" i="38"/>
  <c r="R5" i="38"/>
  <c r="U5" i="38"/>
  <c r="V5" i="38"/>
  <c r="Y5" i="38"/>
  <c r="Z5" i="38"/>
  <c r="AC5" i="38"/>
  <c r="AD5" i="38"/>
  <c r="AG5" i="38"/>
  <c r="AH5" i="38"/>
  <c r="AK5" i="38"/>
  <c r="AL5" i="38"/>
  <c r="AO5" i="38"/>
  <c r="AP5" i="38"/>
  <c r="AS5" i="38"/>
  <c r="AT5" i="38"/>
  <c r="Q6" i="38"/>
  <c r="R6" i="38"/>
  <c r="U6" i="38"/>
  <c r="V6" i="38"/>
  <c r="Y6" i="38"/>
  <c r="Z6" i="38"/>
  <c r="AC6" i="38"/>
  <c r="AD6" i="38"/>
  <c r="AG6" i="38"/>
  <c r="AH6" i="38"/>
  <c r="AK6" i="38"/>
  <c r="AL6" i="38"/>
  <c r="AO6" i="38"/>
  <c r="AP6" i="38"/>
  <c r="AS6" i="38"/>
  <c r="AT6" i="38"/>
  <c r="Q7" i="38"/>
  <c r="R7" i="38"/>
  <c r="U7" i="38"/>
  <c r="V7" i="38"/>
  <c r="Y7" i="38"/>
  <c r="Z7" i="38"/>
  <c r="AC7" i="38"/>
  <c r="AD7" i="38"/>
  <c r="AG7" i="38"/>
  <c r="AH7" i="38"/>
  <c r="AK7" i="38"/>
  <c r="AL7" i="38"/>
  <c r="AO7" i="38"/>
  <c r="AP7" i="38"/>
  <c r="AS7" i="38"/>
  <c r="AT7" i="38"/>
  <c r="F9" i="38"/>
  <c r="G9" i="38"/>
  <c r="H9" i="38"/>
  <c r="I9" i="38"/>
  <c r="F49" i="36"/>
  <c r="L170" i="39"/>
  <c r="B169" i="39"/>
  <c r="L75" i="39"/>
  <c r="B74" i="39"/>
  <c r="B210" i="39"/>
  <c r="L211" i="39"/>
  <c r="B34" i="39"/>
  <c r="L35" i="39"/>
  <c r="B114" i="39"/>
  <c r="L115" i="39"/>
  <c r="G123" i="39"/>
  <c r="H123" i="39"/>
  <c r="I123" i="39"/>
  <c r="F128" i="39"/>
  <c r="G8" i="38"/>
  <c r="L145" i="38"/>
  <c r="B145" i="38"/>
  <c r="B144" i="38"/>
  <c r="B146" i="38"/>
  <c r="AB7" i="38"/>
  <c r="L30" i="38"/>
  <c r="L31" i="38"/>
  <c r="G248" i="38"/>
  <c r="G250" i="38"/>
  <c r="AB6" i="38"/>
  <c r="I8" i="38"/>
  <c r="F13" i="38"/>
  <c r="F16" i="38"/>
  <c r="F248" i="38"/>
  <c r="F250" i="38"/>
  <c r="H248" i="38"/>
  <c r="H250" i="38"/>
  <c r="L113" i="38"/>
  <c r="L114" i="38"/>
  <c r="F62" i="38"/>
  <c r="F5" i="38"/>
  <c r="F6" i="38"/>
  <c r="X5" i="38"/>
  <c r="Q16" i="38"/>
  <c r="R16" i="38"/>
  <c r="Q15" i="38"/>
  <c r="X6" i="38"/>
  <c r="AR6" i="38"/>
  <c r="AN5" i="38"/>
  <c r="B30" i="38"/>
  <c r="AV5" i="38"/>
  <c r="H8" i="38"/>
  <c r="F138" i="38"/>
  <c r="B206" i="38"/>
  <c r="L195" i="38"/>
  <c r="B195" i="38"/>
  <c r="B185" i="38"/>
  <c r="G13" i="38"/>
  <c r="G16" i="38"/>
  <c r="B69" i="38"/>
  <c r="F90" i="38"/>
  <c r="F110" i="38"/>
  <c r="AV6" i="38"/>
  <c r="Q14" i="38"/>
  <c r="B143" i="38"/>
  <c r="L166" i="38"/>
  <c r="T6" i="38"/>
  <c r="R14" i="38"/>
  <c r="Q17" i="38"/>
  <c r="R13" i="38"/>
  <c r="R17" i="38"/>
  <c r="R15" i="38"/>
  <c r="AR4" i="38"/>
  <c r="W7" i="38"/>
  <c r="AI7" i="38"/>
  <c r="AQ7" i="38"/>
  <c r="S4" i="38"/>
  <c r="W4" i="38"/>
  <c r="AA4" i="38"/>
  <c r="AE4" i="38"/>
  <c r="AI4" i="38"/>
  <c r="AM4" i="38"/>
  <c r="AQ4" i="38"/>
  <c r="AU4" i="38"/>
  <c r="T4" i="38"/>
  <c r="X4" i="38"/>
  <c r="AB4" i="38"/>
  <c r="AF4" i="38"/>
  <c r="AJ4" i="38"/>
  <c r="AN4" i="38"/>
  <c r="AV4" i="38"/>
  <c r="S7" i="38"/>
  <c r="AA7" i="38"/>
  <c r="AE7" i="38"/>
  <c r="AM7" i="38"/>
  <c r="AU7" i="38"/>
  <c r="B31" i="38"/>
  <c r="L32" i="38"/>
  <c r="AV7" i="38"/>
  <c r="AF7" i="38"/>
  <c r="AF6" i="38"/>
  <c r="AR5" i="38"/>
  <c r="AB5" i="38"/>
  <c r="T7" i="38"/>
  <c r="AJ6" i="38"/>
  <c r="W5" i="38"/>
  <c r="AA5" i="38"/>
  <c r="AI5" i="38"/>
  <c r="AQ5" i="38"/>
  <c r="S5" i="38"/>
  <c r="AE5" i="38"/>
  <c r="AM5" i="38"/>
  <c r="AU5" i="38"/>
  <c r="I96" i="38"/>
  <c r="I13" i="38"/>
  <c r="H13" i="38"/>
  <c r="AJ7" i="38"/>
  <c r="AF5" i="38"/>
  <c r="AN7" i="38"/>
  <c r="X7" i="38"/>
  <c r="AN6" i="38"/>
  <c r="AJ5" i="38"/>
  <c r="T5" i="38"/>
  <c r="G190" i="38"/>
  <c r="H197" i="38"/>
  <c r="I243" i="38"/>
  <c r="F181" i="38"/>
  <c r="G151" i="38"/>
  <c r="G138" i="38"/>
  <c r="G107" i="38"/>
  <c r="H190" i="38"/>
  <c r="I197" i="38"/>
  <c r="F243" i="38"/>
  <c r="G181" i="38"/>
  <c r="H151" i="38"/>
  <c r="H138" i="38"/>
  <c r="H107" i="38"/>
  <c r="I190" i="38"/>
  <c r="F197" i="38"/>
  <c r="G243" i="38"/>
  <c r="H181" i="38"/>
  <c r="I151" i="38"/>
  <c r="I138" i="38"/>
  <c r="F107" i="38"/>
  <c r="G62" i="38"/>
  <c r="F190" i="38"/>
  <c r="G197" i="38"/>
  <c r="H243" i="38"/>
  <c r="F151" i="38"/>
  <c r="H62" i="38"/>
  <c r="I181" i="38"/>
  <c r="I62" i="38"/>
  <c r="Q13" i="38"/>
  <c r="F23" i="38"/>
  <c r="F24" i="38"/>
  <c r="G23" i="38"/>
  <c r="G24" i="38"/>
  <c r="S6" i="38"/>
  <c r="AA6" i="38"/>
  <c r="AI6" i="38"/>
  <c r="AQ6" i="38"/>
  <c r="AU6" i="38"/>
  <c r="H23" i="38"/>
  <c r="H24" i="38"/>
  <c r="W6" i="38"/>
  <c r="AE6" i="38"/>
  <c r="AM6" i="38"/>
  <c r="I23" i="38"/>
  <c r="I24" i="38"/>
  <c r="B147" i="38"/>
  <c r="L148" i="38"/>
  <c r="L157" i="38"/>
  <c r="B156" i="38"/>
  <c r="L187" i="38"/>
  <c r="B186" i="38"/>
  <c r="L71" i="38"/>
  <c r="B170" i="39"/>
  <c r="L171" i="39"/>
  <c r="L36" i="39"/>
  <c r="B35" i="39"/>
  <c r="B115" i="39"/>
  <c r="L117" i="39"/>
  <c r="G128" i="39"/>
  <c r="H128" i="39"/>
  <c r="I128" i="39"/>
  <c r="F134" i="39"/>
  <c r="B75" i="39"/>
  <c r="L76" i="39"/>
  <c r="B211" i="39"/>
  <c r="L212" i="39"/>
  <c r="I20" i="38"/>
  <c r="G90" i="38"/>
  <c r="H90" i="38"/>
  <c r="I90" i="38"/>
  <c r="F64" i="38"/>
  <c r="F20" i="38"/>
  <c r="F14" i="38"/>
  <c r="L196" i="38"/>
  <c r="B196" i="38"/>
  <c r="F10" i="38"/>
  <c r="B113" i="38"/>
  <c r="B114" i="38"/>
  <c r="L116" i="38"/>
  <c r="G20" i="38"/>
  <c r="W8" i="38"/>
  <c r="L167" i="38"/>
  <c r="B166" i="38"/>
  <c r="I107" i="38"/>
  <c r="T15" i="38"/>
  <c r="AN8" i="38"/>
  <c r="AM8" i="38"/>
  <c r="B32" i="38"/>
  <c r="L33" i="38"/>
  <c r="X8" i="38"/>
  <c r="B71" i="38"/>
  <c r="L72" i="38"/>
  <c r="L188" i="38"/>
  <c r="B188" i="38"/>
  <c r="B187" i="38"/>
  <c r="B207" i="38"/>
  <c r="H64" i="38"/>
  <c r="H5" i="38"/>
  <c r="H6" i="38"/>
  <c r="T14" i="38"/>
  <c r="S14" i="38"/>
  <c r="I16" i="38"/>
  <c r="AJ8" i="38"/>
  <c r="T13" i="38"/>
  <c r="T8" i="38"/>
  <c r="AI8" i="38"/>
  <c r="S13" i="38"/>
  <c r="S8" i="38"/>
  <c r="AR8" i="38"/>
  <c r="H16" i="38"/>
  <c r="G64" i="38"/>
  <c r="G5" i="38"/>
  <c r="G6" i="38"/>
  <c r="S16" i="38"/>
  <c r="AF8" i="38"/>
  <c r="AU8" i="38"/>
  <c r="AE8" i="38"/>
  <c r="B148" i="38"/>
  <c r="L149" i="38"/>
  <c r="S15" i="38"/>
  <c r="B157" i="38"/>
  <c r="L158" i="38"/>
  <c r="G110" i="38"/>
  <c r="H110" i="38"/>
  <c r="I110" i="38"/>
  <c r="F115" i="38"/>
  <c r="I64" i="38"/>
  <c r="I5" i="38"/>
  <c r="I6" i="38"/>
  <c r="H20" i="38"/>
  <c r="T16" i="38"/>
  <c r="AV8" i="38"/>
  <c r="AB8" i="38"/>
  <c r="AQ8" i="38"/>
  <c r="AA8" i="38"/>
  <c r="L172" i="39"/>
  <c r="B171" i="39"/>
  <c r="B117" i="39"/>
  <c r="L118" i="39"/>
  <c r="L77" i="39"/>
  <c r="B76" i="39"/>
  <c r="F141" i="39"/>
  <c r="G134" i="39"/>
  <c r="H134" i="39"/>
  <c r="I134" i="39"/>
  <c r="B212" i="39"/>
  <c r="L213" i="39"/>
  <c r="B36" i="39"/>
  <c r="L37" i="39"/>
  <c r="B116" i="38"/>
  <c r="L117" i="38"/>
  <c r="B167" i="38"/>
  <c r="L168" i="38"/>
  <c r="L169" i="38"/>
  <c r="G115" i="38"/>
  <c r="H115" i="38"/>
  <c r="I115" i="38"/>
  <c r="F119" i="38"/>
  <c r="B209" i="38"/>
  <c r="B72" i="38"/>
  <c r="L73" i="38"/>
  <c r="I14" i="38"/>
  <c r="I10" i="38"/>
  <c r="L159" i="38"/>
  <c r="B159" i="38"/>
  <c r="B158" i="38"/>
  <c r="G14" i="38"/>
  <c r="G10" i="38"/>
  <c r="H10" i="38"/>
  <c r="H14" i="38"/>
  <c r="T17" i="38"/>
  <c r="S17" i="38"/>
  <c r="L150" i="38"/>
  <c r="L34" i="38"/>
  <c r="B33" i="38"/>
  <c r="B172" i="39"/>
  <c r="L173" i="39"/>
  <c r="B118" i="39"/>
  <c r="L119" i="39"/>
  <c r="F153" i="39"/>
  <c r="G141" i="39"/>
  <c r="H141" i="39"/>
  <c r="I141" i="39"/>
  <c r="L38" i="39"/>
  <c r="B37" i="39"/>
  <c r="B213" i="39"/>
  <c r="L214" i="39"/>
  <c r="B77" i="39"/>
  <c r="L78" i="39"/>
  <c r="L118" i="38"/>
  <c r="B117" i="38"/>
  <c r="B168" i="38"/>
  <c r="B34" i="38"/>
  <c r="L35" i="38"/>
  <c r="B73" i="38"/>
  <c r="L74" i="38"/>
  <c r="B210" i="38"/>
  <c r="G119" i="38"/>
  <c r="H119" i="38"/>
  <c r="I119" i="38"/>
  <c r="F125" i="38"/>
  <c r="B173" i="39"/>
  <c r="L174" i="39"/>
  <c r="F155" i="39"/>
  <c r="G153" i="39"/>
  <c r="H153" i="39"/>
  <c r="I153" i="39"/>
  <c r="L120" i="39"/>
  <c r="B119" i="39"/>
  <c r="B78" i="39"/>
  <c r="L79" i="39"/>
  <c r="B214" i="39"/>
  <c r="L215" i="39"/>
  <c r="B38" i="39"/>
  <c r="L39" i="39"/>
  <c r="B213" i="38"/>
  <c r="B118" i="38"/>
  <c r="L120" i="38"/>
  <c r="G125" i="38"/>
  <c r="H125" i="38"/>
  <c r="I125" i="38"/>
  <c r="F129" i="38"/>
  <c r="B74" i="38"/>
  <c r="L75" i="38"/>
  <c r="L36" i="38"/>
  <c r="B35" i="38"/>
  <c r="B211" i="38"/>
  <c r="B212" i="38"/>
  <c r="L175" i="39"/>
  <c r="B174" i="39"/>
  <c r="L40" i="39"/>
  <c r="B39" i="39"/>
  <c r="F162" i="39"/>
  <c r="G155" i="39"/>
  <c r="H155" i="39"/>
  <c r="I155" i="39"/>
  <c r="L80" i="39"/>
  <c r="B79" i="39"/>
  <c r="B215" i="39"/>
  <c r="L216" i="39"/>
  <c r="L121" i="39"/>
  <c r="B120" i="39"/>
  <c r="B214" i="38"/>
  <c r="L121" i="38"/>
  <c r="B120" i="38"/>
  <c r="B169" i="38"/>
  <c r="L170" i="38"/>
  <c r="L37" i="38"/>
  <c r="B36" i="38"/>
  <c r="B75" i="38"/>
  <c r="L76" i="38"/>
  <c r="G129" i="38"/>
  <c r="H129" i="38"/>
  <c r="I129" i="38"/>
  <c r="F134" i="38"/>
  <c r="L176" i="39"/>
  <c r="B175" i="39"/>
  <c r="G162" i="39"/>
  <c r="H162" i="39"/>
  <c r="I162" i="39"/>
  <c r="F165" i="39"/>
  <c r="B216" i="39"/>
  <c r="L217" i="39"/>
  <c r="L122" i="39"/>
  <c r="B121" i="39"/>
  <c r="L81" i="39"/>
  <c r="B80" i="39"/>
  <c r="L41" i="39"/>
  <c r="B40" i="39"/>
  <c r="B215" i="38"/>
  <c r="B121" i="38"/>
  <c r="L122" i="38"/>
  <c r="L123" i="38"/>
  <c r="B170" i="38"/>
  <c r="L171" i="38"/>
  <c r="L38" i="38"/>
  <c r="B37" i="38"/>
  <c r="F141" i="38"/>
  <c r="G134" i="38"/>
  <c r="H134" i="38"/>
  <c r="I134" i="38"/>
  <c r="B76" i="38"/>
  <c r="L77" i="38"/>
  <c r="L179" i="39"/>
  <c r="B179" i="39"/>
  <c r="B176" i="39"/>
  <c r="L82" i="39"/>
  <c r="B81" i="39"/>
  <c r="F183" i="39"/>
  <c r="G165" i="39"/>
  <c r="H165" i="39"/>
  <c r="I165" i="39"/>
  <c r="B217" i="39"/>
  <c r="L218" i="39"/>
  <c r="L42" i="39"/>
  <c r="B41" i="39"/>
  <c r="L124" i="39"/>
  <c r="B122" i="39"/>
  <c r="B123" i="38"/>
  <c r="L124" i="38"/>
  <c r="B216" i="38"/>
  <c r="B122" i="38"/>
  <c r="B171" i="38"/>
  <c r="L172" i="38"/>
  <c r="L78" i="38"/>
  <c r="L79" i="38"/>
  <c r="B77" i="38"/>
  <c r="L39" i="38"/>
  <c r="B38" i="38"/>
  <c r="F153" i="38"/>
  <c r="G141" i="38"/>
  <c r="H141" i="38"/>
  <c r="I141" i="38"/>
  <c r="L43" i="39"/>
  <c r="B42" i="39"/>
  <c r="F192" i="39"/>
  <c r="G183" i="39"/>
  <c r="H183" i="39"/>
  <c r="I183" i="39"/>
  <c r="B218" i="39"/>
  <c r="L219" i="39"/>
  <c r="L125" i="39"/>
  <c r="B124" i="39"/>
  <c r="L85" i="39"/>
  <c r="B82" i="39"/>
  <c r="L80" i="38"/>
  <c r="B79" i="38"/>
  <c r="B217" i="38"/>
  <c r="B124" i="38"/>
  <c r="L126" i="38"/>
  <c r="B172" i="38"/>
  <c r="L173" i="38"/>
  <c r="G153" i="38"/>
  <c r="H153" i="38"/>
  <c r="I153" i="38"/>
  <c r="F155" i="38"/>
  <c r="L40" i="38"/>
  <c r="B39" i="38"/>
  <c r="B78" i="38"/>
  <c r="L126" i="39"/>
  <c r="B125" i="39"/>
  <c r="F201" i="39"/>
  <c r="G192" i="39"/>
  <c r="H192" i="39"/>
  <c r="I192" i="39"/>
  <c r="B219" i="39"/>
  <c r="L220" i="39"/>
  <c r="L86" i="39"/>
  <c r="B85" i="39"/>
  <c r="L44" i="39"/>
  <c r="B43" i="39"/>
  <c r="L81" i="38"/>
  <c r="L84" i="38"/>
  <c r="B80" i="38"/>
  <c r="L127" i="38"/>
  <c r="B126" i="38"/>
  <c r="B173" i="38"/>
  <c r="L174" i="38"/>
  <c r="L41" i="38"/>
  <c r="B40" i="38"/>
  <c r="F162" i="38"/>
  <c r="G155" i="38"/>
  <c r="H155" i="38"/>
  <c r="I155" i="38"/>
  <c r="B81" i="38"/>
  <c r="L87" i="39"/>
  <c r="B86" i="39"/>
  <c r="G201" i="39"/>
  <c r="H201" i="39"/>
  <c r="I201" i="39"/>
  <c r="F203" i="39"/>
  <c r="B220" i="39"/>
  <c r="L221" i="39"/>
  <c r="B44" i="39"/>
  <c r="L45" i="39"/>
  <c r="L127" i="39"/>
  <c r="B126" i="39"/>
  <c r="B218" i="38"/>
  <c r="L128" i="38"/>
  <c r="L130" i="38"/>
  <c r="B127" i="38"/>
  <c r="B174" i="38"/>
  <c r="L175" i="38"/>
  <c r="L176" i="38"/>
  <c r="G162" i="38"/>
  <c r="H162" i="38"/>
  <c r="I162" i="38"/>
  <c r="F165" i="38"/>
  <c r="L42" i="38"/>
  <c r="B41" i="38"/>
  <c r="L46" i="39"/>
  <c r="B45" i="39"/>
  <c r="G203" i="39"/>
  <c r="H203" i="39"/>
  <c r="I203" i="39"/>
  <c r="F222" i="39"/>
  <c r="G222" i="39"/>
  <c r="H222" i="39"/>
  <c r="I222" i="39"/>
  <c r="L223" i="39"/>
  <c r="B221" i="39"/>
  <c r="L129" i="39"/>
  <c r="B127" i="39"/>
  <c r="L88" i="39"/>
  <c r="B87" i="39"/>
  <c r="B176" i="38"/>
  <c r="L179" i="38"/>
  <c r="B128" i="38"/>
  <c r="B175" i="38"/>
  <c r="L43" i="38"/>
  <c r="B42" i="38"/>
  <c r="F183" i="38"/>
  <c r="G165" i="38"/>
  <c r="H165" i="38"/>
  <c r="I165" i="38"/>
  <c r="L85" i="38"/>
  <c r="B84" i="38"/>
  <c r="B129" i="39"/>
  <c r="L130" i="39"/>
  <c r="B88" i="39"/>
  <c r="L89" i="39"/>
  <c r="L224" i="39"/>
  <c r="B223" i="39"/>
  <c r="B46" i="39"/>
  <c r="L47" i="39"/>
  <c r="B219" i="38"/>
  <c r="B179" i="38"/>
  <c r="L86" i="38"/>
  <c r="L87" i="38"/>
  <c r="B85" i="38"/>
  <c r="G183" i="38"/>
  <c r="H183" i="38"/>
  <c r="I183" i="38"/>
  <c r="F192" i="38"/>
  <c r="L44" i="38"/>
  <c r="B43" i="38"/>
  <c r="L48" i="39"/>
  <c r="B47" i="39"/>
  <c r="L131" i="39"/>
  <c r="B130" i="39"/>
  <c r="L90" i="39"/>
  <c r="B90" i="39"/>
  <c r="L93" i="39"/>
  <c r="B89" i="39"/>
  <c r="L225" i="39"/>
  <c r="B224" i="39"/>
  <c r="L222" i="38"/>
  <c r="B220" i="38"/>
  <c r="L131" i="38"/>
  <c r="B130" i="38"/>
  <c r="G192" i="38"/>
  <c r="H192" i="38"/>
  <c r="I192" i="38"/>
  <c r="F200" i="38"/>
  <c r="L45" i="38"/>
  <c r="B44" i="38"/>
  <c r="B86" i="38"/>
  <c r="L226" i="39"/>
  <c r="B225" i="39"/>
  <c r="B131" i="39"/>
  <c r="L132" i="39"/>
  <c r="B93" i="39"/>
  <c r="L94" i="39"/>
  <c r="L49" i="39"/>
  <c r="B48" i="39"/>
  <c r="B222" i="38"/>
  <c r="L223" i="38"/>
  <c r="L132" i="38"/>
  <c r="B131" i="38"/>
  <c r="L46" i="38"/>
  <c r="B45" i="38"/>
  <c r="F202" i="38"/>
  <c r="G200" i="38"/>
  <c r="H200" i="38"/>
  <c r="I200" i="38"/>
  <c r="L133" i="39"/>
  <c r="B132" i="39"/>
  <c r="L50" i="39"/>
  <c r="B49" i="39"/>
  <c r="L95" i="39"/>
  <c r="L96" i="39"/>
  <c r="B94" i="39"/>
  <c r="L227" i="39"/>
  <c r="B226" i="39"/>
  <c r="B223" i="38"/>
  <c r="L224" i="38"/>
  <c r="L133" i="38"/>
  <c r="B132" i="38"/>
  <c r="B87" i="38"/>
  <c r="L88" i="38"/>
  <c r="G202" i="38"/>
  <c r="H202" i="38"/>
  <c r="I202" i="38"/>
  <c r="F221" i="38"/>
  <c r="G221" i="38"/>
  <c r="H221" i="38"/>
  <c r="I221" i="38"/>
  <c r="L47" i="38"/>
  <c r="B46" i="38"/>
  <c r="L228" i="39"/>
  <c r="B227" i="39"/>
  <c r="L51" i="39"/>
  <c r="B50" i="39"/>
  <c r="B95" i="39"/>
  <c r="B133" i="39"/>
  <c r="L135" i="39"/>
  <c r="B224" i="38"/>
  <c r="L225" i="38"/>
  <c r="L135" i="38"/>
  <c r="B133" i="38"/>
  <c r="L91" i="38"/>
  <c r="L92" i="38"/>
  <c r="L93" i="38"/>
  <c r="L94" i="38"/>
  <c r="L95" i="38"/>
  <c r="L96" i="38"/>
  <c r="L97" i="38"/>
  <c r="L98" i="38"/>
  <c r="B88" i="38"/>
  <c r="L48" i="38"/>
  <c r="B47" i="38"/>
  <c r="L52" i="39"/>
  <c r="B51" i="39"/>
  <c r="B135" i="39"/>
  <c r="L136" i="39"/>
  <c r="L229" i="39"/>
  <c r="B228" i="39"/>
  <c r="L99" i="38"/>
  <c r="L100" i="38"/>
  <c r="L101" i="38"/>
  <c r="L102" i="38"/>
  <c r="L103" i="38"/>
  <c r="L104" i="38"/>
  <c r="L226" i="38"/>
  <c r="L227" i="38"/>
  <c r="L228" i="38"/>
  <c r="L229" i="38"/>
  <c r="L230" i="38"/>
  <c r="B225" i="38"/>
  <c r="B135" i="38"/>
  <c r="L136" i="38"/>
  <c r="L49" i="38"/>
  <c r="B48" i="38"/>
  <c r="B91" i="38"/>
  <c r="B229" i="39"/>
  <c r="L230" i="39"/>
  <c r="B136" i="39"/>
  <c r="L137" i="39"/>
  <c r="B137" i="39"/>
  <c r="B52" i="39"/>
  <c r="L53" i="39"/>
  <c r="B226" i="38"/>
  <c r="B136" i="38"/>
  <c r="L137" i="38"/>
  <c r="B137" i="38"/>
  <c r="B103" i="38"/>
  <c r="B49" i="38"/>
  <c r="L50" i="38"/>
  <c r="L54" i="39"/>
  <c r="B53" i="39"/>
  <c r="L231" i="39"/>
  <c r="B230" i="39"/>
  <c r="B104" i="38"/>
  <c r="B50" i="38"/>
  <c r="L51" i="38"/>
  <c r="L232" i="39"/>
  <c r="B231" i="39"/>
  <c r="B96" i="39"/>
  <c r="L97" i="39"/>
  <c r="B54" i="39"/>
  <c r="L55" i="39"/>
  <c r="L52" i="38"/>
  <c r="B51" i="38"/>
  <c r="B92" i="38"/>
  <c r="B97" i="39"/>
  <c r="L98" i="39"/>
  <c r="L56" i="39"/>
  <c r="B55" i="39"/>
  <c r="L234" i="39"/>
  <c r="B232" i="39"/>
  <c r="B227" i="38"/>
  <c r="B93" i="38"/>
  <c r="B52" i="38"/>
  <c r="L53" i="38"/>
  <c r="L57" i="39"/>
  <c r="B56" i="39"/>
  <c r="L99" i="39"/>
  <c r="B98" i="39"/>
  <c r="B234" i="39"/>
  <c r="L235" i="39"/>
  <c r="B228" i="38"/>
  <c r="L54" i="38"/>
  <c r="B53" i="38"/>
  <c r="B94" i="38"/>
  <c r="B235" i="39"/>
  <c r="L236" i="39"/>
  <c r="B99" i="39"/>
  <c r="L100" i="39"/>
  <c r="L58" i="39"/>
  <c r="B57" i="39"/>
  <c r="B229" i="38"/>
  <c r="B95" i="38"/>
  <c r="B54" i="38"/>
  <c r="L55" i="38"/>
  <c r="B100" i="39"/>
  <c r="L101" i="39"/>
  <c r="B236" i="39"/>
  <c r="L237" i="39"/>
  <c r="L59" i="39"/>
  <c r="B58" i="39"/>
  <c r="L232" i="38"/>
  <c r="B230" i="38"/>
  <c r="B96" i="38"/>
  <c r="L56" i="38"/>
  <c r="B55" i="38"/>
  <c r="B237" i="39"/>
  <c r="L238" i="39"/>
  <c r="L102" i="39"/>
  <c r="B102" i="39"/>
  <c r="B101" i="39"/>
  <c r="B59" i="39"/>
  <c r="L60" i="39"/>
  <c r="B232" i="38"/>
  <c r="L233" i="38"/>
  <c r="B56" i="38"/>
  <c r="L57" i="38"/>
  <c r="B97" i="38"/>
  <c r="B60" i="39"/>
  <c r="L61" i="39"/>
  <c r="L239" i="39"/>
  <c r="B238" i="39"/>
  <c r="B233" i="38"/>
  <c r="L234" i="38"/>
  <c r="B98" i="38"/>
  <c r="L58" i="38"/>
  <c r="B57" i="38"/>
  <c r="L240" i="39"/>
  <c r="B239" i="39"/>
  <c r="L235" i="38"/>
  <c r="B234" i="38"/>
  <c r="B58" i="38"/>
  <c r="L59" i="38"/>
  <c r="L241" i="39"/>
  <c r="B240" i="39"/>
  <c r="B235" i="38"/>
  <c r="L236" i="38"/>
  <c r="B99" i="38"/>
  <c r="L60" i="38"/>
  <c r="B59" i="38"/>
  <c r="B241" i="39"/>
  <c r="L242" i="39"/>
  <c r="L243" i="39"/>
  <c r="B236" i="38"/>
  <c r="L237" i="38"/>
  <c r="B100" i="38"/>
  <c r="B60" i="38"/>
  <c r="L61" i="38"/>
  <c r="F25" i="39"/>
  <c r="G18" i="39"/>
  <c r="F18" i="39"/>
  <c r="I25" i="39"/>
  <c r="G25" i="39"/>
  <c r="H25" i="39"/>
  <c r="I18" i="39"/>
  <c r="H18" i="39"/>
  <c r="B237" i="38"/>
  <c r="L238" i="38"/>
  <c r="B101" i="38"/>
  <c r="B102" i="38"/>
  <c r="B238" i="38"/>
  <c r="L239" i="38"/>
  <c r="I232" i="36"/>
  <c r="H232" i="36"/>
  <c r="G232" i="36"/>
  <c r="F232" i="36"/>
  <c r="M77" i="36"/>
  <c r="Q4" i="36"/>
  <c r="R4" i="36"/>
  <c r="U4" i="36"/>
  <c r="V4" i="36"/>
  <c r="Y4" i="36"/>
  <c r="Z4" i="36"/>
  <c r="AC4" i="36"/>
  <c r="AD4" i="36"/>
  <c r="AG4" i="36"/>
  <c r="AH4" i="36"/>
  <c r="AK4" i="36"/>
  <c r="AL4" i="36"/>
  <c r="AO4" i="36"/>
  <c r="AP4" i="36"/>
  <c r="AS4" i="36"/>
  <c r="AT4" i="36"/>
  <c r="Q5" i="36"/>
  <c r="R5" i="36"/>
  <c r="U5" i="36"/>
  <c r="V5" i="36"/>
  <c r="Y5" i="36"/>
  <c r="Z5" i="36"/>
  <c r="AC5" i="36"/>
  <c r="AD5" i="36"/>
  <c r="AG5" i="36"/>
  <c r="AH5" i="36"/>
  <c r="AK5" i="36"/>
  <c r="AL5" i="36"/>
  <c r="AO5" i="36"/>
  <c r="AP5" i="36"/>
  <c r="AS5" i="36"/>
  <c r="AT5" i="36"/>
  <c r="Q6" i="36"/>
  <c r="R6" i="36"/>
  <c r="U6" i="36"/>
  <c r="V6" i="36"/>
  <c r="Y6" i="36"/>
  <c r="Z6" i="36"/>
  <c r="AC6" i="36"/>
  <c r="AD6" i="36"/>
  <c r="AG6" i="36"/>
  <c r="AH6" i="36"/>
  <c r="AK6" i="36"/>
  <c r="AL6" i="36"/>
  <c r="AO6" i="36"/>
  <c r="AP6" i="36"/>
  <c r="AS6" i="36"/>
  <c r="AT6" i="36"/>
  <c r="Q7" i="36"/>
  <c r="R7" i="36"/>
  <c r="U7" i="36"/>
  <c r="V7" i="36"/>
  <c r="Y7" i="36"/>
  <c r="Z7" i="36"/>
  <c r="AC7" i="36"/>
  <c r="AD7" i="36"/>
  <c r="AG7" i="36"/>
  <c r="AH7" i="36"/>
  <c r="AK7" i="36"/>
  <c r="AL7" i="36"/>
  <c r="AO7" i="36"/>
  <c r="AP7" i="36"/>
  <c r="AS7" i="36"/>
  <c r="AT7" i="36"/>
  <c r="F9" i="36"/>
  <c r="G9" i="36"/>
  <c r="H9" i="36"/>
  <c r="I9" i="36"/>
  <c r="F12" i="36"/>
  <c r="G12" i="36"/>
  <c r="H12" i="36"/>
  <c r="I12" i="36"/>
  <c r="F17" i="36"/>
  <c r="G17" i="36"/>
  <c r="H17" i="36"/>
  <c r="I17" i="36"/>
  <c r="L69" i="36"/>
  <c r="B69" i="36"/>
  <c r="M172" i="36"/>
  <c r="M173" i="36"/>
  <c r="M174" i="36"/>
  <c r="M175" i="36"/>
  <c r="M176" i="36"/>
  <c r="M177" i="36"/>
  <c r="M179" i="36"/>
  <c r="M180" i="36"/>
  <c r="M181" i="36"/>
  <c r="M182" i="36"/>
  <c r="M183" i="36"/>
  <c r="M184" i="36"/>
  <c r="M186" i="36"/>
  <c r="N173" i="36"/>
  <c r="N174" i="36"/>
  <c r="N175" i="36"/>
  <c r="N176" i="36"/>
  <c r="N177" i="36"/>
  <c r="N179" i="36"/>
  <c r="N180" i="36"/>
  <c r="N181" i="36"/>
  <c r="N182" i="36"/>
  <c r="N183" i="36"/>
  <c r="N184" i="36"/>
  <c r="N186" i="36"/>
  <c r="L240" i="38"/>
  <c r="L241" i="38"/>
  <c r="B239" i="38"/>
  <c r="G25" i="38"/>
  <c r="H18" i="38"/>
  <c r="F25" i="38"/>
  <c r="L70" i="36"/>
  <c r="L71" i="36"/>
  <c r="B162" i="36"/>
  <c r="B155" i="36"/>
  <c r="I30" i="36"/>
  <c r="H30" i="36"/>
  <c r="G30" i="36"/>
  <c r="F30" i="36"/>
  <c r="I18" i="38"/>
  <c r="F18" i="38"/>
  <c r="G18" i="38"/>
  <c r="H25" i="38"/>
  <c r="I25" i="38"/>
  <c r="B71" i="36"/>
  <c r="L72" i="36"/>
  <c r="L73" i="36"/>
  <c r="L74" i="36"/>
  <c r="L75" i="36"/>
  <c r="L76" i="36"/>
  <c r="L77" i="36"/>
  <c r="L78" i="36"/>
  <c r="L72" i="34"/>
  <c r="L73" i="34"/>
  <c r="L79" i="36"/>
  <c r="L80" i="36"/>
  <c r="B78" i="36"/>
  <c r="B72" i="34"/>
  <c r="Q332" i="34"/>
  <c r="Q334" i="34"/>
  <c r="Q335" i="34"/>
  <c r="Q336" i="34"/>
  <c r="Q337" i="34"/>
  <c r="Q331" i="34"/>
  <c r="L144" i="36"/>
  <c r="L147" i="36"/>
  <c r="Q330" i="34"/>
  <c r="L165" i="36"/>
  <c r="W131" i="21"/>
  <c r="AT8" i="36"/>
  <c r="AS8" i="36"/>
  <c r="AP8" i="36"/>
  <c r="AO8" i="36"/>
  <c r="AL8" i="36"/>
  <c r="AK8" i="36"/>
  <c r="AH8" i="36"/>
  <c r="AG8" i="36"/>
  <c r="AD8" i="36"/>
  <c r="AC8" i="36"/>
  <c r="Z8" i="36"/>
  <c r="Y8" i="36"/>
  <c r="V8" i="36"/>
  <c r="U8" i="36"/>
  <c r="Q8" i="36"/>
  <c r="L192" i="36"/>
  <c r="B191" i="36"/>
  <c r="M191" i="36"/>
  <c r="N191" i="36"/>
  <c r="B200" i="36"/>
  <c r="M200" i="36"/>
  <c r="N200" i="36"/>
  <c r="L201" i="36"/>
  <c r="L202" i="36"/>
  <c r="M201" i="36"/>
  <c r="N201" i="36"/>
  <c r="M202" i="36"/>
  <c r="N202" i="36"/>
  <c r="M203" i="36"/>
  <c r="N203" i="36"/>
  <c r="M208" i="36"/>
  <c r="N208" i="36"/>
  <c r="M209" i="36"/>
  <c r="N209" i="36"/>
  <c r="B210" i="36"/>
  <c r="B211" i="36"/>
  <c r="M211" i="36"/>
  <c r="N211" i="36"/>
  <c r="M212" i="36"/>
  <c r="N212" i="36"/>
  <c r="M213" i="36"/>
  <c r="N213" i="36"/>
  <c r="M214" i="36"/>
  <c r="N214" i="36"/>
  <c r="M215" i="36"/>
  <c r="N215" i="36"/>
  <c r="M216" i="36"/>
  <c r="N216" i="36"/>
  <c r="M217" i="36"/>
  <c r="N217" i="36"/>
  <c r="M218" i="36"/>
  <c r="N218" i="36"/>
  <c r="M219" i="36"/>
  <c r="N219" i="36"/>
  <c r="M220" i="36"/>
  <c r="N220" i="36"/>
  <c r="M221" i="36"/>
  <c r="N221" i="36"/>
  <c r="M222" i="36"/>
  <c r="N222" i="36"/>
  <c r="M223" i="36"/>
  <c r="N223" i="36"/>
  <c r="M224" i="36"/>
  <c r="N224" i="36"/>
  <c r="M225" i="36"/>
  <c r="N225" i="36"/>
  <c r="M226" i="36"/>
  <c r="N226" i="36"/>
  <c r="M227" i="36"/>
  <c r="N227" i="36"/>
  <c r="M228" i="36"/>
  <c r="N228" i="36"/>
  <c r="M229" i="36"/>
  <c r="N229" i="36"/>
  <c r="M230" i="36"/>
  <c r="N230" i="36"/>
  <c r="M234" i="36"/>
  <c r="N234" i="36"/>
  <c r="B235" i="36"/>
  <c r="M236" i="36"/>
  <c r="N236" i="36"/>
  <c r="M237" i="36"/>
  <c r="N237" i="36"/>
  <c r="M238" i="36"/>
  <c r="N238" i="36"/>
  <c r="M239" i="36"/>
  <c r="N239" i="36"/>
  <c r="M240" i="36"/>
  <c r="N240" i="36"/>
  <c r="M244" i="36"/>
  <c r="N244" i="36"/>
  <c r="B247" i="36"/>
  <c r="M248" i="36"/>
  <c r="N248" i="36"/>
  <c r="M249" i="36"/>
  <c r="N249" i="36"/>
  <c r="M250" i="36"/>
  <c r="N250" i="36"/>
  <c r="M251" i="36"/>
  <c r="N251" i="36"/>
  <c r="M257" i="36"/>
  <c r="N257" i="36"/>
  <c r="B258" i="36"/>
  <c r="F262" i="36"/>
  <c r="G262" i="36"/>
  <c r="H262" i="36"/>
  <c r="F263" i="36"/>
  <c r="G263" i="36"/>
  <c r="H263" i="36"/>
  <c r="F265" i="36"/>
  <c r="G265" i="36"/>
  <c r="H265" i="36"/>
  <c r="F268" i="36"/>
  <c r="G268" i="36"/>
  <c r="H268" i="36"/>
  <c r="R275" i="36"/>
  <c r="S275" i="36"/>
  <c r="T275" i="36"/>
  <c r="T283" i="36"/>
  <c r="U275" i="36"/>
  <c r="U283" i="36"/>
  <c r="R276" i="36"/>
  <c r="S276" i="36"/>
  <c r="T276" i="36"/>
  <c r="U276" i="36"/>
  <c r="R277" i="36"/>
  <c r="S277" i="36"/>
  <c r="T277" i="36"/>
  <c r="U277" i="36"/>
  <c r="R278" i="36"/>
  <c r="S278" i="36"/>
  <c r="T278" i="36"/>
  <c r="U278" i="36"/>
  <c r="R279" i="36"/>
  <c r="S279" i="36"/>
  <c r="T279" i="36"/>
  <c r="U279" i="36"/>
  <c r="R280" i="36"/>
  <c r="S280" i="36"/>
  <c r="T280" i="36"/>
  <c r="U280" i="36"/>
  <c r="R281" i="36"/>
  <c r="S281" i="36"/>
  <c r="T281" i="36"/>
  <c r="U281" i="36"/>
  <c r="R282" i="36"/>
  <c r="S282" i="36"/>
  <c r="T282" i="36"/>
  <c r="U282" i="36"/>
  <c r="R283" i="36"/>
  <c r="S283" i="36"/>
  <c r="B156" i="36"/>
  <c r="B157" i="36"/>
  <c r="L158" i="36"/>
  <c r="L159" i="36"/>
  <c r="L160" i="36"/>
  <c r="F160" i="36"/>
  <c r="F13" i="36"/>
  <c r="F16" i="36"/>
  <c r="G160" i="36"/>
  <c r="H160" i="36"/>
  <c r="I160" i="36"/>
  <c r="B163" i="36"/>
  <c r="B164" i="36"/>
  <c r="M165" i="36"/>
  <c r="N165" i="36"/>
  <c r="B166" i="36"/>
  <c r="B167" i="36"/>
  <c r="M168" i="36"/>
  <c r="M169" i="36"/>
  <c r="M170" i="36"/>
  <c r="N170" i="36"/>
  <c r="M171" i="36"/>
  <c r="N171" i="36"/>
  <c r="N172" i="36"/>
  <c r="B179" i="36"/>
  <c r="B180" i="36"/>
  <c r="B143" i="36"/>
  <c r="M143" i="36"/>
  <c r="N143" i="36"/>
  <c r="M144" i="36"/>
  <c r="N144" i="36"/>
  <c r="M145" i="36"/>
  <c r="N145" i="36"/>
  <c r="M146" i="36"/>
  <c r="N146" i="36"/>
  <c r="M147" i="36"/>
  <c r="N147" i="36"/>
  <c r="M148" i="36"/>
  <c r="N148" i="36"/>
  <c r="B111" i="36"/>
  <c r="B112" i="36"/>
  <c r="M112" i="36"/>
  <c r="N112" i="36"/>
  <c r="L113" i="36"/>
  <c r="B113" i="36"/>
  <c r="M113" i="36"/>
  <c r="N113" i="36"/>
  <c r="M115" i="36"/>
  <c r="N115" i="36"/>
  <c r="B116" i="36"/>
  <c r="M117" i="36"/>
  <c r="N117" i="36"/>
  <c r="G119" i="36"/>
  <c r="H119" i="36"/>
  <c r="I119" i="36"/>
  <c r="M119" i="36"/>
  <c r="N119" i="36"/>
  <c r="M121" i="36"/>
  <c r="N121" i="36"/>
  <c r="M122" i="36"/>
  <c r="N122" i="36"/>
  <c r="F124" i="36"/>
  <c r="F8" i="36"/>
  <c r="G124" i="36"/>
  <c r="G8" i="36"/>
  <c r="M124" i="36"/>
  <c r="N124" i="36"/>
  <c r="B125" i="36"/>
  <c r="M127" i="36"/>
  <c r="N127" i="36"/>
  <c r="M128" i="36"/>
  <c r="N128" i="36"/>
  <c r="M129" i="36"/>
  <c r="N129" i="36"/>
  <c r="M131" i="36"/>
  <c r="N131" i="36"/>
  <c r="M132" i="36"/>
  <c r="N132" i="36"/>
  <c r="M133" i="36"/>
  <c r="N133" i="36"/>
  <c r="M134" i="36"/>
  <c r="N134" i="36"/>
  <c r="B135" i="36"/>
  <c r="M136" i="36"/>
  <c r="N136" i="36"/>
  <c r="H137" i="36"/>
  <c r="I137" i="36"/>
  <c r="G138" i="36"/>
  <c r="H138" i="36"/>
  <c r="I138" i="36"/>
  <c r="M138" i="36"/>
  <c r="N138" i="36"/>
  <c r="F82" i="36"/>
  <c r="F90" i="36"/>
  <c r="F111" i="36"/>
  <c r="H83" i="36"/>
  <c r="M83" i="36"/>
  <c r="N83" i="36"/>
  <c r="H84" i="36"/>
  <c r="M84" i="36"/>
  <c r="N84" i="36"/>
  <c r="M85" i="36"/>
  <c r="N85" i="36"/>
  <c r="M86" i="36"/>
  <c r="N86" i="36"/>
  <c r="M88" i="36"/>
  <c r="N88" i="36"/>
  <c r="M91" i="36"/>
  <c r="N91" i="36"/>
  <c r="M92" i="36"/>
  <c r="N92" i="36"/>
  <c r="M93" i="36"/>
  <c r="N93" i="36"/>
  <c r="M94" i="36"/>
  <c r="N94" i="36"/>
  <c r="M95" i="36"/>
  <c r="N95" i="36"/>
  <c r="G97" i="36"/>
  <c r="G98" i="36"/>
  <c r="H98" i="36"/>
  <c r="I98" i="36"/>
  <c r="G99" i="36"/>
  <c r="H99" i="36"/>
  <c r="I99" i="36"/>
  <c r="G100" i="36"/>
  <c r="H100" i="36"/>
  <c r="I100" i="36"/>
  <c r="G102" i="36"/>
  <c r="H102" i="36"/>
  <c r="H67" i="36"/>
  <c r="I67" i="36"/>
  <c r="B68" i="36"/>
  <c r="M68" i="36"/>
  <c r="N68" i="36"/>
  <c r="B70" i="36"/>
  <c r="M70" i="36"/>
  <c r="N70" i="36"/>
  <c r="M72" i="36"/>
  <c r="N72" i="36"/>
  <c r="N77" i="36"/>
  <c r="L29" i="36"/>
  <c r="B29" i="36"/>
  <c r="N31" i="36"/>
  <c r="N34" i="36"/>
  <c r="O34" i="36"/>
  <c r="P34" i="36"/>
  <c r="F63" i="36"/>
  <c r="G63" i="36"/>
  <c r="H63" i="36"/>
  <c r="I63" i="36"/>
  <c r="A5" i="36"/>
  <c r="H49" i="34"/>
  <c r="I49" i="34"/>
  <c r="I198" i="34"/>
  <c r="H198" i="34"/>
  <c r="G198" i="34"/>
  <c r="F198" i="34"/>
  <c r="AB5" i="36"/>
  <c r="AJ5" i="36"/>
  <c r="AV5" i="36"/>
  <c r="T5" i="36"/>
  <c r="AF5" i="36"/>
  <c r="AR5" i="36"/>
  <c r="S5" i="36"/>
  <c r="W5" i="36"/>
  <c r="AA5" i="36"/>
  <c r="AE5" i="36"/>
  <c r="AI5" i="36"/>
  <c r="AM5" i="36"/>
  <c r="AQ5" i="36"/>
  <c r="AU5" i="36"/>
  <c r="X5" i="36"/>
  <c r="AN5" i="36"/>
  <c r="T4" i="36"/>
  <c r="AJ4" i="36"/>
  <c r="AV4" i="36"/>
  <c r="X7" i="36"/>
  <c r="AJ7" i="36"/>
  <c r="AV7" i="36"/>
  <c r="X4" i="36"/>
  <c r="AN4" i="36"/>
  <c r="AB7" i="36"/>
  <c r="AN7" i="36"/>
  <c r="S4" i="36"/>
  <c r="W4" i="36"/>
  <c r="AA4" i="36"/>
  <c r="AE4" i="36"/>
  <c r="AI4" i="36"/>
  <c r="AM4" i="36"/>
  <c r="AQ4" i="36"/>
  <c r="AU4" i="36"/>
  <c r="S7" i="36"/>
  <c r="W7" i="36"/>
  <c r="AA7" i="36"/>
  <c r="AE7" i="36"/>
  <c r="AI7" i="36"/>
  <c r="AM7" i="36"/>
  <c r="AQ7" i="36"/>
  <c r="AU7" i="36"/>
  <c r="AB4" i="36"/>
  <c r="AF4" i="36"/>
  <c r="AR4" i="36"/>
  <c r="T7" i="36"/>
  <c r="AF7" i="36"/>
  <c r="AR7" i="36"/>
  <c r="F62" i="36"/>
  <c r="F108" i="36"/>
  <c r="F139" i="36"/>
  <c r="F151" i="36"/>
  <c r="F188" i="36"/>
  <c r="F197" i="36"/>
  <c r="F204" i="36"/>
  <c r="F259" i="36"/>
  <c r="G62" i="36"/>
  <c r="G108" i="36"/>
  <c r="G139" i="36"/>
  <c r="G151" i="36"/>
  <c r="G188" i="36"/>
  <c r="G197" i="36"/>
  <c r="G204" i="36"/>
  <c r="G259" i="36"/>
  <c r="H151" i="36"/>
  <c r="H204" i="36"/>
  <c r="H62" i="36"/>
  <c r="H5" i="36"/>
  <c r="H6" i="36"/>
  <c r="H188" i="36"/>
  <c r="H197" i="36"/>
  <c r="H259" i="36"/>
  <c r="I62" i="36"/>
  <c r="I151" i="36"/>
  <c r="I188" i="36"/>
  <c r="I197" i="36"/>
  <c r="I204" i="36"/>
  <c r="I259" i="36"/>
  <c r="F23" i="36"/>
  <c r="F24" i="36"/>
  <c r="AF6" i="36"/>
  <c r="AR6" i="36"/>
  <c r="G23" i="36"/>
  <c r="G24" i="36"/>
  <c r="X6" i="36"/>
  <c r="AJ6" i="36"/>
  <c r="AV6" i="36"/>
  <c r="S6" i="36"/>
  <c r="W6" i="36"/>
  <c r="AA6" i="36"/>
  <c r="AE6" i="36"/>
  <c r="AI6" i="36"/>
  <c r="AM6" i="36"/>
  <c r="AQ6" i="36"/>
  <c r="AU6" i="36"/>
  <c r="H23" i="36"/>
  <c r="H24" i="36"/>
  <c r="T6" i="36"/>
  <c r="AB6" i="36"/>
  <c r="AN6" i="36"/>
  <c r="I23" i="36"/>
  <c r="I24" i="36"/>
  <c r="G13" i="36"/>
  <c r="G16" i="36"/>
  <c r="F20" i="36"/>
  <c r="H97" i="36"/>
  <c r="H13" i="36"/>
  <c r="H16" i="36"/>
  <c r="G90" i="36"/>
  <c r="H90" i="36"/>
  <c r="I90" i="36"/>
  <c r="F264" i="36"/>
  <c r="F266" i="36"/>
  <c r="H264" i="36"/>
  <c r="H266" i="36"/>
  <c r="L114" i="36"/>
  <c r="L115" i="36"/>
  <c r="G264" i="36"/>
  <c r="G266" i="36"/>
  <c r="B158" i="36"/>
  <c r="B160" i="36"/>
  <c r="L161" i="36"/>
  <c r="R15" i="36"/>
  <c r="L30" i="36"/>
  <c r="B30" i="36"/>
  <c r="G82" i="36"/>
  <c r="H82" i="36"/>
  <c r="I82" i="36"/>
  <c r="R16" i="36"/>
  <c r="R14" i="36"/>
  <c r="Q14" i="36"/>
  <c r="B159" i="36"/>
  <c r="L212" i="36"/>
  <c r="B212" i="36"/>
  <c r="Q13" i="36"/>
  <c r="R8" i="36"/>
  <c r="R17" i="36"/>
  <c r="R13" i="36"/>
  <c r="Q17" i="36"/>
  <c r="G111" i="36"/>
  <c r="H111" i="36"/>
  <c r="I111" i="36"/>
  <c r="F116" i="36"/>
  <c r="H124" i="36"/>
  <c r="H139" i="36"/>
  <c r="Q16" i="36"/>
  <c r="Q15" i="36"/>
  <c r="I102" i="36"/>
  <c r="B201" i="36"/>
  <c r="H8" i="36"/>
  <c r="H108" i="36"/>
  <c r="I97" i="36"/>
  <c r="B161" i="36"/>
  <c r="B114" i="36"/>
  <c r="H64" i="36"/>
  <c r="T16" i="36"/>
  <c r="L213" i="36"/>
  <c r="B213" i="36"/>
  <c r="S13" i="36"/>
  <c r="T13" i="36"/>
  <c r="S16" i="36"/>
  <c r="AM8" i="36"/>
  <c r="W8" i="36"/>
  <c r="AJ8" i="36"/>
  <c r="L31" i="36"/>
  <c r="B31" i="36"/>
  <c r="AI8" i="36"/>
  <c r="AV8" i="36"/>
  <c r="AF8" i="36"/>
  <c r="AN8" i="36"/>
  <c r="X8" i="36"/>
  <c r="AQ8" i="36"/>
  <c r="AA8" i="36"/>
  <c r="B72" i="36"/>
  <c r="I124" i="36"/>
  <c r="T14" i="36"/>
  <c r="T8" i="36"/>
  <c r="S14" i="36"/>
  <c r="S8" i="36"/>
  <c r="G5" i="36"/>
  <c r="G6" i="36"/>
  <c r="G64" i="36"/>
  <c r="F64" i="36"/>
  <c r="F5" i="36"/>
  <c r="F6" i="36"/>
  <c r="G116" i="36"/>
  <c r="H116" i="36"/>
  <c r="I116" i="36"/>
  <c r="F120" i="36"/>
  <c r="AU8" i="36"/>
  <c r="AE8" i="36"/>
  <c r="T15" i="36"/>
  <c r="G20" i="36"/>
  <c r="I64" i="36"/>
  <c r="I5" i="36"/>
  <c r="I6" i="36"/>
  <c r="AR8" i="36"/>
  <c r="AB8" i="36"/>
  <c r="S15" i="36"/>
  <c r="I8" i="36"/>
  <c r="I139" i="36"/>
  <c r="I13" i="36"/>
  <c r="I16" i="36"/>
  <c r="I108" i="36"/>
  <c r="L214" i="36"/>
  <c r="B214" i="36"/>
  <c r="B75" i="36"/>
  <c r="B74" i="36"/>
  <c r="L32" i="36"/>
  <c r="B32" i="36"/>
  <c r="H20" i="36"/>
  <c r="B192" i="36"/>
  <c r="L193" i="36"/>
  <c r="L194" i="36"/>
  <c r="L195" i="36"/>
  <c r="L117" i="36"/>
  <c r="B115" i="36"/>
  <c r="G14" i="36"/>
  <c r="G10" i="36"/>
  <c r="S17" i="36"/>
  <c r="H10" i="36"/>
  <c r="G120" i="36"/>
  <c r="H120" i="36"/>
  <c r="I120" i="36"/>
  <c r="F125" i="36"/>
  <c r="B165" i="36"/>
  <c r="L168" i="36"/>
  <c r="H14" i="36"/>
  <c r="F14" i="36"/>
  <c r="F10" i="36"/>
  <c r="T17" i="36"/>
  <c r="B73" i="36"/>
  <c r="L215" i="36"/>
  <c r="L33" i="36"/>
  <c r="B33" i="36"/>
  <c r="I20" i="36"/>
  <c r="I14" i="36"/>
  <c r="B193" i="36"/>
  <c r="L169" i="36"/>
  <c r="B168" i="36"/>
  <c r="B215" i="36"/>
  <c r="L216" i="36"/>
  <c r="G125" i="36"/>
  <c r="H125" i="36"/>
  <c r="I125" i="36"/>
  <c r="F130" i="36"/>
  <c r="I10" i="36"/>
  <c r="L118" i="36"/>
  <c r="B117" i="36"/>
  <c r="B76" i="36"/>
  <c r="L34" i="36"/>
  <c r="L35" i="36"/>
  <c r="B79" i="36"/>
  <c r="L119" i="36"/>
  <c r="B118" i="36"/>
  <c r="G130" i="36"/>
  <c r="H130" i="36"/>
  <c r="I130" i="36"/>
  <c r="F135" i="36"/>
  <c r="B169" i="36"/>
  <c r="L170" i="36"/>
  <c r="B202" i="36"/>
  <c r="L203" i="36"/>
  <c r="B203" i="36"/>
  <c r="B216" i="36"/>
  <c r="L217" i="36"/>
  <c r="B34" i="36"/>
  <c r="B217" i="36"/>
  <c r="L218" i="36"/>
  <c r="L171" i="36"/>
  <c r="B170" i="36"/>
  <c r="B119" i="36"/>
  <c r="L121" i="36"/>
  <c r="L123" i="36"/>
  <c r="F142" i="36"/>
  <c r="G135" i="36"/>
  <c r="H135" i="36"/>
  <c r="I135" i="36"/>
  <c r="B77" i="36"/>
  <c r="L36" i="36"/>
  <c r="B35" i="36"/>
  <c r="G142" i="36"/>
  <c r="H142" i="36"/>
  <c r="I142" i="36"/>
  <c r="F153" i="36"/>
  <c r="B171" i="36"/>
  <c r="L172" i="36"/>
  <c r="L173" i="36"/>
  <c r="B121" i="36"/>
  <c r="B194" i="36"/>
  <c r="B218" i="36"/>
  <c r="B36" i="36"/>
  <c r="L37" i="36"/>
  <c r="L38" i="36"/>
  <c r="B37" i="36"/>
  <c r="B172" i="36"/>
  <c r="B219" i="36"/>
  <c r="B122" i="36"/>
  <c r="L83" i="36"/>
  <c r="B83" i="36"/>
  <c r="G153" i="36"/>
  <c r="H153" i="36"/>
  <c r="I153" i="36"/>
  <c r="F157" i="36"/>
  <c r="B144" i="36"/>
  <c r="G157" i="36"/>
  <c r="H157" i="36"/>
  <c r="I157" i="36"/>
  <c r="F164" i="36"/>
  <c r="B80" i="36"/>
  <c r="B220" i="36"/>
  <c r="L221" i="36"/>
  <c r="B38" i="36"/>
  <c r="L39" i="36"/>
  <c r="B221" i="36"/>
  <c r="L222" i="36"/>
  <c r="L124" i="36"/>
  <c r="B123" i="36"/>
  <c r="B173" i="36"/>
  <c r="L174" i="36"/>
  <c r="G164" i="36"/>
  <c r="H164" i="36"/>
  <c r="I164" i="36"/>
  <c r="F167" i="36"/>
  <c r="F190" i="36"/>
  <c r="B39" i="36"/>
  <c r="L40" i="36"/>
  <c r="B146" i="36"/>
  <c r="B40" i="36"/>
  <c r="L41" i="36"/>
  <c r="B222" i="36"/>
  <c r="L223" i="36"/>
  <c r="G167" i="36"/>
  <c r="H167" i="36"/>
  <c r="I167" i="36"/>
  <c r="B174" i="36"/>
  <c r="L175" i="36"/>
  <c r="B124" i="36"/>
  <c r="L126" i="36"/>
  <c r="L148" i="36"/>
  <c r="B147" i="36"/>
  <c r="L127" i="36"/>
  <c r="B126" i="36"/>
  <c r="B175" i="36"/>
  <c r="L176" i="36"/>
  <c r="B223" i="36"/>
  <c r="L224" i="36"/>
  <c r="B41" i="36"/>
  <c r="L42" i="36"/>
  <c r="L177" i="36"/>
  <c r="L149" i="36"/>
  <c r="B148" i="36"/>
  <c r="B176" i="36"/>
  <c r="B42" i="36"/>
  <c r="L43" i="36"/>
  <c r="B224" i="36"/>
  <c r="L225" i="36"/>
  <c r="L128" i="36"/>
  <c r="L129" i="36"/>
  <c r="L131" i="36"/>
  <c r="B127" i="36"/>
  <c r="L178" i="36"/>
  <c r="L181" i="36"/>
  <c r="L184" i="36"/>
  <c r="B177" i="36"/>
  <c r="L150" i="36"/>
  <c r="B149" i="36"/>
  <c r="L44" i="36"/>
  <c r="B43" i="36"/>
  <c r="B128" i="36"/>
  <c r="B195" i="36"/>
  <c r="B225" i="36"/>
  <c r="B184" i="36"/>
  <c r="L186" i="36"/>
  <c r="B178" i="36"/>
  <c r="B226" i="36"/>
  <c r="G190" i="36"/>
  <c r="H190" i="36"/>
  <c r="I190" i="36"/>
  <c r="F199" i="36"/>
  <c r="B44" i="36"/>
  <c r="L45" i="36"/>
  <c r="B186" i="36"/>
  <c r="L187" i="36"/>
  <c r="B187" i="36"/>
  <c r="L46" i="36"/>
  <c r="B45" i="36"/>
  <c r="F207" i="36"/>
  <c r="G199" i="36"/>
  <c r="H199" i="36"/>
  <c r="I199" i="36"/>
  <c r="B227" i="36"/>
  <c r="L228" i="36"/>
  <c r="B46" i="36"/>
  <c r="L47" i="36"/>
  <c r="B228" i="36"/>
  <c r="L229" i="36"/>
  <c r="F210" i="36"/>
  <c r="G207" i="36"/>
  <c r="H207" i="36"/>
  <c r="I207" i="36"/>
  <c r="B129" i="36"/>
  <c r="B47" i="36"/>
  <c r="L48" i="36"/>
  <c r="B229" i="36"/>
  <c r="L230" i="36"/>
  <c r="G210" i="36"/>
  <c r="H210" i="36"/>
  <c r="I210" i="36"/>
  <c r="F235" i="36"/>
  <c r="G235" i="36"/>
  <c r="H235" i="36"/>
  <c r="I235" i="36"/>
  <c r="L132" i="36"/>
  <c r="B131" i="36"/>
  <c r="B230" i="36"/>
  <c r="L231" i="36"/>
  <c r="B48" i="36"/>
  <c r="L49" i="36"/>
  <c r="L133" i="36"/>
  <c r="B132" i="36"/>
  <c r="B49" i="36"/>
  <c r="L50" i="36"/>
  <c r="B231" i="36"/>
  <c r="L232" i="36"/>
  <c r="B50" i="36"/>
  <c r="L51" i="36"/>
  <c r="B232" i="36"/>
  <c r="L233" i="36"/>
  <c r="B181" i="36"/>
  <c r="L134" i="36"/>
  <c r="L136" i="36"/>
  <c r="B133" i="36"/>
  <c r="L84" i="36"/>
  <c r="B233" i="36"/>
  <c r="L234" i="36"/>
  <c r="B51" i="36"/>
  <c r="L52" i="36"/>
  <c r="B182" i="36"/>
  <c r="B134" i="36"/>
  <c r="L236" i="36"/>
  <c r="B234" i="36"/>
  <c r="L53" i="36"/>
  <c r="B52" i="36"/>
  <c r="L85" i="36"/>
  <c r="B84" i="36"/>
  <c r="B53" i="36"/>
  <c r="L54" i="36"/>
  <c r="B136" i="36"/>
  <c r="L137" i="36"/>
  <c r="B85" i="36"/>
  <c r="L86" i="36"/>
  <c r="L237" i="36"/>
  <c r="B236" i="36"/>
  <c r="B86" i="36"/>
  <c r="L87" i="36"/>
  <c r="L88" i="36"/>
  <c r="B137" i="36"/>
  <c r="L138" i="36"/>
  <c r="L55" i="36"/>
  <c r="B54" i="36"/>
  <c r="L238" i="36"/>
  <c r="B237" i="36"/>
  <c r="L91" i="36"/>
  <c r="B88" i="36"/>
  <c r="B138" i="36"/>
  <c r="L239" i="36"/>
  <c r="B238" i="36"/>
  <c r="B87" i="36"/>
  <c r="B55" i="36"/>
  <c r="L56" i="36"/>
  <c r="L240" i="36"/>
  <c r="B239" i="36"/>
  <c r="B56" i="36"/>
  <c r="L57" i="36"/>
  <c r="B57" i="36"/>
  <c r="L58" i="36"/>
  <c r="L241" i="36"/>
  <c r="B240" i="36"/>
  <c r="B58" i="36"/>
  <c r="L59" i="36"/>
  <c r="L242" i="36"/>
  <c r="B241" i="36"/>
  <c r="L243" i="36"/>
  <c r="B242" i="36"/>
  <c r="B59" i="36"/>
  <c r="L60" i="36"/>
  <c r="L61" i="36"/>
  <c r="B60" i="36"/>
  <c r="B243" i="36"/>
  <c r="L244" i="36"/>
  <c r="B244" i="36"/>
  <c r="L245" i="36"/>
  <c r="B91" i="36"/>
  <c r="L92" i="36"/>
  <c r="B92" i="36"/>
  <c r="L93" i="36"/>
  <c r="L246" i="36"/>
  <c r="B245" i="36"/>
  <c r="B93" i="36"/>
  <c r="L94" i="36"/>
  <c r="B246" i="36"/>
  <c r="L248" i="36"/>
  <c r="L249" i="36"/>
  <c r="B248" i="36"/>
  <c r="B94" i="36"/>
  <c r="L95" i="36"/>
  <c r="B95" i="36"/>
  <c r="L96" i="36"/>
  <c r="L97" i="36"/>
  <c r="L250" i="36"/>
  <c r="B249" i="36"/>
  <c r="L251" i="36"/>
  <c r="B250" i="36"/>
  <c r="B96" i="36"/>
  <c r="L252" i="36"/>
  <c r="B251" i="36"/>
  <c r="L253" i="36"/>
  <c r="B252" i="36"/>
  <c r="B97" i="36"/>
  <c r="L98" i="36"/>
  <c r="L254" i="36"/>
  <c r="B253" i="36"/>
  <c r="L255" i="36"/>
  <c r="L256" i="36"/>
  <c r="B254" i="36"/>
  <c r="L99" i="36"/>
  <c r="L100" i="36"/>
  <c r="L101" i="36"/>
  <c r="B98" i="36"/>
  <c r="L257" i="36"/>
  <c r="L102" i="36"/>
  <c r="B101" i="36"/>
  <c r="B99" i="36"/>
  <c r="B255" i="36"/>
  <c r="B100" i="36"/>
  <c r="L103" i="36"/>
  <c r="B103" i="36"/>
  <c r="B102" i="36"/>
  <c r="F18" i="36"/>
  <c r="H18" i="36"/>
  <c r="G18" i="36"/>
  <c r="I18" i="36"/>
  <c r="H25" i="36"/>
  <c r="F25" i="36"/>
  <c r="I25" i="36"/>
  <c r="G25" i="36"/>
  <c r="W250" i="35"/>
  <c r="V250" i="35"/>
  <c r="S250" i="35"/>
  <c r="P250" i="35"/>
  <c r="M250" i="35"/>
  <c r="L250" i="35"/>
  <c r="J250" i="35"/>
  <c r="H250" i="35"/>
  <c r="P249" i="35"/>
  <c r="O249" i="35"/>
  <c r="N249" i="35"/>
  <c r="M249" i="35"/>
  <c r="Z23" i="35"/>
  <c r="L249" i="35"/>
  <c r="P248" i="35"/>
  <c r="O248" i="35"/>
  <c r="N248" i="35"/>
  <c r="M248" i="35"/>
  <c r="L248" i="35"/>
  <c r="K248" i="35"/>
  <c r="B248" i="35"/>
  <c r="W247" i="35"/>
  <c r="V247" i="35"/>
  <c r="S247" i="35"/>
  <c r="W245" i="35"/>
  <c r="V245" i="35"/>
  <c r="S245" i="35"/>
  <c r="W244" i="35"/>
  <c r="V244" i="35"/>
  <c r="S244" i="35"/>
  <c r="K244" i="35"/>
  <c r="K250" i="35"/>
  <c r="W243" i="35"/>
  <c r="V243" i="35"/>
  <c r="S243" i="35"/>
  <c r="I243" i="35"/>
  <c r="W242" i="35"/>
  <c r="V242" i="35"/>
  <c r="S242" i="35"/>
  <c r="W241" i="35"/>
  <c r="V241" i="35"/>
  <c r="S241" i="35"/>
  <c r="W240" i="35"/>
  <c r="V240" i="35"/>
  <c r="S240" i="35"/>
  <c r="B240" i="35"/>
  <c r="W239" i="35"/>
  <c r="V239" i="35"/>
  <c r="S239" i="35"/>
  <c r="B239" i="35"/>
  <c r="P238" i="35"/>
  <c r="M238" i="35"/>
  <c r="L238" i="35"/>
  <c r="K238" i="35"/>
  <c r="P237" i="35"/>
  <c r="O237" i="35"/>
  <c r="N237" i="35"/>
  <c r="L237" i="35"/>
  <c r="K237" i="35"/>
  <c r="B237" i="35"/>
  <c r="W236" i="35"/>
  <c r="V236" i="35"/>
  <c r="S236" i="35"/>
  <c r="S235" i="35"/>
  <c r="P235" i="35"/>
  <c r="O235" i="35"/>
  <c r="O250" i="35"/>
  <c r="N235" i="35"/>
  <c r="N250" i="35"/>
  <c r="I235" i="35"/>
  <c r="I250" i="35"/>
  <c r="W234" i="35"/>
  <c r="V234" i="35"/>
  <c r="S234" i="35"/>
  <c r="I234" i="35"/>
  <c r="S233" i="35"/>
  <c r="M233" i="35"/>
  <c r="U232" i="35"/>
  <c r="B232" i="35"/>
  <c r="S232" i="35"/>
  <c r="M232" i="35"/>
  <c r="M237" i="35"/>
  <c r="W231" i="35"/>
  <c r="V231" i="35"/>
  <c r="U231" i="35"/>
  <c r="S231" i="35"/>
  <c r="B231" i="35"/>
  <c r="W230" i="35"/>
  <c r="V230" i="35"/>
  <c r="U230" i="35"/>
  <c r="S230" i="35"/>
  <c r="B230" i="35"/>
  <c r="W229" i="35"/>
  <c r="V229" i="35"/>
  <c r="S229" i="35"/>
  <c r="B229" i="35"/>
  <c r="W228" i="35"/>
  <c r="V228" i="35"/>
  <c r="S228" i="35"/>
  <c r="B228" i="35"/>
  <c r="W227" i="35"/>
  <c r="V227" i="35"/>
  <c r="S227" i="35"/>
  <c r="W226" i="35"/>
  <c r="V226" i="35"/>
  <c r="S226" i="35"/>
  <c r="W225" i="35"/>
  <c r="V225" i="35"/>
  <c r="S225" i="35"/>
  <c r="O225" i="35"/>
  <c r="N225" i="35"/>
  <c r="M225" i="35"/>
  <c r="L225" i="35"/>
  <c r="K225" i="35"/>
  <c r="J225" i="35"/>
  <c r="I225" i="35"/>
  <c r="W224" i="35"/>
  <c r="V224" i="35"/>
  <c r="S224" i="35"/>
  <c r="W223" i="35"/>
  <c r="V223" i="35"/>
  <c r="S223" i="35"/>
  <c r="O223" i="35"/>
  <c r="N223" i="35"/>
  <c r="M223" i="35"/>
  <c r="L223" i="35"/>
  <c r="K223" i="35"/>
  <c r="J223" i="35"/>
  <c r="I223" i="35"/>
  <c r="H223" i="35"/>
  <c r="W220" i="35"/>
  <c r="V220" i="35"/>
  <c r="S220" i="35"/>
  <c r="W219" i="35"/>
  <c r="V219" i="35"/>
  <c r="S219" i="35"/>
  <c r="O219" i="35"/>
  <c r="N219" i="35"/>
  <c r="M219" i="35"/>
  <c r="L219" i="35"/>
  <c r="J219" i="35"/>
  <c r="I219" i="35"/>
  <c r="W218" i="35"/>
  <c r="V218" i="35"/>
  <c r="S218" i="35"/>
  <c r="P217" i="35"/>
  <c r="O217" i="35"/>
  <c r="N217" i="35"/>
  <c r="M217" i="35"/>
  <c r="L217" i="35"/>
  <c r="K217" i="35"/>
  <c r="P216" i="35"/>
  <c r="O216" i="35"/>
  <c r="N216" i="35"/>
  <c r="M216" i="35"/>
  <c r="L216" i="35"/>
  <c r="B216" i="35"/>
  <c r="W215" i="35"/>
  <c r="V215" i="35"/>
  <c r="S215" i="35"/>
  <c r="W214" i="35"/>
  <c r="V214" i="35"/>
  <c r="S214" i="35"/>
  <c r="W213" i="35"/>
  <c r="V213" i="35"/>
  <c r="S213" i="35"/>
  <c r="W212" i="35"/>
  <c r="V212" i="35"/>
  <c r="S212" i="35"/>
  <c r="K212" i="35"/>
  <c r="W211" i="35"/>
  <c r="V211" i="35"/>
  <c r="S211" i="35"/>
  <c r="K211" i="35"/>
  <c r="K219" i="35"/>
  <c r="W210" i="35"/>
  <c r="V210" i="35"/>
  <c r="S210" i="35"/>
  <c r="W209" i="35"/>
  <c r="V209" i="35"/>
  <c r="S209" i="35"/>
  <c r="W208" i="35"/>
  <c r="V208" i="35"/>
  <c r="U208" i="35"/>
  <c r="B208" i="35"/>
  <c r="S208" i="35"/>
  <c r="W207" i="35"/>
  <c r="V207" i="35"/>
  <c r="S207" i="35"/>
  <c r="B207" i="35"/>
  <c r="W206" i="35"/>
  <c r="V206" i="35"/>
  <c r="S206" i="35"/>
  <c r="W205" i="35"/>
  <c r="V205" i="35"/>
  <c r="S205" i="35"/>
  <c r="P205" i="35"/>
  <c r="O205" i="35"/>
  <c r="N205" i="35"/>
  <c r="M205" i="35"/>
  <c r="L205" i="35"/>
  <c r="K205" i="35"/>
  <c r="J205" i="35"/>
  <c r="I205" i="35"/>
  <c r="H205" i="35"/>
  <c r="P204" i="35"/>
  <c r="O204" i="35"/>
  <c r="N204" i="35"/>
  <c r="M204" i="35"/>
  <c r="L204" i="35"/>
  <c r="K204" i="35"/>
  <c r="P203" i="35"/>
  <c r="O203" i="35"/>
  <c r="N203" i="35"/>
  <c r="M203" i="35"/>
  <c r="L203" i="35"/>
  <c r="K203" i="35"/>
  <c r="B203" i="35"/>
  <c r="S202" i="35"/>
  <c r="S201" i="35"/>
  <c r="S200" i="35"/>
  <c r="S199" i="35"/>
  <c r="S198" i="35"/>
  <c r="S197" i="35"/>
  <c r="W196" i="35"/>
  <c r="V196" i="35"/>
  <c r="S196" i="35"/>
  <c r="W195" i="35"/>
  <c r="V195" i="35"/>
  <c r="U195" i="35"/>
  <c r="B195" i="35"/>
  <c r="S195" i="35"/>
  <c r="W194" i="35"/>
  <c r="V194" i="35"/>
  <c r="S194" i="35"/>
  <c r="B194" i="35"/>
  <c r="W193" i="35"/>
  <c r="V193" i="35"/>
  <c r="S193" i="35"/>
  <c r="W192" i="35"/>
  <c r="V192" i="35"/>
  <c r="S192" i="35"/>
  <c r="W191" i="35"/>
  <c r="V191" i="35"/>
  <c r="S191" i="35"/>
  <c r="W190" i="35"/>
  <c r="V190" i="35"/>
  <c r="S190" i="35"/>
  <c r="W189" i="35"/>
  <c r="V189" i="35"/>
  <c r="S189" i="35"/>
  <c r="W188" i="35"/>
  <c r="V188" i="35"/>
  <c r="S188" i="35"/>
  <c r="O188" i="35"/>
  <c r="N188" i="35"/>
  <c r="M188" i="35"/>
  <c r="L188" i="35"/>
  <c r="J188" i="35"/>
  <c r="I188" i="35"/>
  <c r="H188" i="35"/>
  <c r="P187" i="35"/>
  <c r="O187" i="35"/>
  <c r="N187" i="35"/>
  <c r="AA19" i="35"/>
  <c r="M187" i="35"/>
  <c r="L187" i="35"/>
  <c r="K187" i="35"/>
  <c r="P186" i="35"/>
  <c r="O186" i="35"/>
  <c r="N186" i="35"/>
  <c r="M186" i="35"/>
  <c r="L186" i="35"/>
  <c r="K186" i="35"/>
  <c r="X19" i="35" s="1"/>
  <c r="B186" i="35"/>
  <c r="W185" i="35"/>
  <c r="V185" i="35"/>
  <c r="S185" i="35"/>
  <c r="W184" i="35"/>
  <c r="V184" i="35"/>
  <c r="S184" i="35"/>
  <c r="W183" i="35"/>
  <c r="V183" i="35"/>
  <c r="S183" i="35"/>
  <c r="W182" i="35"/>
  <c r="V182" i="35"/>
  <c r="S182" i="35"/>
  <c r="W181" i="35"/>
  <c r="V181" i="35"/>
  <c r="S181" i="35"/>
  <c r="W180" i="35"/>
  <c r="V180" i="35"/>
  <c r="S180" i="35"/>
  <c r="W179" i="35"/>
  <c r="V179" i="35"/>
  <c r="S179" i="35"/>
  <c r="W178" i="35"/>
  <c r="V178" i="35"/>
  <c r="S178" i="35"/>
  <c r="W177" i="35"/>
  <c r="V177" i="35"/>
  <c r="S177" i="35"/>
  <c r="W176" i="35"/>
  <c r="V176" i="35"/>
  <c r="S176" i="35"/>
  <c r="W174" i="35"/>
  <c r="V174" i="35"/>
  <c r="S174" i="35"/>
  <c r="W173" i="35"/>
  <c r="V173" i="35"/>
  <c r="S173" i="35"/>
  <c r="W172" i="35"/>
  <c r="V172" i="35"/>
  <c r="S172" i="35"/>
  <c r="W171" i="35"/>
  <c r="V171" i="35"/>
  <c r="S171" i="35"/>
  <c r="W170" i="35"/>
  <c r="V170" i="35"/>
  <c r="S170" i="35"/>
  <c r="W169" i="35"/>
  <c r="V169" i="35"/>
  <c r="S169" i="35"/>
  <c r="W167" i="35"/>
  <c r="V167" i="35"/>
  <c r="S167" i="35"/>
  <c r="W166" i="35"/>
  <c r="V166" i="35"/>
  <c r="S166" i="35"/>
  <c r="W163" i="35"/>
  <c r="V163" i="35"/>
  <c r="S163" i="35"/>
  <c r="W162" i="35"/>
  <c r="V162" i="35"/>
  <c r="S162" i="35"/>
  <c r="W161" i="35"/>
  <c r="V161" i="35"/>
  <c r="S161" i="35"/>
  <c r="P160" i="35"/>
  <c r="O160" i="35"/>
  <c r="N160" i="35"/>
  <c r="M160" i="35"/>
  <c r="L160" i="35"/>
  <c r="K160" i="35"/>
  <c r="P159" i="35"/>
  <c r="O159" i="35"/>
  <c r="N159" i="35"/>
  <c r="AA18" i="35" s="1"/>
  <c r="M159" i="35"/>
  <c r="Z18" i="35" s="1"/>
  <c r="L159" i="35"/>
  <c r="Y18" i="35" s="1"/>
  <c r="K159" i="35"/>
  <c r="B159" i="35"/>
  <c r="W157" i="35"/>
  <c r="V157" i="35"/>
  <c r="S157" i="35"/>
  <c r="W156" i="35"/>
  <c r="V156" i="35"/>
  <c r="S156" i="35"/>
  <c r="W152" i="35"/>
  <c r="V152" i="35"/>
  <c r="S152" i="35"/>
  <c r="W151" i="35"/>
  <c r="V151" i="35"/>
  <c r="S151" i="35"/>
  <c r="W150" i="35"/>
  <c r="V150" i="35"/>
  <c r="S150" i="35"/>
  <c r="W149" i="35"/>
  <c r="V149" i="35"/>
  <c r="S149" i="35"/>
  <c r="AA148" i="35"/>
  <c r="Z148" i="35"/>
  <c r="Z150" i="35"/>
  <c r="W148" i="35"/>
  <c r="V148" i="35"/>
  <c r="S148" i="35"/>
  <c r="P147" i="35"/>
  <c r="O147" i="35"/>
  <c r="N147" i="35"/>
  <c r="M147" i="35"/>
  <c r="L147" i="35"/>
  <c r="K147" i="35"/>
  <c r="P146" i="35"/>
  <c r="O146" i="35"/>
  <c r="N146" i="35"/>
  <c r="AA17" i="35" s="1"/>
  <c r="M146" i="35"/>
  <c r="Z17" i="35" s="1"/>
  <c r="L146" i="35"/>
  <c r="Y17" i="35" s="1"/>
  <c r="B146" i="35"/>
  <c r="W145" i="35"/>
  <c r="V145" i="35"/>
  <c r="S145" i="35"/>
  <c r="AA144" i="35"/>
  <c r="AA150" i="35"/>
  <c r="Z144" i="35"/>
  <c r="W144" i="35"/>
  <c r="V144" i="35"/>
  <c r="S144" i="35"/>
  <c r="W142" i="35"/>
  <c r="V142" i="35"/>
  <c r="S142" i="35"/>
  <c r="W141" i="35"/>
  <c r="V141" i="35"/>
  <c r="S141" i="35"/>
  <c r="W140" i="35"/>
  <c r="V140" i="35"/>
  <c r="W139" i="35"/>
  <c r="V139" i="35"/>
  <c r="S138" i="35"/>
  <c r="W136" i="35"/>
  <c r="V136" i="35"/>
  <c r="S136" i="35"/>
  <c r="W135" i="35"/>
  <c r="V135" i="35"/>
  <c r="S135" i="35"/>
  <c r="W134" i="35"/>
  <c r="V134" i="35"/>
  <c r="S134" i="35"/>
  <c r="W133" i="35"/>
  <c r="V133" i="35"/>
  <c r="S133" i="35"/>
  <c r="W132" i="35"/>
  <c r="V132" i="35"/>
  <c r="S132" i="35"/>
  <c r="W131" i="35"/>
  <c r="V131" i="35"/>
  <c r="S131" i="35"/>
  <c r="K131" i="35"/>
  <c r="K188" i="35"/>
  <c r="W130" i="35"/>
  <c r="V130" i="35"/>
  <c r="S130" i="35"/>
  <c r="W129" i="35"/>
  <c r="V129" i="35"/>
  <c r="S129" i="35"/>
  <c r="W128" i="35"/>
  <c r="V128" i="35"/>
  <c r="S128" i="35"/>
  <c r="W127" i="35"/>
  <c r="V127" i="35"/>
  <c r="S127" i="35"/>
  <c r="W126" i="35"/>
  <c r="V126" i="35"/>
  <c r="S126" i="35"/>
  <c r="W125" i="35"/>
  <c r="V125" i="35"/>
  <c r="S125" i="35"/>
  <c r="P124" i="35"/>
  <c r="O124" i="35"/>
  <c r="N124" i="35"/>
  <c r="M124" i="35"/>
  <c r="L124" i="35"/>
  <c r="K124" i="35"/>
  <c r="O123" i="35"/>
  <c r="N123" i="35"/>
  <c r="AA16" i="35" s="1"/>
  <c r="M123" i="35"/>
  <c r="Z16" i="35" s="1"/>
  <c r="L123" i="35"/>
  <c r="Y16" i="35" s="1"/>
  <c r="K123" i="35"/>
  <c r="S119" i="35"/>
  <c r="P119" i="35"/>
  <c r="P123" i="35"/>
  <c r="S118" i="35"/>
  <c r="W117" i="35"/>
  <c r="V117" i="35"/>
  <c r="U117" i="35"/>
  <c r="S117" i="35"/>
  <c r="W116" i="35"/>
  <c r="V116" i="35"/>
  <c r="S116" i="35"/>
  <c r="B116" i="35"/>
  <c r="W115" i="35"/>
  <c r="V115" i="35"/>
  <c r="S115" i="35"/>
  <c r="B115" i="35"/>
  <c r="W114" i="35"/>
  <c r="V114" i="35"/>
  <c r="S114" i="35"/>
  <c r="W113" i="35"/>
  <c r="V113" i="35"/>
  <c r="S113" i="35"/>
  <c r="W112" i="35"/>
  <c r="V112" i="35"/>
  <c r="S112" i="35"/>
  <c r="P112" i="35"/>
  <c r="O112" i="35"/>
  <c r="N112" i="35"/>
  <c r="M112" i="35"/>
  <c r="L112" i="35"/>
  <c r="K112" i="35"/>
  <c r="J112" i="35"/>
  <c r="I112" i="35"/>
  <c r="H112" i="35"/>
  <c r="P111" i="35"/>
  <c r="O111" i="35"/>
  <c r="N111" i="35"/>
  <c r="M111" i="35"/>
  <c r="L111" i="35"/>
  <c r="K111" i="35"/>
  <c r="P110" i="35"/>
  <c r="O110" i="35"/>
  <c r="N110" i="35"/>
  <c r="AA15" i="35" s="1"/>
  <c r="M110" i="35"/>
  <c r="Z15" i="35" s="1"/>
  <c r="L110" i="35"/>
  <c r="Y15" i="35" s="1"/>
  <c r="K110" i="35"/>
  <c r="B110" i="35"/>
  <c r="W109" i="35"/>
  <c r="V109" i="35"/>
  <c r="W105" i="35"/>
  <c r="V105" i="35"/>
  <c r="U105" i="35"/>
  <c r="U106" i="35"/>
  <c r="S105" i="35"/>
  <c r="B105" i="35"/>
  <c r="W104" i="35"/>
  <c r="V104" i="35"/>
  <c r="S104" i="35"/>
  <c r="B104" i="35"/>
  <c r="W103" i="35"/>
  <c r="V103" i="35"/>
  <c r="U103" i="35"/>
  <c r="U104" i="35"/>
  <c r="S103" i="35"/>
  <c r="B103" i="35"/>
  <c r="W102" i="35"/>
  <c r="V102" i="35"/>
  <c r="S102" i="35"/>
  <c r="B102" i="35"/>
  <c r="P101" i="35"/>
  <c r="O101" i="35"/>
  <c r="N101" i="35"/>
  <c r="M101" i="35"/>
  <c r="L101" i="35"/>
  <c r="K101" i="35"/>
  <c r="W100" i="35"/>
  <c r="V100" i="35"/>
  <c r="S100" i="35"/>
  <c r="O100" i="35"/>
  <c r="N100" i="35"/>
  <c r="AA14" i="35" s="1"/>
  <c r="M100" i="35"/>
  <c r="Z14" i="35" s="1"/>
  <c r="L100" i="35"/>
  <c r="Y14" i="35" s="1"/>
  <c r="K100" i="35"/>
  <c r="B100" i="35"/>
  <c r="W99" i="35"/>
  <c r="V99" i="35"/>
  <c r="S99" i="35"/>
  <c r="B99" i="35"/>
  <c r="W98" i="35"/>
  <c r="V98" i="35"/>
  <c r="S98" i="35"/>
  <c r="W97" i="35"/>
  <c r="V97" i="35"/>
  <c r="S97" i="35"/>
  <c r="W96" i="35"/>
  <c r="V96" i="35"/>
  <c r="S96" i="35"/>
  <c r="K96" i="35"/>
  <c r="J96" i="35"/>
  <c r="I96" i="35"/>
  <c r="H96" i="35"/>
  <c r="P95" i="35"/>
  <c r="O95" i="35"/>
  <c r="N95" i="35"/>
  <c r="M95" i="35"/>
  <c r="L95" i="35"/>
  <c r="K95" i="35"/>
  <c r="K94" i="35"/>
  <c r="B94" i="35"/>
  <c r="P88" i="35"/>
  <c r="P87" i="35"/>
  <c r="P86" i="35"/>
  <c r="P85" i="35"/>
  <c r="P84" i="35"/>
  <c r="P83" i="35"/>
  <c r="P82" i="35"/>
  <c r="P81" i="35"/>
  <c r="P80" i="35"/>
  <c r="P79" i="35"/>
  <c r="P78" i="35"/>
  <c r="P77" i="35"/>
  <c r="P76" i="35"/>
  <c r="P75" i="35"/>
  <c r="P74" i="35"/>
  <c r="P73" i="35"/>
  <c r="P72" i="35"/>
  <c r="P71" i="35"/>
  <c r="P70" i="35"/>
  <c r="W69" i="35"/>
  <c r="V69" i="35"/>
  <c r="S69" i="35"/>
  <c r="P69" i="35"/>
  <c r="W68" i="35"/>
  <c r="V68" i="35"/>
  <c r="S68" i="35"/>
  <c r="P68" i="35"/>
  <c r="W67" i="35"/>
  <c r="V67" i="35"/>
  <c r="S67" i="35"/>
  <c r="P67" i="35"/>
  <c r="S66" i="35"/>
  <c r="P66" i="35"/>
  <c r="S65" i="35"/>
  <c r="P65" i="35"/>
  <c r="S63" i="35"/>
  <c r="W62" i="35"/>
  <c r="V62" i="35"/>
  <c r="S62" i="35"/>
  <c r="W61" i="35"/>
  <c r="V61" i="35"/>
  <c r="S61" i="35"/>
  <c r="W60" i="35"/>
  <c r="V60" i="35"/>
  <c r="S60" i="35"/>
  <c r="W59" i="35"/>
  <c r="V59" i="35"/>
  <c r="S59" i="35"/>
  <c r="W58" i="35"/>
  <c r="V58" i="35"/>
  <c r="S58" i="35"/>
  <c r="P58" i="35"/>
  <c r="W57" i="35"/>
  <c r="V57" i="35"/>
  <c r="S57" i="35"/>
  <c r="P57" i="35"/>
  <c r="W56" i="35"/>
  <c r="V56" i="35"/>
  <c r="S56" i="35"/>
  <c r="P56" i="35"/>
  <c r="W55" i="35"/>
  <c r="V55" i="35"/>
  <c r="S55" i="35"/>
  <c r="W54" i="35"/>
  <c r="V54" i="35"/>
  <c r="S54" i="35"/>
  <c r="W53" i="35"/>
  <c r="V53" i="35"/>
  <c r="S53" i="35"/>
  <c r="W52" i="35"/>
  <c r="V52" i="35"/>
  <c r="S52" i="35"/>
  <c r="P52" i="35"/>
  <c r="M52" i="35"/>
  <c r="W51" i="35"/>
  <c r="V51" i="35"/>
  <c r="S51" i="35"/>
  <c r="P51" i="35"/>
  <c r="M51" i="35"/>
  <c r="L51" i="35"/>
  <c r="L96" i="35"/>
  <c r="S50" i="35"/>
  <c r="P50" i="35"/>
  <c r="M50" i="35"/>
  <c r="S49" i="35"/>
  <c r="P49" i="35"/>
  <c r="N49" i="35"/>
  <c r="O49" i="35"/>
  <c r="M49" i="35"/>
  <c r="S48" i="35"/>
  <c r="M48" i="35"/>
  <c r="S47" i="35"/>
  <c r="P47" i="35"/>
  <c r="O47" i="35"/>
  <c r="N47" i="35"/>
  <c r="M47" i="35"/>
  <c r="U46" i="35"/>
  <c r="B46" i="35"/>
  <c r="S46" i="35"/>
  <c r="N46" i="35"/>
  <c r="M46" i="35"/>
  <c r="U45" i="35"/>
  <c r="B45" i="35"/>
  <c r="S45" i="35"/>
  <c r="P45" i="35"/>
  <c r="N45" i="35"/>
  <c r="O45" i="35"/>
  <c r="M45" i="35"/>
  <c r="S44" i="35"/>
  <c r="P44" i="35"/>
  <c r="O44" i="35"/>
  <c r="N44" i="35"/>
  <c r="M44" i="35"/>
  <c r="B44" i="35"/>
  <c r="P41" i="35"/>
  <c r="O41" i="35"/>
  <c r="N41" i="35"/>
  <c r="M41" i="35"/>
  <c r="L41" i="35"/>
  <c r="K41" i="35"/>
  <c r="J41" i="35"/>
  <c r="I41" i="35"/>
  <c r="H41" i="35"/>
  <c r="J32" i="35"/>
  <c r="H32" i="35"/>
  <c r="L31" i="35"/>
  <c r="K31" i="35"/>
  <c r="J31" i="35"/>
  <c r="I31" i="35"/>
  <c r="I32" i="35"/>
  <c r="H31" i="35"/>
  <c r="L30" i="35"/>
  <c r="K30" i="35"/>
  <c r="AA24" i="35"/>
  <c r="Z24" i="35"/>
  <c r="Y24" i="35"/>
  <c r="X24" i="35"/>
  <c r="L24" i="35"/>
  <c r="AA23" i="35"/>
  <c r="Y23" i="35"/>
  <c r="O23" i="35"/>
  <c r="N23" i="35"/>
  <c r="M23" i="35"/>
  <c r="L23" i="35"/>
  <c r="K23" i="35"/>
  <c r="Z22" i="35"/>
  <c r="Y22" i="35"/>
  <c r="X22" i="35"/>
  <c r="O22" i="35"/>
  <c r="N22" i="35"/>
  <c r="M22" i="35"/>
  <c r="L22" i="35"/>
  <c r="K22" i="35"/>
  <c r="AA21" i="35"/>
  <c r="Z21" i="35"/>
  <c r="Y21" i="35"/>
  <c r="AA20" i="35"/>
  <c r="Z20" i="35"/>
  <c r="Y20" i="35"/>
  <c r="X20" i="35"/>
  <c r="O20" i="35"/>
  <c r="N20" i="35"/>
  <c r="M20" i="35"/>
  <c r="L20" i="35"/>
  <c r="L21" i="35"/>
  <c r="K20" i="35"/>
  <c r="Z19" i="35"/>
  <c r="Y19" i="35"/>
  <c r="X18" i="35"/>
  <c r="O18" i="35"/>
  <c r="N18" i="35"/>
  <c r="M18" i="35"/>
  <c r="L18" i="35"/>
  <c r="K18" i="35"/>
  <c r="X16" i="35"/>
  <c r="X15" i="35"/>
  <c r="X14" i="35"/>
  <c r="H14" i="35"/>
  <c r="X13" i="35"/>
  <c r="M13" i="35"/>
  <c r="L13" i="35"/>
  <c r="K13" i="35"/>
  <c r="J13" i="35"/>
  <c r="I13" i="35"/>
  <c r="H13" i="35"/>
  <c r="L12" i="35"/>
  <c r="L16" i="35"/>
  <c r="K12" i="35"/>
  <c r="K16" i="35"/>
  <c r="O11" i="35"/>
  <c r="O32" i="35"/>
  <c r="N11" i="35"/>
  <c r="N32" i="35"/>
  <c r="M11" i="35"/>
  <c r="L11" i="35"/>
  <c r="K11" i="35"/>
  <c r="K32" i="35"/>
  <c r="J11" i="35"/>
  <c r="J8" i="35"/>
  <c r="J14" i="35"/>
  <c r="I8" i="35"/>
  <c r="I14" i="35"/>
  <c r="H8" i="35"/>
  <c r="O7" i="35"/>
  <c r="N7" i="35"/>
  <c r="M7" i="35"/>
  <c r="F7" i="35"/>
  <c r="K7" i="35"/>
  <c r="M6" i="35"/>
  <c r="K6" i="35"/>
  <c r="K24" i="35"/>
  <c r="M5" i="35"/>
  <c r="K5" i="35"/>
  <c r="K21" i="35"/>
  <c r="F5" i="35"/>
  <c r="L4" i="35"/>
  <c r="M4" i="35"/>
  <c r="F4" i="35"/>
  <c r="K4" i="35"/>
  <c r="L32" i="35"/>
  <c r="L14" i="35"/>
  <c r="M26" i="35"/>
  <c r="M19" i="35"/>
  <c r="M8" i="35"/>
  <c r="M27" i="35"/>
  <c r="N4" i="35"/>
  <c r="M21" i="35"/>
  <c r="N5" i="35"/>
  <c r="N13" i="35"/>
  <c r="O46" i="35"/>
  <c r="N94" i="35"/>
  <c r="AA13" i="35" s="1"/>
  <c r="M94" i="35"/>
  <c r="Z13" i="35" s="1"/>
  <c r="M96" i="35"/>
  <c r="N48" i="35"/>
  <c r="M12" i="35"/>
  <c r="M16" i="35"/>
  <c r="L19" i="35"/>
  <c r="L26" i="35"/>
  <c r="L8" i="35"/>
  <c r="L27" i="35"/>
  <c r="M24" i="35"/>
  <c r="N6" i="35"/>
  <c r="M32" i="35"/>
  <c r="K19" i="35"/>
  <c r="K26" i="35"/>
  <c r="F8" i="35"/>
  <c r="K8" i="35"/>
  <c r="K27" i="35"/>
  <c r="K14" i="35"/>
  <c r="N96" i="35"/>
  <c r="B106" i="35"/>
  <c r="U107" i="35"/>
  <c r="B117" i="35"/>
  <c r="U118" i="35"/>
  <c r="U47" i="35"/>
  <c r="L94" i="35"/>
  <c r="Y13" i="35" s="1"/>
  <c r="P188" i="35"/>
  <c r="U233" i="35"/>
  <c r="K146" i="35"/>
  <c r="X17" i="35"/>
  <c r="U196" i="35"/>
  <c r="U209" i="35"/>
  <c r="K216" i="35"/>
  <c r="X21" i="35"/>
  <c r="N238" i="35"/>
  <c r="AA22" i="35"/>
  <c r="K249" i="35"/>
  <c r="X23" i="35"/>
  <c r="O238" i="35"/>
  <c r="B233" i="35"/>
  <c r="U234" i="35"/>
  <c r="M14" i="35"/>
  <c r="O48" i="35"/>
  <c r="N12" i="35"/>
  <c r="P46" i="35"/>
  <c r="O13" i="35"/>
  <c r="N21" i="35"/>
  <c r="O5" i="35"/>
  <c r="O21" i="35"/>
  <c r="U119" i="35"/>
  <c r="B118" i="35"/>
  <c r="U210" i="35"/>
  <c r="B209" i="35"/>
  <c r="U48" i="35"/>
  <c r="B47" i="35"/>
  <c r="B107" i="35"/>
  <c r="U108" i="35"/>
  <c r="U197" i="35"/>
  <c r="B196" i="35"/>
  <c r="N24" i="35"/>
  <c r="O6" i="35"/>
  <c r="O24" i="35"/>
  <c r="N26" i="35"/>
  <c r="N19" i="35"/>
  <c r="O4" i="35"/>
  <c r="N8" i="35"/>
  <c r="N27" i="35"/>
  <c r="N14" i="35"/>
  <c r="N16" i="35"/>
  <c r="U235" i="35"/>
  <c r="B234" i="35"/>
  <c r="U198" i="35"/>
  <c r="B197" i="35"/>
  <c r="B48" i="35"/>
  <c r="U49" i="35"/>
  <c r="O19" i="35"/>
  <c r="O26" i="35"/>
  <c r="O8" i="35"/>
  <c r="O27" i="35"/>
  <c r="B108" i="35"/>
  <c r="U109" i="35"/>
  <c r="B109" i="35"/>
  <c r="B119" i="35"/>
  <c r="U120" i="35"/>
  <c r="P94" i="35"/>
  <c r="P96" i="35"/>
  <c r="U211" i="35"/>
  <c r="B210" i="35"/>
  <c r="P48" i="35"/>
  <c r="O12" i="35"/>
  <c r="O94" i="35"/>
  <c r="O96" i="35"/>
  <c r="O16" i="35"/>
  <c r="O14" i="35"/>
  <c r="B120" i="35"/>
  <c r="U121" i="35"/>
  <c r="U236" i="35"/>
  <c r="B235" i="35"/>
  <c r="U212" i="35"/>
  <c r="B211" i="35"/>
  <c r="U199" i="35"/>
  <c r="B198" i="35"/>
  <c r="U50" i="35"/>
  <c r="B49" i="35"/>
  <c r="B50" i="35"/>
  <c r="U51" i="35"/>
  <c r="U213" i="35"/>
  <c r="B212" i="35"/>
  <c r="U122" i="35"/>
  <c r="B121" i="35"/>
  <c r="B199" i="35"/>
  <c r="U200" i="35"/>
  <c r="U241" i="35"/>
  <c r="B236" i="35"/>
  <c r="U52" i="35"/>
  <c r="B51" i="35"/>
  <c r="B241" i="35"/>
  <c r="U242" i="35"/>
  <c r="B122" i="35"/>
  <c r="U126" i="35"/>
  <c r="U201" i="35"/>
  <c r="B200" i="35"/>
  <c r="B213" i="35"/>
  <c r="U214" i="35"/>
  <c r="U202" i="35"/>
  <c r="B202" i="35"/>
  <c r="B201" i="35"/>
  <c r="B214" i="35"/>
  <c r="U215" i="35"/>
  <c r="B215" i="35"/>
  <c r="U127" i="35"/>
  <c r="B126" i="35"/>
  <c r="U243" i="35"/>
  <c r="B242" i="35"/>
  <c r="U53" i="35"/>
  <c r="B52" i="35"/>
  <c r="B53" i="35"/>
  <c r="U54" i="35"/>
  <c r="B243" i="35"/>
  <c r="U244" i="35"/>
  <c r="U128" i="35"/>
  <c r="B127" i="35"/>
  <c r="U245" i="35"/>
  <c r="B244" i="35"/>
  <c r="B128" i="35"/>
  <c r="U129" i="35"/>
  <c r="U55" i="35"/>
  <c r="B54" i="35"/>
  <c r="B129" i="35"/>
  <c r="U130" i="35"/>
  <c r="B55" i="35"/>
  <c r="U56" i="35"/>
  <c r="B245" i="35"/>
  <c r="U246" i="35"/>
  <c r="U57" i="35"/>
  <c r="B56" i="35"/>
  <c r="B246" i="35"/>
  <c r="U247" i="35"/>
  <c r="B247" i="35"/>
  <c r="B130" i="35"/>
  <c r="U131" i="35"/>
  <c r="B131" i="35"/>
  <c r="U132" i="35"/>
  <c r="U58" i="35"/>
  <c r="B57" i="35"/>
  <c r="B58" i="35"/>
  <c r="U59" i="35"/>
  <c r="B132" i="35"/>
  <c r="U133" i="35"/>
  <c r="U134" i="35"/>
  <c r="B133" i="35"/>
  <c r="U60" i="35"/>
  <c r="B59" i="35"/>
  <c r="B60" i="35"/>
  <c r="U61" i="35"/>
  <c r="B134" i="35"/>
  <c r="U135" i="35"/>
  <c r="B135" i="35"/>
  <c r="U136" i="35"/>
  <c r="B61" i="35"/>
  <c r="U62" i="35"/>
  <c r="B62" i="35"/>
  <c r="U63" i="35"/>
  <c r="B136" i="35"/>
  <c r="U137" i="35"/>
  <c r="B137" i="35"/>
  <c r="U138" i="35"/>
  <c r="U64" i="35"/>
  <c r="B63" i="35"/>
  <c r="B64" i="35"/>
  <c r="U65" i="35"/>
  <c r="U139" i="35"/>
  <c r="B138" i="35"/>
  <c r="U140" i="35"/>
  <c r="B139" i="35"/>
  <c r="U66" i="35"/>
  <c r="B65" i="35"/>
  <c r="U67" i="35"/>
  <c r="B66" i="35"/>
  <c r="U141" i="35"/>
  <c r="B140" i="35"/>
  <c r="U142" i="35"/>
  <c r="B141" i="35"/>
  <c r="U68" i="35"/>
  <c r="B67" i="35"/>
  <c r="B68" i="35"/>
  <c r="U69" i="35"/>
  <c r="B142" i="35"/>
  <c r="U143" i="35"/>
  <c r="B69" i="35"/>
  <c r="U70" i="35"/>
  <c r="U144" i="35"/>
  <c r="B143" i="35"/>
  <c r="U145" i="35"/>
  <c r="B144" i="35"/>
  <c r="B70" i="35"/>
  <c r="U71" i="35"/>
  <c r="U72" i="35"/>
  <c r="B71" i="35"/>
  <c r="U149" i="35"/>
  <c r="B145" i="35"/>
  <c r="B149" i="35"/>
  <c r="U150" i="35"/>
  <c r="U73" i="35"/>
  <c r="B72" i="35"/>
  <c r="U74" i="35"/>
  <c r="B73" i="35"/>
  <c r="U151" i="35"/>
  <c r="B150" i="35"/>
  <c r="B151" i="35"/>
  <c r="U152" i="35"/>
  <c r="B74" i="35"/>
  <c r="U75" i="35"/>
  <c r="U76" i="35"/>
  <c r="B75" i="35"/>
  <c r="U153" i="35"/>
  <c r="B152" i="35"/>
  <c r="U154" i="35"/>
  <c r="B153" i="35"/>
  <c r="B76" i="35"/>
  <c r="U77" i="35"/>
  <c r="U78" i="35"/>
  <c r="B77" i="35"/>
  <c r="B154" i="35"/>
  <c r="U155" i="35"/>
  <c r="U156" i="35"/>
  <c r="B155" i="35"/>
  <c r="B78" i="35"/>
  <c r="U79" i="35"/>
  <c r="U80" i="35"/>
  <c r="B79" i="35"/>
  <c r="B156" i="35"/>
  <c r="U157" i="35"/>
  <c r="U158" i="35"/>
  <c r="B157" i="35"/>
  <c r="U81" i="35"/>
  <c r="B80" i="35"/>
  <c r="U82" i="35"/>
  <c r="B81" i="35"/>
  <c r="U162" i="35"/>
  <c r="B158" i="35"/>
  <c r="B162" i="35"/>
  <c r="U163" i="35"/>
  <c r="B82" i="35"/>
  <c r="U83" i="35"/>
  <c r="U164" i="35"/>
  <c r="B163" i="35"/>
  <c r="U84" i="35"/>
  <c r="B83" i="35"/>
  <c r="B84" i="35"/>
  <c r="U85" i="35"/>
  <c r="U165" i="35"/>
  <c r="B164" i="35"/>
  <c r="U166" i="35"/>
  <c r="B165" i="35"/>
  <c r="U86" i="35"/>
  <c r="B85" i="35"/>
  <c r="B86" i="35"/>
  <c r="U87" i="35"/>
  <c r="U167" i="35"/>
  <c r="B166" i="35"/>
  <c r="B167" i="35"/>
  <c r="U168" i="35"/>
  <c r="U88" i="35"/>
  <c r="B87" i="35"/>
  <c r="B88" i="35"/>
  <c r="U89" i="35"/>
  <c r="U169" i="35"/>
  <c r="B168" i="35"/>
  <c r="U170" i="35"/>
  <c r="B169" i="35"/>
  <c r="U90" i="35"/>
  <c r="B89" i="35"/>
  <c r="B90" i="35"/>
  <c r="U91" i="35"/>
  <c r="B170" i="35"/>
  <c r="U171" i="35"/>
  <c r="B171" i="35"/>
  <c r="U172" i="35"/>
  <c r="U92" i="35"/>
  <c r="B91" i="35"/>
  <c r="U93" i="35"/>
  <c r="B93" i="35"/>
  <c r="B92" i="35"/>
  <c r="U173" i="35"/>
  <c r="B172" i="35"/>
  <c r="U174" i="35"/>
  <c r="B173" i="35"/>
  <c r="B174" i="35"/>
  <c r="U175" i="35"/>
  <c r="U176" i="35"/>
  <c r="B175" i="35"/>
  <c r="U177" i="35"/>
  <c r="B176" i="35"/>
  <c r="B177" i="35"/>
  <c r="U178" i="35"/>
  <c r="B178" i="35"/>
  <c r="U179" i="35"/>
  <c r="U180" i="35"/>
  <c r="B179" i="35"/>
  <c r="U181" i="35"/>
  <c r="B180" i="35"/>
  <c r="B181" i="35"/>
  <c r="U182" i="35"/>
  <c r="B182" i="35"/>
  <c r="U183" i="35"/>
  <c r="U184" i="35"/>
  <c r="B183" i="35"/>
  <c r="U185" i="35"/>
  <c r="B185" i="35"/>
  <c r="B184" i="35"/>
  <c r="G141" i="34"/>
  <c r="H141" i="34"/>
  <c r="I141" i="34"/>
  <c r="H157" i="33"/>
  <c r="I157" i="33"/>
  <c r="G157" i="33"/>
  <c r="F343" i="33"/>
  <c r="L173" i="34"/>
  <c r="B173" i="34"/>
  <c r="U365" i="34"/>
  <c r="T365" i="34"/>
  <c r="S365" i="34"/>
  <c r="R365" i="34"/>
  <c r="U364" i="34"/>
  <c r="T364" i="34"/>
  <c r="S364" i="34"/>
  <c r="R364" i="34"/>
  <c r="U363" i="34"/>
  <c r="T363" i="34"/>
  <c r="S363" i="34"/>
  <c r="R363" i="34"/>
  <c r="U362" i="34"/>
  <c r="T362" i="34"/>
  <c r="S362" i="34"/>
  <c r="R362" i="34"/>
  <c r="U361" i="34"/>
  <c r="T361" i="34"/>
  <c r="S361" i="34"/>
  <c r="R361" i="34"/>
  <c r="U360" i="34"/>
  <c r="T360" i="34"/>
  <c r="S360" i="34"/>
  <c r="R360" i="34"/>
  <c r="U359" i="34"/>
  <c r="T359" i="34"/>
  <c r="S359" i="34"/>
  <c r="R359" i="34"/>
  <c r="U358" i="34"/>
  <c r="U366" i="34"/>
  <c r="T358" i="34"/>
  <c r="T366" i="34"/>
  <c r="S358" i="34"/>
  <c r="S366" i="34"/>
  <c r="R358" i="34"/>
  <c r="R366" i="34"/>
  <c r="H351" i="34"/>
  <c r="G351" i="34"/>
  <c r="F351" i="34"/>
  <c r="H348" i="34"/>
  <c r="G348" i="34"/>
  <c r="F348" i="34"/>
  <c r="H346" i="34"/>
  <c r="G346" i="34"/>
  <c r="F346" i="34"/>
  <c r="H345" i="34"/>
  <c r="G345" i="34"/>
  <c r="F345" i="34"/>
  <c r="B341" i="34"/>
  <c r="N340" i="34"/>
  <c r="M340" i="34"/>
  <c r="G338" i="34"/>
  <c r="H338" i="34"/>
  <c r="I338" i="34"/>
  <c r="Q333" i="34"/>
  <c r="N332" i="34"/>
  <c r="M332" i="34"/>
  <c r="N331" i="34"/>
  <c r="M331" i="34"/>
  <c r="N330" i="34"/>
  <c r="M330" i="34"/>
  <c r="N329" i="34"/>
  <c r="M329" i="34"/>
  <c r="B328" i="34"/>
  <c r="N325" i="34"/>
  <c r="M325" i="34"/>
  <c r="N321" i="34"/>
  <c r="M321" i="34"/>
  <c r="N320" i="34"/>
  <c r="M320" i="34"/>
  <c r="N319" i="34"/>
  <c r="M319" i="34"/>
  <c r="N318" i="34"/>
  <c r="M318" i="34"/>
  <c r="N317" i="34"/>
  <c r="M317" i="34"/>
  <c r="B316" i="34"/>
  <c r="N315" i="34"/>
  <c r="M315" i="34"/>
  <c r="N311" i="34"/>
  <c r="M311" i="34"/>
  <c r="N310" i="34"/>
  <c r="M310" i="34"/>
  <c r="N309" i="34"/>
  <c r="M309" i="34"/>
  <c r="N308" i="34"/>
  <c r="M308" i="34"/>
  <c r="N307" i="34"/>
  <c r="M307" i="34"/>
  <c r="N306" i="34"/>
  <c r="M306" i="34"/>
  <c r="N305" i="34"/>
  <c r="M305" i="34"/>
  <c r="N304" i="34"/>
  <c r="M304" i="34"/>
  <c r="N303" i="34"/>
  <c r="M303" i="34"/>
  <c r="N302" i="34"/>
  <c r="M302" i="34"/>
  <c r="N301" i="34"/>
  <c r="M301" i="34"/>
  <c r="N300" i="34"/>
  <c r="M300" i="34"/>
  <c r="N299" i="34"/>
  <c r="M299" i="34"/>
  <c r="N298" i="34"/>
  <c r="M298" i="34"/>
  <c r="N297" i="34"/>
  <c r="M297" i="34"/>
  <c r="N296" i="34"/>
  <c r="M296" i="34"/>
  <c r="N295" i="34"/>
  <c r="M295" i="34"/>
  <c r="N294" i="34"/>
  <c r="M294" i="34"/>
  <c r="N293" i="34"/>
  <c r="M293" i="34"/>
  <c r="N292" i="34"/>
  <c r="M292" i="34"/>
  <c r="B291" i="34"/>
  <c r="N290" i="34"/>
  <c r="M290" i="34"/>
  <c r="L290" i="34"/>
  <c r="L292" i="34"/>
  <c r="N289" i="34"/>
  <c r="M289" i="34"/>
  <c r="B289" i="34"/>
  <c r="N284" i="34"/>
  <c r="M284" i="34"/>
  <c r="N283" i="34"/>
  <c r="M283" i="34"/>
  <c r="N282" i="34"/>
  <c r="M282" i="34"/>
  <c r="N279" i="34"/>
  <c r="M279" i="34"/>
  <c r="L279" i="34"/>
  <c r="L280" i="34"/>
  <c r="N278" i="34"/>
  <c r="M278" i="34"/>
  <c r="B278" i="34"/>
  <c r="N261" i="34"/>
  <c r="M261" i="34"/>
  <c r="N260" i="34"/>
  <c r="M260" i="34"/>
  <c r="L260" i="34"/>
  <c r="B260" i="34"/>
  <c r="N259" i="34"/>
  <c r="M259" i="34"/>
  <c r="B259" i="34"/>
  <c r="B252" i="34"/>
  <c r="N248" i="34"/>
  <c r="M248" i="34"/>
  <c r="B248" i="34"/>
  <c r="N247" i="34"/>
  <c r="M247" i="34"/>
  <c r="B247" i="34"/>
  <c r="N246" i="34"/>
  <c r="M246" i="34"/>
  <c r="B246" i="34"/>
  <c r="N245" i="34"/>
  <c r="M245" i="34"/>
  <c r="B245" i="34"/>
  <c r="N241" i="34"/>
  <c r="M241" i="34"/>
  <c r="N240" i="34"/>
  <c r="M240" i="34"/>
  <c r="N239" i="34"/>
  <c r="M239" i="34"/>
  <c r="B238" i="34"/>
  <c r="N237" i="34"/>
  <c r="M237" i="34"/>
  <c r="B237" i="34"/>
  <c r="N236" i="34"/>
  <c r="M236" i="34"/>
  <c r="N235" i="34"/>
  <c r="M235" i="34"/>
  <c r="N234" i="34"/>
  <c r="M234" i="34"/>
  <c r="N233" i="34"/>
  <c r="M233" i="34"/>
  <c r="B233" i="34"/>
  <c r="N232" i="34"/>
  <c r="M232" i="34"/>
  <c r="B232" i="34"/>
  <c r="N231" i="34"/>
  <c r="M231" i="34"/>
  <c r="N230" i="34"/>
  <c r="M230" i="34"/>
  <c r="B230" i="34"/>
  <c r="N229" i="34"/>
  <c r="M229" i="34"/>
  <c r="B229" i="34"/>
  <c r="N228" i="34"/>
  <c r="M228" i="34"/>
  <c r="N227" i="34"/>
  <c r="M227" i="34"/>
  <c r="N226" i="34"/>
  <c r="M226" i="34"/>
  <c r="B226" i="34"/>
  <c r="N225" i="34"/>
  <c r="M225" i="34"/>
  <c r="B225" i="34"/>
  <c r="N224" i="34"/>
  <c r="M224" i="34"/>
  <c r="N223" i="34"/>
  <c r="M223" i="34"/>
  <c r="N222" i="34"/>
  <c r="M222" i="34"/>
  <c r="B222" i="34"/>
  <c r="N221" i="34"/>
  <c r="M221" i="34"/>
  <c r="B221" i="34"/>
  <c r="N220" i="34"/>
  <c r="M220" i="34"/>
  <c r="N219" i="34"/>
  <c r="M219" i="34"/>
  <c r="N218" i="34"/>
  <c r="M218" i="34"/>
  <c r="B218" i="34"/>
  <c r="N217" i="34"/>
  <c r="M217" i="34"/>
  <c r="N216" i="34"/>
  <c r="M216" i="34"/>
  <c r="N215" i="34"/>
  <c r="M215" i="34"/>
  <c r="N214" i="34"/>
  <c r="M214" i="34"/>
  <c r="N213" i="34"/>
  <c r="M213" i="34"/>
  <c r="N212" i="34"/>
  <c r="M212" i="34"/>
  <c r="N211" i="34"/>
  <c r="M211" i="34"/>
  <c r="N210" i="34"/>
  <c r="M210" i="34"/>
  <c r="N209" i="34"/>
  <c r="M209" i="34"/>
  <c r="M208" i="34"/>
  <c r="M207" i="34"/>
  <c r="B206" i="34"/>
  <c r="B205" i="34"/>
  <c r="N204" i="34"/>
  <c r="M204" i="34"/>
  <c r="B203" i="34"/>
  <c r="B202" i="34"/>
  <c r="L196" i="34"/>
  <c r="B195" i="34"/>
  <c r="B194" i="34"/>
  <c r="N185" i="34"/>
  <c r="M185" i="34"/>
  <c r="N184" i="34"/>
  <c r="M184" i="34"/>
  <c r="N183" i="34"/>
  <c r="M183" i="34"/>
  <c r="N182" i="34"/>
  <c r="M182" i="34"/>
  <c r="N181" i="34"/>
  <c r="M181" i="34"/>
  <c r="N180" i="34"/>
  <c r="M180" i="34"/>
  <c r="N178" i="34"/>
  <c r="M178" i="34"/>
  <c r="N176" i="34"/>
  <c r="M176" i="34"/>
  <c r="N172" i="34"/>
  <c r="M172" i="34"/>
  <c r="B172" i="34"/>
  <c r="N167" i="34"/>
  <c r="M167" i="34"/>
  <c r="N166" i="34"/>
  <c r="M166" i="34"/>
  <c r="G166" i="34"/>
  <c r="H166" i="34"/>
  <c r="I166" i="34"/>
  <c r="N165" i="34"/>
  <c r="M165" i="34"/>
  <c r="G165" i="34"/>
  <c r="H165" i="34"/>
  <c r="I165" i="34"/>
  <c r="H164" i="34"/>
  <c r="I164" i="34"/>
  <c r="N163" i="34"/>
  <c r="M163" i="34"/>
  <c r="B162" i="34"/>
  <c r="N161" i="34"/>
  <c r="M161" i="34"/>
  <c r="N160" i="34"/>
  <c r="M160" i="34"/>
  <c r="N159" i="34"/>
  <c r="M159" i="34"/>
  <c r="N158" i="34"/>
  <c r="M158" i="34"/>
  <c r="N157" i="34"/>
  <c r="M157" i="34"/>
  <c r="N156" i="34"/>
  <c r="M156" i="34"/>
  <c r="N154" i="34"/>
  <c r="M154" i="34"/>
  <c r="N153" i="34"/>
  <c r="M153" i="34"/>
  <c r="N152" i="34"/>
  <c r="M152" i="34"/>
  <c r="N151" i="34"/>
  <c r="M151" i="34"/>
  <c r="N150" i="34"/>
  <c r="M150" i="34"/>
  <c r="B148" i="34"/>
  <c r="N147" i="34"/>
  <c r="M147" i="34"/>
  <c r="G147" i="34"/>
  <c r="H147" i="34"/>
  <c r="I147" i="34"/>
  <c r="F147" i="34"/>
  <c r="F8" i="34"/>
  <c r="N144" i="34"/>
  <c r="M144" i="34"/>
  <c r="N143" i="34"/>
  <c r="M143" i="34"/>
  <c r="N141" i="34"/>
  <c r="M141" i="34"/>
  <c r="N139" i="34"/>
  <c r="M139" i="34"/>
  <c r="B138" i="34"/>
  <c r="N137" i="34"/>
  <c r="M137" i="34"/>
  <c r="H136" i="34"/>
  <c r="I136" i="34"/>
  <c r="G136" i="34"/>
  <c r="F136" i="34"/>
  <c r="N134" i="34"/>
  <c r="M134" i="34"/>
  <c r="L134" i="34"/>
  <c r="L135" i="34"/>
  <c r="B135" i="34"/>
  <c r="N133" i="34"/>
  <c r="M133" i="34"/>
  <c r="B133" i="34"/>
  <c r="B132" i="34"/>
  <c r="G121" i="34"/>
  <c r="H121" i="34"/>
  <c r="I121" i="34"/>
  <c r="G119" i="34"/>
  <c r="H119" i="34"/>
  <c r="I119" i="34"/>
  <c r="G118" i="34"/>
  <c r="H118" i="34"/>
  <c r="I118" i="34"/>
  <c r="G117" i="34"/>
  <c r="H117" i="34"/>
  <c r="I117" i="34"/>
  <c r="G116" i="34"/>
  <c r="H116" i="34"/>
  <c r="I116" i="34"/>
  <c r="G115" i="34"/>
  <c r="H115" i="34"/>
  <c r="I115" i="34"/>
  <c r="G114" i="34"/>
  <c r="H114" i="34"/>
  <c r="I114" i="34"/>
  <c r="G113" i="34"/>
  <c r="H113" i="34"/>
  <c r="I113" i="34"/>
  <c r="G112" i="34"/>
  <c r="H112" i="34"/>
  <c r="I112" i="34"/>
  <c r="G111" i="34"/>
  <c r="H111" i="34"/>
  <c r="I111" i="34"/>
  <c r="N109" i="34"/>
  <c r="M109" i="34"/>
  <c r="N108" i="34"/>
  <c r="M108" i="34"/>
  <c r="N107" i="34"/>
  <c r="M107" i="34"/>
  <c r="N106" i="34"/>
  <c r="M106" i="34"/>
  <c r="N105" i="34"/>
  <c r="M105" i="34"/>
  <c r="N103" i="34"/>
  <c r="M103" i="34"/>
  <c r="B103" i="34"/>
  <c r="N102" i="34"/>
  <c r="M102" i="34"/>
  <c r="N96" i="34"/>
  <c r="M96" i="34"/>
  <c r="N95" i="34"/>
  <c r="M95" i="34"/>
  <c r="N94" i="34"/>
  <c r="M94" i="34"/>
  <c r="H94" i="34"/>
  <c r="N93" i="34"/>
  <c r="M93" i="34"/>
  <c r="H93" i="34"/>
  <c r="F92" i="34"/>
  <c r="F104" i="34"/>
  <c r="N89" i="34"/>
  <c r="M89" i="34"/>
  <c r="N88" i="34"/>
  <c r="M88" i="34"/>
  <c r="N82" i="34"/>
  <c r="M82" i="34"/>
  <c r="N75" i="34"/>
  <c r="M75" i="34"/>
  <c r="N70" i="34"/>
  <c r="M70" i="34"/>
  <c r="N69" i="34"/>
  <c r="M69" i="34"/>
  <c r="L69" i="34"/>
  <c r="N68" i="34"/>
  <c r="M68" i="34"/>
  <c r="B68" i="34"/>
  <c r="H67" i="34"/>
  <c r="I67" i="34"/>
  <c r="I63" i="34"/>
  <c r="H63" i="34"/>
  <c r="G63" i="34"/>
  <c r="F63" i="34"/>
  <c r="P34" i="34"/>
  <c r="O34" i="34"/>
  <c r="AV7" i="34"/>
  <c r="N34" i="34"/>
  <c r="N31" i="34"/>
  <c r="I30" i="34"/>
  <c r="H30" i="34"/>
  <c r="G30" i="34"/>
  <c r="F30" i="34"/>
  <c r="L29" i="34"/>
  <c r="F17" i="34"/>
  <c r="F13" i="34"/>
  <c r="I12" i="34"/>
  <c r="H12" i="34"/>
  <c r="G12" i="34"/>
  <c r="F12" i="34"/>
  <c r="AT7" i="34"/>
  <c r="AS7" i="34"/>
  <c r="AP7" i="34"/>
  <c r="AO7" i="34"/>
  <c r="AL7" i="34"/>
  <c r="AK7" i="34"/>
  <c r="AH7" i="34"/>
  <c r="AG7" i="34"/>
  <c r="AD7" i="34"/>
  <c r="AC7" i="34"/>
  <c r="Z7" i="34"/>
  <c r="Y7" i="34"/>
  <c r="V7" i="34"/>
  <c r="U7" i="34"/>
  <c r="R7" i="34"/>
  <c r="Q7" i="34"/>
  <c r="AT6" i="34"/>
  <c r="AS6" i="34"/>
  <c r="AP6" i="34"/>
  <c r="AO6" i="34"/>
  <c r="AL6" i="34"/>
  <c r="AK6" i="34"/>
  <c r="AH6" i="34"/>
  <c r="AG6" i="34"/>
  <c r="AD6" i="34"/>
  <c r="AC6" i="34"/>
  <c r="Z6" i="34"/>
  <c r="Y6" i="34"/>
  <c r="V6" i="34"/>
  <c r="U6" i="34"/>
  <c r="R6" i="34"/>
  <c r="Q6" i="34"/>
  <c r="AT5" i="34"/>
  <c r="AS5" i="34"/>
  <c r="AP5" i="34"/>
  <c r="AO5" i="34"/>
  <c r="AL5" i="34"/>
  <c r="AK5" i="34"/>
  <c r="AH5" i="34"/>
  <c r="AG5" i="34"/>
  <c r="AD5" i="34"/>
  <c r="AC5" i="34"/>
  <c r="Z5" i="34"/>
  <c r="Y5" i="34"/>
  <c r="V5" i="34"/>
  <c r="U5" i="34"/>
  <c r="R5" i="34"/>
  <c r="Q5" i="34"/>
  <c r="A5" i="34"/>
  <c r="AT4" i="34"/>
  <c r="AT8" i="34"/>
  <c r="AS4" i="34"/>
  <c r="AS8" i="34"/>
  <c r="AP4" i="34"/>
  <c r="AP8" i="34"/>
  <c r="AO4" i="34"/>
  <c r="AO8" i="34"/>
  <c r="AM4" i="34"/>
  <c r="AL4" i="34"/>
  <c r="AL8" i="34"/>
  <c r="AK4" i="34"/>
  <c r="AK8" i="34"/>
  <c r="AH4" i="34"/>
  <c r="AH8" i="34"/>
  <c r="AG4" i="34"/>
  <c r="AG8" i="34"/>
  <c r="AD4" i="34"/>
  <c r="AD8" i="34"/>
  <c r="AC4" i="34"/>
  <c r="AC8" i="34"/>
  <c r="Z4" i="34"/>
  <c r="Z8" i="34"/>
  <c r="Y4" i="34"/>
  <c r="Y8" i="34"/>
  <c r="V4" i="34"/>
  <c r="V8" i="34"/>
  <c r="U4" i="34"/>
  <c r="U8" i="34"/>
  <c r="R4" i="34"/>
  <c r="Q4" i="34"/>
  <c r="N223" i="33"/>
  <c r="N224" i="33"/>
  <c r="N225" i="33"/>
  <c r="N226" i="33"/>
  <c r="N227" i="33"/>
  <c r="N228" i="33"/>
  <c r="N229" i="33"/>
  <c r="N230" i="33"/>
  <c r="N231" i="33"/>
  <c r="N232" i="33"/>
  <c r="N233" i="33"/>
  <c r="N234" i="33"/>
  <c r="N235" i="33"/>
  <c r="N236" i="33"/>
  <c r="N237" i="33"/>
  <c r="N238" i="33"/>
  <c r="N239" i="33"/>
  <c r="N240" i="33"/>
  <c r="N241" i="33"/>
  <c r="N242" i="33"/>
  <c r="N243" i="33"/>
  <c r="N244" i="33"/>
  <c r="N245" i="33"/>
  <c r="N246" i="33"/>
  <c r="N247" i="33"/>
  <c r="N248" i="33"/>
  <c r="N249" i="33"/>
  <c r="M223" i="33"/>
  <c r="M224" i="33"/>
  <c r="M225" i="33"/>
  <c r="M226" i="33"/>
  <c r="M227" i="33"/>
  <c r="M228" i="33"/>
  <c r="M229" i="33"/>
  <c r="M230" i="33"/>
  <c r="M231" i="33"/>
  <c r="M232" i="33"/>
  <c r="M233" i="33"/>
  <c r="M234" i="33"/>
  <c r="M235" i="33"/>
  <c r="M236" i="33"/>
  <c r="M237" i="33"/>
  <c r="M238" i="33"/>
  <c r="M239" i="33"/>
  <c r="M240" i="33"/>
  <c r="M241" i="33"/>
  <c r="M242" i="33"/>
  <c r="M243" i="33"/>
  <c r="M244" i="33"/>
  <c r="M245" i="33"/>
  <c r="M246" i="33"/>
  <c r="M247" i="33"/>
  <c r="M248" i="33"/>
  <c r="M249" i="33"/>
  <c r="H93" i="33"/>
  <c r="H92" i="33"/>
  <c r="L208" i="33"/>
  <c r="U377" i="33"/>
  <c r="T377" i="33"/>
  <c r="S377" i="33"/>
  <c r="F17" i="33"/>
  <c r="F13" i="33"/>
  <c r="I12" i="33"/>
  <c r="H12" i="33"/>
  <c r="G12" i="33"/>
  <c r="F12" i="33"/>
  <c r="AT7" i="33"/>
  <c r="AS7" i="33"/>
  <c r="AP7" i="33"/>
  <c r="AO7" i="33"/>
  <c r="AL7" i="33"/>
  <c r="AK7" i="33"/>
  <c r="AH7" i="33"/>
  <c r="AG7" i="33"/>
  <c r="AD7" i="33"/>
  <c r="AC7" i="33"/>
  <c r="Z7" i="33"/>
  <c r="Y7" i="33"/>
  <c r="V7" i="33"/>
  <c r="U7" i="33"/>
  <c r="R7" i="33"/>
  <c r="Q7" i="33"/>
  <c r="AT6" i="33"/>
  <c r="AS6" i="33"/>
  <c r="AP6" i="33"/>
  <c r="AO6" i="33"/>
  <c r="AL6" i="33"/>
  <c r="AK6" i="33"/>
  <c r="AH6" i="33"/>
  <c r="AG6" i="33"/>
  <c r="AD6" i="33"/>
  <c r="AC6" i="33"/>
  <c r="Z6" i="33"/>
  <c r="Y6" i="33"/>
  <c r="V6" i="33"/>
  <c r="U6" i="33"/>
  <c r="R6" i="33"/>
  <c r="Q6" i="33"/>
  <c r="AT5" i="33"/>
  <c r="AS5" i="33"/>
  <c r="AP5" i="33"/>
  <c r="AO5" i="33"/>
  <c r="AL5" i="33"/>
  <c r="AK5" i="33"/>
  <c r="AH5" i="33"/>
  <c r="AG5" i="33"/>
  <c r="AD5" i="33"/>
  <c r="AC5" i="33"/>
  <c r="Z5" i="33"/>
  <c r="Y5" i="33"/>
  <c r="V5" i="33"/>
  <c r="U5" i="33"/>
  <c r="R5" i="33"/>
  <c r="Q5" i="33"/>
  <c r="AT4" i="33"/>
  <c r="AS4" i="33"/>
  <c r="AP4" i="33"/>
  <c r="AO4" i="33"/>
  <c r="AL4" i="33"/>
  <c r="AK4" i="33"/>
  <c r="AH4" i="33"/>
  <c r="AG4" i="33"/>
  <c r="AD4" i="33"/>
  <c r="AC4" i="33"/>
  <c r="Z4" i="33"/>
  <c r="Y4" i="33"/>
  <c r="V4" i="33"/>
  <c r="U4" i="33"/>
  <c r="R4" i="33"/>
  <c r="Q4" i="33"/>
  <c r="N34" i="33"/>
  <c r="N31" i="33"/>
  <c r="N198" i="33"/>
  <c r="N197" i="33"/>
  <c r="N196" i="33"/>
  <c r="N195" i="33"/>
  <c r="N194" i="33"/>
  <c r="N193" i="33"/>
  <c r="N192" i="33"/>
  <c r="N191" i="33"/>
  <c r="N190" i="33"/>
  <c r="N189" i="33"/>
  <c r="N188" i="33"/>
  <c r="M188" i="33"/>
  <c r="M189" i="33"/>
  <c r="M190" i="33"/>
  <c r="M191" i="33"/>
  <c r="M192" i="33"/>
  <c r="M193" i="33"/>
  <c r="M194" i="33"/>
  <c r="M195" i="33"/>
  <c r="M196" i="33"/>
  <c r="N187" i="33"/>
  <c r="M187" i="33"/>
  <c r="N168" i="33"/>
  <c r="M168" i="33"/>
  <c r="N322" i="33"/>
  <c r="N321" i="33"/>
  <c r="N320" i="33"/>
  <c r="N319" i="33"/>
  <c r="N318" i="33"/>
  <c r="N317" i="33"/>
  <c r="N316" i="33"/>
  <c r="N315" i="33"/>
  <c r="N314" i="33"/>
  <c r="M322" i="33"/>
  <c r="M321" i="33"/>
  <c r="M320" i="33"/>
  <c r="M319" i="33"/>
  <c r="M318" i="33"/>
  <c r="M317" i="33"/>
  <c r="M316" i="33"/>
  <c r="M315" i="33"/>
  <c r="M314" i="33"/>
  <c r="N313" i="33"/>
  <c r="M313" i="33"/>
  <c r="F9" i="34"/>
  <c r="F20" i="34"/>
  <c r="B280" i="34"/>
  <c r="L281" i="34"/>
  <c r="L282" i="34"/>
  <c r="L283" i="34"/>
  <c r="L284" i="34"/>
  <c r="W4" i="34"/>
  <c r="AI4" i="34"/>
  <c r="S4" i="34"/>
  <c r="L174" i="34"/>
  <c r="L175" i="34"/>
  <c r="W6" i="34"/>
  <c r="W5" i="34"/>
  <c r="G92" i="34"/>
  <c r="H92" i="34"/>
  <c r="I92" i="34"/>
  <c r="I8" i="34"/>
  <c r="R13" i="34"/>
  <c r="F347" i="34"/>
  <c r="F349" i="34"/>
  <c r="AE4" i="34"/>
  <c r="AU4" i="34"/>
  <c r="G8" i="34"/>
  <c r="G347" i="34"/>
  <c r="G349" i="34"/>
  <c r="AA4" i="34"/>
  <c r="AQ4" i="34"/>
  <c r="R16" i="34"/>
  <c r="AI6" i="34"/>
  <c r="AU5" i="34"/>
  <c r="B290" i="34"/>
  <c r="R14" i="34"/>
  <c r="AE5" i="34"/>
  <c r="R15" i="34"/>
  <c r="AE6" i="34"/>
  <c r="H347" i="34"/>
  <c r="H349" i="34"/>
  <c r="AQ5" i="34"/>
  <c r="AQ6" i="34"/>
  <c r="AM5" i="34"/>
  <c r="AM6" i="34"/>
  <c r="Q13" i="34"/>
  <c r="Q16" i="34"/>
  <c r="I9" i="34"/>
  <c r="H9" i="34"/>
  <c r="T4" i="34"/>
  <c r="X4" i="34"/>
  <c r="AB4" i="34"/>
  <c r="AF4" i="34"/>
  <c r="AJ4" i="34"/>
  <c r="AN4" i="34"/>
  <c r="AR4" i="34"/>
  <c r="AV4" i="34"/>
  <c r="S5" i="34"/>
  <c r="AI5" i="34"/>
  <c r="S6" i="34"/>
  <c r="S7" i="34"/>
  <c r="W7" i="34"/>
  <c r="AA7" i="34"/>
  <c r="AE7" i="34"/>
  <c r="AI7" i="34"/>
  <c r="AM7" i="34"/>
  <c r="AQ7" i="34"/>
  <c r="AU7" i="34"/>
  <c r="G9" i="34"/>
  <c r="H8" i="34"/>
  <c r="AV5" i="34"/>
  <c r="AV6" i="34"/>
  <c r="L261" i="34"/>
  <c r="L262" i="34"/>
  <c r="AU6" i="34"/>
  <c r="T7" i="34"/>
  <c r="X7" i="34"/>
  <c r="AB7" i="34"/>
  <c r="AF7" i="34"/>
  <c r="AJ7" i="34"/>
  <c r="AN7" i="34"/>
  <c r="AR7" i="34"/>
  <c r="Q14" i="34"/>
  <c r="AA5" i="34"/>
  <c r="Q15" i="34"/>
  <c r="AA6" i="34"/>
  <c r="F16" i="34"/>
  <c r="G13" i="34"/>
  <c r="B134" i="34"/>
  <c r="G23" i="34"/>
  <c r="G24" i="34"/>
  <c r="T5" i="34"/>
  <c r="X5" i="34"/>
  <c r="AB5" i="34"/>
  <c r="AF5" i="34"/>
  <c r="AJ5" i="34"/>
  <c r="AN5" i="34"/>
  <c r="AR5" i="34"/>
  <c r="T6" i="34"/>
  <c r="X6" i="34"/>
  <c r="AB6" i="34"/>
  <c r="AF6" i="34"/>
  <c r="AJ6" i="34"/>
  <c r="AN6" i="34"/>
  <c r="AR6" i="34"/>
  <c r="R8" i="34"/>
  <c r="R17" i="34"/>
  <c r="G342" i="34"/>
  <c r="F342" i="34"/>
  <c r="I342" i="34"/>
  <c r="H285" i="34"/>
  <c r="I275" i="34"/>
  <c r="H189" i="34"/>
  <c r="F168" i="34"/>
  <c r="G129" i="34"/>
  <c r="H342" i="34"/>
  <c r="G285" i="34"/>
  <c r="H275" i="34"/>
  <c r="H256" i="34"/>
  <c r="G189" i="34"/>
  <c r="I168" i="34"/>
  <c r="G256" i="34"/>
  <c r="I285" i="34"/>
  <c r="G275" i="34"/>
  <c r="F256" i="34"/>
  <c r="F285" i="34"/>
  <c r="F275" i="34"/>
  <c r="I189" i="34"/>
  <c r="G62" i="34"/>
  <c r="G168" i="34"/>
  <c r="F129" i="34"/>
  <c r="H62" i="34"/>
  <c r="F62" i="34"/>
  <c r="B69" i="34"/>
  <c r="L70" i="34"/>
  <c r="H168" i="34"/>
  <c r="Q8" i="34"/>
  <c r="Q17" i="34"/>
  <c r="B29" i="34"/>
  <c r="L30" i="34"/>
  <c r="F23" i="34"/>
  <c r="F24" i="34"/>
  <c r="I23" i="34"/>
  <c r="I24" i="34"/>
  <c r="H23" i="34"/>
  <c r="H24" i="34"/>
  <c r="G17" i="34"/>
  <c r="I17" i="34"/>
  <c r="H17" i="34"/>
  <c r="H129" i="34"/>
  <c r="I62" i="34"/>
  <c r="F132" i="34"/>
  <c r="G104" i="34"/>
  <c r="H104" i="34"/>
  <c r="I104" i="34"/>
  <c r="I13" i="34"/>
  <c r="H13" i="34"/>
  <c r="L136" i="34"/>
  <c r="F189" i="34"/>
  <c r="B279" i="34"/>
  <c r="B196" i="34"/>
  <c r="L197" i="34"/>
  <c r="B292" i="34"/>
  <c r="L293" i="34"/>
  <c r="B16" i="21"/>
  <c r="L227" i="3"/>
  <c r="I30" i="33"/>
  <c r="H30" i="33"/>
  <c r="G30" i="33"/>
  <c r="F30" i="33"/>
  <c r="L176" i="34"/>
  <c r="L177" i="34"/>
  <c r="L178" i="34"/>
  <c r="L179" i="34"/>
  <c r="L180" i="34"/>
  <c r="L181" i="34"/>
  <c r="L182" i="34"/>
  <c r="L183" i="34"/>
  <c r="L184" i="34"/>
  <c r="L185" i="34"/>
  <c r="L186" i="34"/>
  <c r="L187" i="34"/>
  <c r="B187" i="34"/>
  <c r="B175" i="34"/>
  <c r="G16" i="34"/>
  <c r="B261" i="34"/>
  <c r="W8" i="34"/>
  <c r="B174" i="34"/>
  <c r="I256" i="34"/>
  <c r="AI8" i="34"/>
  <c r="T8" i="34"/>
  <c r="S13" i="34"/>
  <c r="AE8" i="34"/>
  <c r="S8" i="34"/>
  <c r="AF8" i="34"/>
  <c r="AM8" i="34"/>
  <c r="AQ8" i="34"/>
  <c r="AN8" i="34"/>
  <c r="G20" i="34"/>
  <c r="AA8" i="34"/>
  <c r="AV8" i="34"/>
  <c r="AU8" i="34"/>
  <c r="AR8" i="34"/>
  <c r="AB8" i="34"/>
  <c r="S15" i="34"/>
  <c r="T16" i="34"/>
  <c r="X8" i="34"/>
  <c r="S14" i="34"/>
  <c r="T13" i="34"/>
  <c r="AJ8" i="34"/>
  <c r="S16" i="34"/>
  <c r="I16" i="34"/>
  <c r="T14" i="34"/>
  <c r="T15" i="34"/>
  <c r="F64" i="34"/>
  <c r="F5" i="34"/>
  <c r="F6" i="34"/>
  <c r="G64" i="34"/>
  <c r="G5" i="34"/>
  <c r="G6" i="34"/>
  <c r="B30" i="34"/>
  <c r="L31" i="34"/>
  <c r="B70" i="34"/>
  <c r="L71" i="34"/>
  <c r="H64" i="34"/>
  <c r="H5" i="34"/>
  <c r="H6" i="34"/>
  <c r="I129" i="34"/>
  <c r="L137" i="34"/>
  <c r="B136" i="34"/>
  <c r="F138" i="34"/>
  <c r="G132" i="34"/>
  <c r="H132" i="34"/>
  <c r="I132" i="34"/>
  <c r="H20" i="34"/>
  <c r="B262" i="34"/>
  <c r="L263" i="34"/>
  <c r="B281" i="34"/>
  <c r="I64" i="34"/>
  <c r="I5" i="34"/>
  <c r="I6" i="34"/>
  <c r="B293" i="34"/>
  <c r="L294" i="34"/>
  <c r="L198" i="34"/>
  <c r="L199" i="34"/>
  <c r="B197" i="34"/>
  <c r="H16" i="34"/>
  <c r="I20" i="34"/>
  <c r="G343" i="33"/>
  <c r="H343" i="33"/>
  <c r="I343" i="33"/>
  <c r="B177" i="34"/>
  <c r="B176" i="34"/>
  <c r="S17" i="34"/>
  <c r="T17" i="34"/>
  <c r="B198" i="34"/>
  <c r="I14" i="34"/>
  <c r="I10" i="34"/>
  <c r="L264" i="34"/>
  <c r="B263" i="34"/>
  <c r="F142" i="34"/>
  <c r="G138" i="34"/>
  <c r="H138" i="34"/>
  <c r="I138" i="34"/>
  <c r="H14" i="34"/>
  <c r="H10" i="34"/>
  <c r="G10" i="34"/>
  <c r="G14" i="34"/>
  <c r="B282" i="34"/>
  <c r="L139" i="34"/>
  <c r="L140" i="34"/>
  <c r="B137" i="34"/>
  <c r="B294" i="34"/>
  <c r="L295" i="34"/>
  <c r="L32" i="34"/>
  <c r="B31" i="34"/>
  <c r="F14" i="34"/>
  <c r="F10" i="34"/>
  <c r="B71" i="34"/>
  <c r="F9" i="33"/>
  <c r="F347" i="33"/>
  <c r="G353" i="33"/>
  <c r="H353" i="33"/>
  <c r="I353" i="33"/>
  <c r="B140" i="34"/>
  <c r="L141" i="34"/>
  <c r="L143" i="34"/>
  <c r="L144" i="34"/>
  <c r="L145" i="34"/>
  <c r="B178" i="34"/>
  <c r="B32" i="34"/>
  <c r="L33" i="34"/>
  <c r="B264" i="34"/>
  <c r="L265" i="34"/>
  <c r="B73" i="34"/>
  <c r="L74" i="34"/>
  <c r="B295" i="34"/>
  <c r="L296" i="34"/>
  <c r="B139" i="34"/>
  <c r="G142" i="34"/>
  <c r="H142" i="34"/>
  <c r="I142" i="34"/>
  <c r="F148" i="34"/>
  <c r="B284" i="34"/>
  <c r="B283" i="34"/>
  <c r="M219" i="33"/>
  <c r="M220" i="33"/>
  <c r="G222" i="33"/>
  <c r="B179" i="34"/>
  <c r="L146" i="34"/>
  <c r="L147" i="34"/>
  <c r="L149" i="34"/>
  <c r="B141" i="34"/>
  <c r="B74" i="34"/>
  <c r="L75" i="34"/>
  <c r="L34" i="34"/>
  <c r="B33" i="34"/>
  <c r="B199" i="34"/>
  <c r="L200" i="34"/>
  <c r="G148" i="34"/>
  <c r="H148" i="34"/>
  <c r="I148" i="34"/>
  <c r="F155" i="34"/>
  <c r="B296" i="34"/>
  <c r="L297" i="34"/>
  <c r="L266" i="34"/>
  <c r="L267" i="34"/>
  <c r="L268" i="34"/>
  <c r="L269" i="34"/>
  <c r="L270" i="34"/>
  <c r="L271" i="34"/>
  <c r="L272" i="34"/>
  <c r="L273" i="34"/>
  <c r="L274" i="34"/>
  <c r="B265" i="34"/>
  <c r="H222" i="33"/>
  <c r="G9" i="33"/>
  <c r="M164" i="33"/>
  <c r="N164" i="33"/>
  <c r="M163" i="33"/>
  <c r="N163" i="33"/>
  <c r="B180" i="34"/>
  <c r="B268" i="34"/>
  <c r="L76" i="34"/>
  <c r="B75" i="34"/>
  <c r="F162" i="34"/>
  <c r="G155" i="34"/>
  <c r="H155" i="34"/>
  <c r="I155" i="34"/>
  <c r="B266" i="34"/>
  <c r="B297" i="34"/>
  <c r="L298" i="34"/>
  <c r="L204" i="34"/>
  <c r="B200" i="34"/>
  <c r="B34" i="34"/>
  <c r="L35" i="34"/>
  <c r="I222" i="33"/>
  <c r="I9" i="33"/>
  <c r="H9" i="33"/>
  <c r="G120" i="33"/>
  <c r="H120" i="33"/>
  <c r="I120" i="33"/>
  <c r="G121" i="33"/>
  <c r="H121" i="33"/>
  <c r="I121" i="33"/>
  <c r="B181" i="34"/>
  <c r="B298" i="34"/>
  <c r="L299" i="34"/>
  <c r="F171" i="34"/>
  <c r="G162" i="34"/>
  <c r="H162" i="34"/>
  <c r="I162" i="34"/>
  <c r="B35" i="34"/>
  <c r="L36" i="34"/>
  <c r="B204" i="34"/>
  <c r="L207" i="34"/>
  <c r="B76" i="34"/>
  <c r="L77" i="34"/>
  <c r="G118" i="33"/>
  <c r="H118" i="33"/>
  <c r="I118" i="33"/>
  <c r="G119" i="33"/>
  <c r="G110" i="33"/>
  <c r="G111" i="33"/>
  <c r="H111" i="33"/>
  <c r="I111" i="33"/>
  <c r="G115" i="33"/>
  <c r="H115" i="33"/>
  <c r="I115" i="33"/>
  <c r="G116" i="33"/>
  <c r="H116" i="33"/>
  <c r="I116" i="33"/>
  <c r="G117" i="33"/>
  <c r="H117" i="33"/>
  <c r="I117" i="33"/>
  <c r="G113" i="33"/>
  <c r="H113" i="33"/>
  <c r="I113" i="33"/>
  <c r="G114" i="33"/>
  <c r="H114" i="33"/>
  <c r="I114" i="33"/>
  <c r="G112" i="33"/>
  <c r="H112" i="33"/>
  <c r="I112" i="33"/>
  <c r="G122" i="33"/>
  <c r="H122" i="33"/>
  <c r="I122" i="33"/>
  <c r="M177" i="33"/>
  <c r="N177" i="33"/>
  <c r="L69" i="33"/>
  <c r="B69" i="33"/>
  <c r="L208" i="34"/>
  <c r="B207" i="34"/>
  <c r="B143" i="34"/>
  <c r="F191" i="34"/>
  <c r="G171" i="34"/>
  <c r="H171" i="34"/>
  <c r="I171" i="34"/>
  <c r="B77" i="34"/>
  <c r="L78" i="34"/>
  <c r="B36" i="34"/>
  <c r="L37" i="34"/>
  <c r="B299" i="34"/>
  <c r="L300" i="34"/>
  <c r="H110" i="33"/>
  <c r="G13" i="33"/>
  <c r="H119" i="33"/>
  <c r="G17" i="33"/>
  <c r="L70" i="33"/>
  <c r="B182" i="34"/>
  <c r="B300" i="34"/>
  <c r="L301" i="34"/>
  <c r="L79" i="34"/>
  <c r="B78" i="34"/>
  <c r="B144" i="34"/>
  <c r="B37" i="34"/>
  <c r="L38" i="34"/>
  <c r="F195" i="34"/>
  <c r="G191" i="34"/>
  <c r="H191" i="34"/>
  <c r="I191" i="34"/>
  <c r="L209" i="34"/>
  <c r="B208" i="34"/>
  <c r="I119" i="33"/>
  <c r="I17" i="33"/>
  <c r="H17" i="33"/>
  <c r="I110" i="33"/>
  <c r="I13" i="33"/>
  <c r="H13" i="33"/>
  <c r="L71" i="33"/>
  <c r="B70" i="33"/>
  <c r="B183" i="34"/>
  <c r="G195" i="34"/>
  <c r="H195" i="34"/>
  <c r="I195" i="34"/>
  <c r="F203" i="34"/>
  <c r="B79" i="34"/>
  <c r="L80" i="34"/>
  <c r="B145" i="34"/>
  <c r="B301" i="34"/>
  <c r="L302" i="34"/>
  <c r="B38" i="34"/>
  <c r="L39" i="34"/>
  <c r="L210" i="34"/>
  <c r="B209" i="34"/>
  <c r="B267" i="34"/>
  <c r="L72" i="33"/>
  <c r="B71" i="33"/>
  <c r="B184" i="34"/>
  <c r="L81" i="34"/>
  <c r="B80" i="34"/>
  <c r="B302" i="34"/>
  <c r="L303" i="34"/>
  <c r="L211" i="34"/>
  <c r="B210" i="34"/>
  <c r="B269" i="34"/>
  <c r="B39" i="34"/>
  <c r="L40" i="34"/>
  <c r="F206" i="34"/>
  <c r="G203" i="34"/>
  <c r="H203" i="34"/>
  <c r="I203" i="34"/>
  <c r="B72" i="33"/>
  <c r="L73" i="33"/>
  <c r="B185" i="34"/>
  <c r="B146" i="34"/>
  <c r="B303" i="34"/>
  <c r="L304" i="34"/>
  <c r="B270" i="34"/>
  <c r="B40" i="34"/>
  <c r="L41" i="34"/>
  <c r="F218" i="34"/>
  <c r="G206" i="34"/>
  <c r="H206" i="34"/>
  <c r="I206" i="34"/>
  <c r="L212" i="34"/>
  <c r="B211" i="34"/>
  <c r="B81" i="34"/>
  <c r="L82" i="34"/>
  <c r="L74" i="33"/>
  <c r="B73" i="33"/>
  <c r="L188" i="34"/>
  <c r="B186" i="34"/>
  <c r="B41" i="34"/>
  <c r="L42" i="34"/>
  <c r="L213" i="34"/>
  <c r="B212" i="34"/>
  <c r="B82" i="34"/>
  <c r="L83" i="34"/>
  <c r="B271" i="34"/>
  <c r="B147" i="34"/>
  <c r="B304" i="34"/>
  <c r="L305" i="34"/>
  <c r="F226" i="34"/>
  <c r="F222" i="34"/>
  <c r="G222" i="34"/>
  <c r="H222" i="34"/>
  <c r="I222" i="34"/>
  <c r="G218" i="34"/>
  <c r="H218" i="34"/>
  <c r="I218" i="34"/>
  <c r="L75" i="33"/>
  <c r="B74" i="33"/>
  <c r="B185" i="33"/>
  <c r="B272" i="34"/>
  <c r="L214" i="34"/>
  <c r="B213" i="34"/>
  <c r="B305" i="34"/>
  <c r="L306" i="34"/>
  <c r="B83" i="34"/>
  <c r="L84" i="34"/>
  <c r="B42" i="34"/>
  <c r="L43" i="34"/>
  <c r="F230" i="34"/>
  <c r="G230" i="34"/>
  <c r="H230" i="34"/>
  <c r="I230" i="34"/>
  <c r="F238" i="34"/>
  <c r="G226" i="34"/>
  <c r="H226" i="34"/>
  <c r="I226" i="34"/>
  <c r="L76" i="33"/>
  <c r="B75" i="33"/>
  <c r="G175" i="33"/>
  <c r="H175" i="33"/>
  <c r="I175" i="33"/>
  <c r="H174" i="33"/>
  <c r="I174" i="33"/>
  <c r="G176" i="33"/>
  <c r="H176" i="33"/>
  <c r="I176" i="33"/>
  <c r="B183" i="33"/>
  <c r="G238" i="34"/>
  <c r="H238" i="34"/>
  <c r="I238" i="34"/>
  <c r="F258" i="34"/>
  <c r="B84" i="34"/>
  <c r="L85" i="34"/>
  <c r="L215" i="34"/>
  <c r="B214" i="34"/>
  <c r="B43" i="34"/>
  <c r="L44" i="34"/>
  <c r="B306" i="34"/>
  <c r="L307" i="34"/>
  <c r="B273" i="34"/>
  <c r="B149" i="34"/>
  <c r="L150" i="34"/>
  <c r="L77" i="33"/>
  <c r="B76" i="33"/>
  <c r="F361" i="33"/>
  <c r="F360" i="33"/>
  <c r="F141" i="33"/>
  <c r="F16" i="33"/>
  <c r="H141" i="33"/>
  <c r="G141" i="33"/>
  <c r="G16" i="33"/>
  <c r="B44" i="34"/>
  <c r="L45" i="34"/>
  <c r="B85" i="34"/>
  <c r="L86" i="34"/>
  <c r="B150" i="34"/>
  <c r="L151" i="34"/>
  <c r="F277" i="34"/>
  <c r="G258" i="34"/>
  <c r="H258" i="34"/>
  <c r="I258" i="34"/>
  <c r="B307" i="34"/>
  <c r="L308" i="34"/>
  <c r="L216" i="34"/>
  <c r="B215" i="34"/>
  <c r="I141" i="33"/>
  <c r="I16" i="33"/>
  <c r="H16" i="33"/>
  <c r="L78" i="33"/>
  <c r="B77" i="33"/>
  <c r="F154" i="33"/>
  <c r="F8" i="33"/>
  <c r="B86" i="34"/>
  <c r="L87" i="34"/>
  <c r="L219" i="34"/>
  <c r="B216" i="34"/>
  <c r="F288" i="34"/>
  <c r="G277" i="34"/>
  <c r="H277" i="34"/>
  <c r="I277" i="34"/>
  <c r="B308" i="34"/>
  <c r="L309" i="34"/>
  <c r="B151" i="34"/>
  <c r="L152" i="34"/>
  <c r="L46" i="34"/>
  <c r="B45" i="34"/>
  <c r="L79" i="33"/>
  <c r="B78" i="33"/>
  <c r="B46" i="34"/>
  <c r="L47" i="34"/>
  <c r="L220" i="34"/>
  <c r="B219" i="34"/>
  <c r="B309" i="34"/>
  <c r="L310" i="34"/>
  <c r="L88" i="34"/>
  <c r="B87" i="34"/>
  <c r="B152" i="34"/>
  <c r="L153" i="34"/>
  <c r="L154" i="34"/>
  <c r="L156" i="34"/>
  <c r="F291" i="34"/>
  <c r="G288" i="34"/>
  <c r="H288" i="34"/>
  <c r="I288" i="34"/>
  <c r="L80" i="33"/>
  <c r="B79" i="33"/>
  <c r="G154" i="33"/>
  <c r="G8" i="33"/>
  <c r="N108" i="33"/>
  <c r="M108" i="33"/>
  <c r="F316" i="34"/>
  <c r="G316" i="34"/>
  <c r="H316" i="34"/>
  <c r="I316" i="34"/>
  <c r="G291" i="34"/>
  <c r="H291" i="34"/>
  <c r="I291" i="34"/>
  <c r="L223" i="34"/>
  <c r="B220" i="34"/>
  <c r="B88" i="34"/>
  <c r="L89" i="34"/>
  <c r="B153" i="34"/>
  <c r="B310" i="34"/>
  <c r="L311" i="34"/>
  <c r="L48" i="34"/>
  <c r="B47" i="34"/>
  <c r="B208" i="33"/>
  <c r="L209" i="33"/>
  <c r="L81" i="33"/>
  <c r="B80" i="33"/>
  <c r="B293" i="33"/>
  <c r="M293" i="33"/>
  <c r="N293" i="33"/>
  <c r="L294" i="33"/>
  <c r="M294" i="33"/>
  <c r="N294" i="33"/>
  <c r="M296" i="33"/>
  <c r="N296" i="33"/>
  <c r="M297" i="33"/>
  <c r="N297" i="33"/>
  <c r="M298" i="33"/>
  <c r="N298" i="33"/>
  <c r="B303" i="33"/>
  <c r="M303" i="33"/>
  <c r="N303" i="33"/>
  <c r="S380" i="33"/>
  <c r="T380" i="33"/>
  <c r="U380" i="33"/>
  <c r="L304" i="33"/>
  <c r="M304" i="33"/>
  <c r="N304" i="33"/>
  <c r="B305" i="33"/>
  <c r="M306" i="33"/>
  <c r="N306" i="33"/>
  <c r="M307" i="33"/>
  <c r="N307" i="33"/>
  <c r="M308" i="33"/>
  <c r="N308" i="33"/>
  <c r="M309" i="33"/>
  <c r="N309" i="33"/>
  <c r="M310" i="33"/>
  <c r="N310" i="33"/>
  <c r="M311" i="33"/>
  <c r="N311" i="33"/>
  <c r="M312" i="33"/>
  <c r="N312" i="33"/>
  <c r="M323" i="33"/>
  <c r="N323" i="33"/>
  <c r="M324" i="33"/>
  <c r="N324" i="33"/>
  <c r="M325" i="33"/>
  <c r="N325" i="33"/>
  <c r="M329" i="33"/>
  <c r="N329" i="33"/>
  <c r="B330" i="33"/>
  <c r="M331" i="33"/>
  <c r="N331" i="33"/>
  <c r="M332" i="33"/>
  <c r="N332" i="33"/>
  <c r="M333" i="33"/>
  <c r="N333" i="33"/>
  <c r="M334" i="33"/>
  <c r="N334" i="33"/>
  <c r="M335" i="33"/>
  <c r="N335" i="33"/>
  <c r="M339" i="33"/>
  <c r="N339" i="33"/>
  <c r="B342" i="33"/>
  <c r="M343" i="33"/>
  <c r="N343" i="33"/>
  <c r="M344" i="33"/>
  <c r="N344" i="33"/>
  <c r="M345" i="33"/>
  <c r="N345" i="33"/>
  <c r="M346" i="33"/>
  <c r="N346" i="33"/>
  <c r="M355" i="33"/>
  <c r="N355" i="33"/>
  <c r="B356" i="33"/>
  <c r="G360" i="33"/>
  <c r="H360" i="33"/>
  <c r="G361" i="33"/>
  <c r="H361" i="33"/>
  <c r="F362" i="33"/>
  <c r="F363" i="33"/>
  <c r="G363" i="33"/>
  <c r="H363" i="33"/>
  <c r="F366" i="33"/>
  <c r="G366" i="33"/>
  <c r="H366" i="33"/>
  <c r="R373" i="33"/>
  <c r="R381" i="33"/>
  <c r="S373" i="33"/>
  <c r="S381" i="33"/>
  <c r="T373" i="33"/>
  <c r="T381" i="33"/>
  <c r="U373" i="33"/>
  <c r="U381" i="33"/>
  <c r="R374" i="33"/>
  <c r="S374" i="33"/>
  <c r="T374" i="33"/>
  <c r="U374" i="33"/>
  <c r="R375" i="33"/>
  <c r="S375" i="33"/>
  <c r="T375" i="33"/>
  <c r="U375" i="33"/>
  <c r="R376" i="33"/>
  <c r="S376" i="33"/>
  <c r="T376" i="33"/>
  <c r="U376" i="33"/>
  <c r="R377" i="33"/>
  <c r="R378" i="33"/>
  <c r="S378" i="33"/>
  <c r="T378" i="33"/>
  <c r="U378" i="33"/>
  <c r="R379" i="33"/>
  <c r="S379" i="33"/>
  <c r="T379" i="33"/>
  <c r="U379" i="33"/>
  <c r="R380" i="33"/>
  <c r="B272" i="33"/>
  <c r="M272" i="33"/>
  <c r="N272" i="33"/>
  <c r="L273" i="33"/>
  <c r="B273" i="33"/>
  <c r="M273" i="33"/>
  <c r="N273" i="33"/>
  <c r="M274" i="33"/>
  <c r="N274" i="33"/>
  <c r="B207" i="33"/>
  <c r="B214" i="33"/>
  <c r="B215" i="33"/>
  <c r="M216" i="33"/>
  <c r="N216" i="33"/>
  <c r="B217" i="33"/>
  <c r="B218" i="33"/>
  <c r="M221" i="33"/>
  <c r="N221" i="33"/>
  <c r="M222" i="33"/>
  <c r="N222" i="33"/>
  <c r="B230" i="33"/>
  <c r="B233" i="33"/>
  <c r="B234" i="33"/>
  <c r="B237" i="33"/>
  <c r="B238" i="33"/>
  <c r="B241" i="33"/>
  <c r="B242" i="33"/>
  <c r="B244" i="33"/>
  <c r="B245" i="33"/>
  <c r="B249" i="33"/>
  <c r="B250" i="33"/>
  <c r="M251" i="33"/>
  <c r="N251" i="33"/>
  <c r="M252" i="33"/>
  <c r="N252" i="33"/>
  <c r="M254" i="33"/>
  <c r="N254" i="33"/>
  <c r="M258" i="33"/>
  <c r="N258" i="33"/>
  <c r="M259" i="33"/>
  <c r="N259" i="33"/>
  <c r="M260" i="33"/>
  <c r="N260" i="33"/>
  <c r="M261" i="33"/>
  <c r="N261" i="33"/>
  <c r="M197" i="33"/>
  <c r="M198" i="33"/>
  <c r="B182" i="33"/>
  <c r="M182" i="33"/>
  <c r="N182" i="33"/>
  <c r="M186" i="33"/>
  <c r="N186" i="33"/>
  <c r="B137" i="33"/>
  <c r="B138" i="33"/>
  <c r="M138" i="33"/>
  <c r="N138" i="33"/>
  <c r="L139" i="33"/>
  <c r="M139" i="33"/>
  <c r="N139" i="33"/>
  <c r="M142" i="33"/>
  <c r="N142" i="33"/>
  <c r="B143" i="33"/>
  <c r="M144" i="33"/>
  <c r="N144" i="33"/>
  <c r="M145" i="33"/>
  <c r="N145" i="33"/>
  <c r="M147" i="33"/>
  <c r="N147" i="33"/>
  <c r="M149" i="33"/>
  <c r="N149" i="33"/>
  <c r="M150" i="33"/>
  <c r="N150" i="33"/>
  <c r="M152" i="33"/>
  <c r="N152" i="33"/>
  <c r="H154" i="33"/>
  <c r="H8" i="33"/>
  <c r="M154" i="33"/>
  <c r="N154" i="33"/>
  <c r="B155" i="33"/>
  <c r="M156" i="33"/>
  <c r="N156" i="33"/>
  <c r="M158" i="33"/>
  <c r="N158" i="33"/>
  <c r="M159" i="33"/>
  <c r="N159" i="33"/>
  <c r="M160" i="33"/>
  <c r="N160" i="33"/>
  <c r="M161" i="33"/>
  <c r="N161" i="33"/>
  <c r="M162" i="33"/>
  <c r="N162" i="33"/>
  <c r="M166" i="33"/>
  <c r="N166" i="33"/>
  <c r="M167" i="33"/>
  <c r="N167" i="33"/>
  <c r="M169" i="33"/>
  <c r="N169" i="33"/>
  <c r="M170" i="33"/>
  <c r="N170" i="33"/>
  <c r="M171" i="33"/>
  <c r="N171" i="33"/>
  <c r="B172" i="33"/>
  <c r="M173" i="33"/>
  <c r="N173" i="33"/>
  <c r="M175" i="33"/>
  <c r="N175" i="33"/>
  <c r="M176" i="33"/>
  <c r="N176" i="33"/>
  <c r="F91" i="33"/>
  <c r="M92" i="33"/>
  <c r="N92" i="33"/>
  <c r="M93" i="33"/>
  <c r="N93" i="33"/>
  <c r="M94" i="33"/>
  <c r="N94" i="33"/>
  <c r="M95" i="33"/>
  <c r="N95" i="33"/>
  <c r="M101" i="33"/>
  <c r="N101" i="33"/>
  <c r="M102" i="33"/>
  <c r="N102" i="33"/>
  <c r="M104" i="33"/>
  <c r="N104" i="33"/>
  <c r="M105" i="33"/>
  <c r="N105" i="33"/>
  <c r="M106" i="33"/>
  <c r="N106" i="33"/>
  <c r="M107" i="33"/>
  <c r="N107" i="33"/>
  <c r="H67" i="33"/>
  <c r="I67" i="33"/>
  <c r="B68" i="33"/>
  <c r="M68" i="33"/>
  <c r="N68" i="33"/>
  <c r="M69" i="33"/>
  <c r="N69" i="33"/>
  <c r="M70" i="33"/>
  <c r="N70" i="33"/>
  <c r="M81" i="33"/>
  <c r="N81" i="33"/>
  <c r="M74" i="33"/>
  <c r="N74" i="33"/>
  <c r="M87" i="33"/>
  <c r="N87" i="33"/>
  <c r="M88" i="33"/>
  <c r="N88" i="33"/>
  <c r="L29" i="33"/>
  <c r="L30" i="33"/>
  <c r="L31" i="33"/>
  <c r="O34" i="33"/>
  <c r="P34" i="33"/>
  <c r="F63" i="33"/>
  <c r="G63" i="33"/>
  <c r="Q8" i="33"/>
  <c r="U8" i="33"/>
  <c r="Y8" i="33"/>
  <c r="AC8" i="33"/>
  <c r="AG8" i="33"/>
  <c r="AK8" i="33"/>
  <c r="AO8" i="33"/>
  <c r="AS8" i="33"/>
  <c r="A5" i="33"/>
  <c r="B48" i="34"/>
  <c r="L49" i="34"/>
  <c r="B223" i="34"/>
  <c r="L224" i="34"/>
  <c r="B311" i="34"/>
  <c r="L312" i="34"/>
  <c r="B89" i="34"/>
  <c r="L90" i="34"/>
  <c r="AQ5" i="33"/>
  <c r="AI5" i="33"/>
  <c r="AA5" i="33"/>
  <c r="S5" i="33"/>
  <c r="AV5" i="33"/>
  <c r="AN5" i="33"/>
  <c r="AF5" i="33"/>
  <c r="X5" i="33"/>
  <c r="AU5" i="33"/>
  <c r="AM5" i="33"/>
  <c r="AE5" i="33"/>
  <c r="W5" i="33"/>
  <c r="AR5" i="33"/>
  <c r="AJ5" i="33"/>
  <c r="AB5" i="33"/>
  <c r="T5" i="33"/>
  <c r="AR6" i="33"/>
  <c r="AM6" i="33"/>
  <c r="AN6" i="33"/>
  <c r="S6" i="33"/>
  <c r="AI6" i="33"/>
  <c r="AE6" i="33"/>
  <c r="G23" i="33"/>
  <c r="AU6" i="33"/>
  <c r="T6" i="33"/>
  <c r="I23" i="33"/>
  <c r="AQ6" i="33"/>
  <c r="AV6" i="33"/>
  <c r="AA6" i="33"/>
  <c r="AB6" i="33"/>
  <c r="W6" i="33"/>
  <c r="X6" i="33"/>
  <c r="F23" i="33"/>
  <c r="H23" i="33"/>
  <c r="H24" i="33"/>
  <c r="AJ6" i="33"/>
  <c r="AF6" i="33"/>
  <c r="H357" i="33"/>
  <c r="H299" i="33"/>
  <c r="H290" i="33"/>
  <c r="H269" i="33"/>
  <c r="H201" i="33"/>
  <c r="H178" i="33"/>
  <c r="H134" i="33"/>
  <c r="H62" i="33"/>
  <c r="G357" i="33"/>
  <c r="G299" i="33"/>
  <c r="G290" i="33"/>
  <c r="G269" i="33"/>
  <c r="G201" i="33"/>
  <c r="G178" i="33"/>
  <c r="G134" i="33"/>
  <c r="G62" i="33"/>
  <c r="F357" i="33"/>
  <c r="F299" i="33"/>
  <c r="F290" i="33"/>
  <c r="F269" i="33"/>
  <c r="F201" i="33"/>
  <c r="F178" i="33"/>
  <c r="F134" i="33"/>
  <c r="F62" i="33"/>
  <c r="I357" i="33"/>
  <c r="I299" i="33"/>
  <c r="I290" i="33"/>
  <c r="I269" i="33"/>
  <c r="I201" i="33"/>
  <c r="I134" i="33"/>
  <c r="I62" i="33"/>
  <c r="AU7" i="33"/>
  <c r="AQ7" i="33"/>
  <c r="AQ4" i="33"/>
  <c r="AI4" i="33"/>
  <c r="AA4" i="33"/>
  <c r="S4" i="33"/>
  <c r="X7" i="33"/>
  <c r="AV4" i="33"/>
  <c r="AN4" i="33"/>
  <c r="AF4" i="33"/>
  <c r="X4" i="33"/>
  <c r="T4" i="33"/>
  <c r="AM7" i="33"/>
  <c r="AE7" i="33"/>
  <c r="W7" i="33"/>
  <c r="S7" i="33"/>
  <c r="AU4" i="33"/>
  <c r="AM4" i="33"/>
  <c r="AE4" i="33"/>
  <c r="W4" i="33"/>
  <c r="AV7" i="33"/>
  <c r="AR7" i="33"/>
  <c r="AN7" i="33"/>
  <c r="AJ7" i="33"/>
  <c r="AF7" i="33"/>
  <c r="AB7" i="33"/>
  <c r="T7" i="33"/>
  <c r="AR4" i="33"/>
  <c r="AJ4" i="33"/>
  <c r="AB4" i="33"/>
  <c r="AI7" i="33"/>
  <c r="AA7" i="33"/>
  <c r="B294" i="33"/>
  <c r="L295" i="33"/>
  <c r="L210" i="33"/>
  <c r="B209" i="33"/>
  <c r="L82" i="33"/>
  <c r="B81" i="33"/>
  <c r="G362" i="33"/>
  <c r="B139" i="33"/>
  <c r="L140" i="33"/>
  <c r="F24" i="33"/>
  <c r="I24" i="33"/>
  <c r="G24" i="33"/>
  <c r="I154" i="33"/>
  <c r="I8" i="33"/>
  <c r="B304" i="33"/>
  <c r="L306" i="33"/>
  <c r="H362" i="33"/>
  <c r="H364" i="33"/>
  <c r="G364" i="33"/>
  <c r="F364" i="33"/>
  <c r="B29" i="33"/>
  <c r="L274" i="33"/>
  <c r="L275" i="33"/>
  <c r="I63" i="33"/>
  <c r="Q16" i="33"/>
  <c r="Q15" i="33"/>
  <c r="Q14" i="33"/>
  <c r="Q13" i="33"/>
  <c r="Q17" i="33"/>
  <c r="B31" i="33"/>
  <c r="L32" i="33"/>
  <c r="G91" i="33"/>
  <c r="H91" i="33"/>
  <c r="I91" i="33"/>
  <c r="F103" i="33"/>
  <c r="B30" i="33"/>
  <c r="B184" i="33"/>
  <c r="L93" i="34"/>
  <c r="B90" i="34"/>
  <c r="B224" i="34"/>
  <c r="L227" i="34"/>
  <c r="B154" i="34"/>
  <c r="L157" i="34"/>
  <c r="B156" i="34"/>
  <c r="B312" i="34"/>
  <c r="L313" i="34"/>
  <c r="B49" i="34"/>
  <c r="L50" i="34"/>
  <c r="I178" i="33"/>
  <c r="F20" i="33"/>
  <c r="L296" i="33"/>
  <c r="B295" i="33"/>
  <c r="L211" i="33"/>
  <c r="B210" i="33"/>
  <c r="L83" i="33"/>
  <c r="B82" i="33"/>
  <c r="L141" i="33"/>
  <c r="B140" i="33"/>
  <c r="L276" i="33"/>
  <c r="B275" i="33"/>
  <c r="AI8" i="33"/>
  <c r="AU8" i="33"/>
  <c r="G20" i="33"/>
  <c r="AQ8" i="33"/>
  <c r="T8" i="33"/>
  <c r="S8" i="33"/>
  <c r="AJ8" i="33"/>
  <c r="V8" i="33"/>
  <c r="H20" i="33"/>
  <c r="AN8" i="33"/>
  <c r="AB8" i="33"/>
  <c r="AL8" i="33"/>
  <c r="R8" i="33"/>
  <c r="R15" i="33"/>
  <c r="H63" i="33"/>
  <c r="H64" i="33"/>
  <c r="S16" i="33"/>
  <c r="T16" i="33"/>
  <c r="AV8" i="33"/>
  <c r="T13" i="33"/>
  <c r="AE8" i="33"/>
  <c r="S14" i="33"/>
  <c r="R16" i="33"/>
  <c r="AF8" i="33"/>
  <c r="AR8" i="33"/>
  <c r="T15" i="33"/>
  <c r="W8" i="33"/>
  <c r="R14" i="33"/>
  <c r="X8" i="33"/>
  <c r="Z8" i="33"/>
  <c r="AP8" i="33"/>
  <c r="S13" i="33"/>
  <c r="S15" i="33"/>
  <c r="AD8" i="33"/>
  <c r="AT8" i="33"/>
  <c r="AA8" i="33"/>
  <c r="AM8" i="33"/>
  <c r="AH8" i="33"/>
  <c r="R13" i="33"/>
  <c r="T14" i="33"/>
  <c r="B274" i="33"/>
  <c r="F64" i="33"/>
  <c r="F5" i="33"/>
  <c r="F6" i="33"/>
  <c r="G5" i="33"/>
  <c r="G6" i="33"/>
  <c r="G64" i="33"/>
  <c r="H5" i="33"/>
  <c r="H6" i="33"/>
  <c r="B186" i="33"/>
  <c r="I64" i="33"/>
  <c r="I5" i="33"/>
  <c r="I6" i="33"/>
  <c r="F137" i="33"/>
  <c r="G103" i="33"/>
  <c r="H103" i="33"/>
  <c r="I103" i="33"/>
  <c r="L33" i="33"/>
  <c r="B32" i="33"/>
  <c r="B50" i="34"/>
  <c r="L51" i="34"/>
  <c r="L228" i="34"/>
  <c r="B227" i="34"/>
  <c r="L158" i="34"/>
  <c r="B157" i="34"/>
  <c r="B313" i="34"/>
  <c r="L314" i="34"/>
  <c r="L94" i="34"/>
  <c r="B93" i="34"/>
  <c r="F14" i="33"/>
  <c r="L297" i="33"/>
  <c r="B296" i="33"/>
  <c r="I20" i="33"/>
  <c r="L212" i="33"/>
  <c r="B211" i="33"/>
  <c r="B83" i="33"/>
  <c r="L84" i="33"/>
  <c r="L142" i="33"/>
  <c r="B141" i="33"/>
  <c r="B276" i="33"/>
  <c r="L277" i="33"/>
  <c r="B306" i="33"/>
  <c r="L307" i="33"/>
  <c r="B307" i="33"/>
  <c r="T17" i="33"/>
  <c r="S17" i="33"/>
  <c r="R17" i="33"/>
  <c r="G14" i="33"/>
  <c r="G10" i="33"/>
  <c r="G137" i="33"/>
  <c r="H137" i="33"/>
  <c r="I137" i="33"/>
  <c r="F143" i="33"/>
  <c r="I14" i="33"/>
  <c r="I10" i="33"/>
  <c r="B187" i="33"/>
  <c r="F10" i="33"/>
  <c r="L34" i="33"/>
  <c r="L35" i="33"/>
  <c r="B33" i="33"/>
  <c r="H14" i="33"/>
  <c r="H10" i="33"/>
  <c r="L231" i="34"/>
  <c r="B228" i="34"/>
  <c r="B51" i="34"/>
  <c r="L52" i="34"/>
  <c r="B314" i="34"/>
  <c r="L315" i="34"/>
  <c r="L95" i="34"/>
  <c r="B94" i="34"/>
  <c r="L159" i="34"/>
  <c r="B158" i="34"/>
  <c r="L298" i="33"/>
  <c r="B298" i="33"/>
  <c r="B297" i="33"/>
  <c r="L213" i="33"/>
  <c r="B212" i="33"/>
  <c r="L85" i="33"/>
  <c r="B84" i="33"/>
  <c r="L144" i="33"/>
  <c r="B142" i="33"/>
  <c r="B277" i="33"/>
  <c r="L278" i="33"/>
  <c r="L279" i="33"/>
  <c r="L308" i="33"/>
  <c r="B34" i="33"/>
  <c r="B188" i="33"/>
  <c r="G143" i="33"/>
  <c r="H143" i="33"/>
  <c r="I143" i="33"/>
  <c r="F148" i="33"/>
  <c r="B52" i="34"/>
  <c r="L53" i="34"/>
  <c r="B95" i="34"/>
  <c r="L96" i="34"/>
  <c r="L317" i="34"/>
  <c r="B315" i="34"/>
  <c r="L160" i="34"/>
  <c r="B159" i="34"/>
  <c r="B231" i="34"/>
  <c r="L234" i="34"/>
  <c r="B213" i="33"/>
  <c r="L216" i="33"/>
  <c r="L219" i="33"/>
  <c r="L86" i="33"/>
  <c r="B85" i="33"/>
  <c r="L280" i="33"/>
  <c r="B279" i="33"/>
  <c r="B278" i="33"/>
  <c r="L145" i="33"/>
  <c r="L146" i="33"/>
  <c r="B144" i="33"/>
  <c r="L309" i="33"/>
  <c r="B308" i="33"/>
  <c r="G148" i="33"/>
  <c r="H148" i="33"/>
  <c r="I148" i="33"/>
  <c r="F155" i="33"/>
  <c r="B189" i="33"/>
  <c r="B96" i="34"/>
  <c r="L97" i="34"/>
  <c r="L235" i="34"/>
  <c r="B234" i="34"/>
  <c r="L54" i="34"/>
  <c r="B53" i="34"/>
  <c r="L161" i="34"/>
  <c r="B160" i="34"/>
  <c r="L318" i="34"/>
  <c r="B317" i="34"/>
  <c r="B219" i="33"/>
  <c r="L220" i="33"/>
  <c r="B146" i="33"/>
  <c r="L147" i="33"/>
  <c r="L87" i="33"/>
  <c r="B86" i="33"/>
  <c r="L281" i="33"/>
  <c r="B280" i="33"/>
  <c r="B145" i="33"/>
  <c r="L310" i="33"/>
  <c r="L311" i="33"/>
  <c r="B309" i="33"/>
  <c r="B190" i="33"/>
  <c r="B35" i="33"/>
  <c r="L36" i="33"/>
  <c r="F165" i="33"/>
  <c r="G155" i="33"/>
  <c r="H155" i="33"/>
  <c r="I155" i="33"/>
  <c r="L163" i="34"/>
  <c r="B161" i="34"/>
  <c r="L236" i="34"/>
  <c r="B235" i="34"/>
  <c r="B97" i="34"/>
  <c r="L98" i="34"/>
  <c r="L319" i="34"/>
  <c r="B318" i="34"/>
  <c r="B54" i="34"/>
  <c r="L55" i="34"/>
  <c r="B220" i="33"/>
  <c r="L221" i="33"/>
  <c r="L222" i="33"/>
  <c r="L223" i="33"/>
  <c r="L88" i="33"/>
  <c r="B87" i="33"/>
  <c r="L282" i="33"/>
  <c r="B281" i="33"/>
  <c r="L149" i="33"/>
  <c r="B147" i="33"/>
  <c r="B310" i="33"/>
  <c r="B36" i="33"/>
  <c r="L37" i="33"/>
  <c r="G165" i="33"/>
  <c r="H165" i="33"/>
  <c r="I165" i="33"/>
  <c r="F172" i="33"/>
  <c r="L164" i="34"/>
  <c r="B163" i="34"/>
  <c r="L320" i="34"/>
  <c r="B319" i="34"/>
  <c r="L239" i="34"/>
  <c r="B236" i="34"/>
  <c r="L56" i="34"/>
  <c r="B55" i="34"/>
  <c r="L99" i="34"/>
  <c r="B98" i="34"/>
  <c r="L224" i="33"/>
  <c r="B223" i="33"/>
  <c r="L89" i="33"/>
  <c r="B88" i="33"/>
  <c r="B282" i="33"/>
  <c r="L283" i="33"/>
  <c r="B191" i="33"/>
  <c r="L150" i="33"/>
  <c r="L151" i="33"/>
  <c r="B149" i="33"/>
  <c r="F181" i="33"/>
  <c r="G172" i="33"/>
  <c r="H172" i="33"/>
  <c r="I172" i="33"/>
  <c r="L38" i="33"/>
  <c r="B37" i="33"/>
  <c r="B102" i="33"/>
  <c r="B56" i="34"/>
  <c r="L57" i="34"/>
  <c r="L321" i="34"/>
  <c r="B320" i="34"/>
  <c r="B99" i="34"/>
  <c r="L100" i="34"/>
  <c r="L240" i="34"/>
  <c r="L241" i="34"/>
  <c r="B239" i="34"/>
  <c r="B164" i="34"/>
  <c r="L165" i="34"/>
  <c r="L225" i="33"/>
  <c r="B224" i="33"/>
  <c r="B151" i="33"/>
  <c r="L152" i="33"/>
  <c r="L153" i="33"/>
  <c r="L92" i="33"/>
  <c r="B89" i="33"/>
  <c r="B192" i="33"/>
  <c r="L284" i="33"/>
  <c r="B283" i="33"/>
  <c r="B150" i="33"/>
  <c r="L39" i="33"/>
  <c r="L40" i="33"/>
  <c r="B38" i="33"/>
  <c r="F203" i="33"/>
  <c r="G181" i="33"/>
  <c r="H181" i="33"/>
  <c r="I181" i="33"/>
  <c r="L322" i="34"/>
  <c r="B321" i="34"/>
  <c r="L166" i="34"/>
  <c r="B165" i="34"/>
  <c r="L101" i="34"/>
  <c r="B100" i="34"/>
  <c r="B57" i="34"/>
  <c r="L58" i="34"/>
  <c r="B240" i="34"/>
  <c r="L226" i="33"/>
  <c r="L227" i="33"/>
  <c r="B225" i="33"/>
  <c r="B153" i="33"/>
  <c r="L154" i="33"/>
  <c r="L156" i="33"/>
  <c r="L93" i="33"/>
  <c r="B92" i="33"/>
  <c r="L285" i="33"/>
  <c r="B284" i="33"/>
  <c r="B152" i="33"/>
  <c r="B311" i="33"/>
  <c r="L312" i="33"/>
  <c r="L313" i="33"/>
  <c r="B39" i="33"/>
  <c r="G203" i="33"/>
  <c r="H203" i="33"/>
  <c r="I203" i="33"/>
  <c r="F207" i="33"/>
  <c r="B58" i="34"/>
  <c r="L59" i="34"/>
  <c r="B166" i="34"/>
  <c r="L167" i="34"/>
  <c r="B167" i="34"/>
  <c r="B241" i="34"/>
  <c r="B101" i="34"/>
  <c r="L102" i="34"/>
  <c r="B322" i="34"/>
  <c r="L323" i="34"/>
  <c r="B226" i="33"/>
  <c r="L94" i="33"/>
  <c r="B93" i="33"/>
  <c r="B193" i="33"/>
  <c r="L314" i="33"/>
  <c r="B313" i="33"/>
  <c r="L286" i="33"/>
  <c r="B285" i="33"/>
  <c r="B154" i="33"/>
  <c r="B312" i="33"/>
  <c r="G207" i="33"/>
  <c r="H207" i="33"/>
  <c r="I207" i="33"/>
  <c r="F215" i="33"/>
  <c r="B102" i="34"/>
  <c r="L105" i="34"/>
  <c r="B59" i="34"/>
  <c r="L60" i="34"/>
  <c r="L324" i="34"/>
  <c r="B323" i="34"/>
  <c r="L95" i="33"/>
  <c r="B94" i="33"/>
  <c r="L315" i="33"/>
  <c r="B314" i="33"/>
  <c r="B194" i="33"/>
  <c r="B286" i="33"/>
  <c r="L287" i="33"/>
  <c r="F218" i="33"/>
  <c r="G215" i="33"/>
  <c r="H215" i="33"/>
  <c r="I215" i="33"/>
  <c r="L41" i="33"/>
  <c r="B40" i="33"/>
  <c r="B60" i="34"/>
  <c r="L61" i="34"/>
  <c r="L106" i="34"/>
  <c r="B105" i="34"/>
  <c r="B324" i="34"/>
  <c r="L325" i="34"/>
  <c r="L228" i="33"/>
  <c r="B227" i="33"/>
  <c r="L96" i="33"/>
  <c r="B95" i="33"/>
  <c r="L288" i="33"/>
  <c r="B287" i="33"/>
  <c r="B195" i="33"/>
  <c r="B315" i="33"/>
  <c r="L316" i="33"/>
  <c r="F230" i="33"/>
  <c r="G218" i="33"/>
  <c r="H218" i="33"/>
  <c r="I218" i="33"/>
  <c r="L42" i="33"/>
  <c r="B41" i="33"/>
  <c r="L107" i="34"/>
  <c r="B106" i="34"/>
  <c r="L326" i="34"/>
  <c r="B325" i="34"/>
  <c r="B228" i="33"/>
  <c r="L231" i="33"/>
  <c r="B231" i="33"/>
  <c r="L97" i="33"/>
  <c r="B96" i="33"/>
  <c r="B196" i="33"/>
  <c r="B316" i="33"/>
  <c r="L317" i="33"/>
  <c r="B288" i="33"/>
  <c r="L289" i="33"/>
  <c r="L43" i="33"/>
  <c r="B42" i="33"/>
  <c r="F238" i="33"/>
  <c r="G230" i="33"/>
  <c r="H230" i="33"/>
  <c r="I230" i="33"/>
  <c r="F234" i="33"/>
  <c r="G234" i="33"/>
  <c r="H234" i="33"/>
  <c r="I234" i="33"/>
  <c r="L327" i="34"/>
  <c r="B326" i="34"/>
  <c r="L108" i="34"/>
  <c r="B107" i="34"/>
  <c r="L98" i="33"/>
  <c r="B97" i="33"/>
  <c r="L318" i="33"/>
  <c r="B317" i="33"/>
  <c r="B197" i="33"/>
  <c r="L157" i="33"/>
  <c r="G238" i="33"/>
  <c r="H238" i="33"/>
  <c r="I238" i="33"/>
  <c r="F242" i="33"/>
  <c r="G242" i="33"/>
  <c r="H242" i="33"/>
  <c r="I242" i="33"/>
  <c r="F250" i="33"/>
  <c r="L44" i="33"/>
  <c r="B43" i="33"/>
  <c r="L109" i="34"/>
  <c r="B108" i="34"/>
  <c r="L329" i="34"/>
  <c r="B327" i="34"/>
  <c r="L99" i="33"/>
  <c r="B98" i="33"/>
  <c r="B198" i="33"/>
  <c r="L319" i="33"/>
  <c r="B318" i="33"/>
  <c r="B156" i="33"/>
  <c r="L45" i="33"/>
  <c r="L46" i="33"/>
  <c r="B44" i="33"/>
  <c r="F271" i="33"/>
  <c r="G250" i="33"/>
  <c r="H250" i="33"/>
  <c r="I250" i="33"/>
  <c r="L330" i="34"/>
  <c r="B329" i="34"/>
  <c r="L110" i="34"/>
  <c r="B109" i="34"/>
  <c r="L100" i="33"/>
  <c r="B99" i="33"/>
  <c r="B199" i="33"/>
  <c r="B319" i="33"/>
  <c r="L320" i="33"/>
  <c r="B45" i="33"/>
  <c r="F292" i="33"/>
  <c r="G271" i="33"/>
  <c r="H271" i="33"/>
  <c r="I271" i="33"/>
  <c r="L111" i="34"/>
  <c r="B110" i="34"/>
  <c r="L331" i="34"/>
  <c r="B330" i="34"/>
  <c r="L101" i="33"/>
  <c r="B100" i="33"/>
  <c r="B320" i="33"/>
  <c r="L321" i="33"/>
  <c r="L158" i="33"/>
  <c r="B157" i="33"/>
  <c r="F302" i="33"/>
  <c r="G292" i="33"/>
  <c r="H292" i="33"/>
  <c r="I292" i="33"/>
  <c r="L332" i="34"/>
  <c r="B331" i="34"/>
  <c r="L112" i="34"/>
  <c r="B111" i="34"/>
  <c r="B101" i="33"/>
  <c r="L104" i="33"/>
  <c r="L322" i="33"/>
  <c r="B321" i="33"/>
  <c r="B158" i="33"/>
  <c r="L159" i="33"/>
  <c r="F305" i="33"/>
  <c r="G302" i="33"/>
  <c r="H302" i="33"/>
  <c r="I302" i="33"/>
  <c r="L47" i="33"/>
  <c r="L48" i="33"/>
  <c r="B46" i="33"/>
  <c r="B112" i="34"/>
  <c r="L113" i="34"/>
  <c r="L333" i="34"/>
  <c r="B332" i="34"/>
  <c r="L49" i="33"/>
  <c r="B48" i="33"/>
  <c r="L105" i="33"/>
  <c r="B104" i="33"/>
  <c r="L323" i="33"/>
  <c r="B322" i="33"/>
  <c r="B159" i="33"/>
  <c r="L160" i="33"/>
  <c r="B47" i="33"/>
  <c r="F330" i="33"/>
  <c r="G330" i="33"/>
  <c r="H330" i="33"/>
  <c r="I330" i="33"/>
  <c r="G305" i="33"/>
  <c r="H305" i="33"/>
  <c r="I305" i="33"/>
  <c r="L334" i="34"/>
  <c r="L335" i="34"/>
  <c r="L336" i="34"/>
  <c r="B333" i="34"/>
  <c r="B113" i="34"/>
  <c r="L114" i="34"/>
  <c r="L50" i="33"/>
  <c r="B49" i="33"/>
  <c r="B105" i="33"/>
  <c r="L106" i="33"/>
  <c r="L324" i="33"/>
  <c r="B323" i="33"/>
  <c r="B160" i="33"/>
  <c r="L161" i="33"/>
  <c r="L115" i="34"/>
  <c r="B114" i="34"/>
  <c r="B334" i="34"/>
  <c r="B50" i="33"/>
  <c r="L51" i="33"/>
  <c r="B106" i="33"/>
  <c r="L107" i="33"/>
  <c r="L325" i="33"/>
  <c r="B324" i="33"/>
  <c r="B161" i="33"/>
  <c r="L162" i="33"/>
  <c r="L337" i="34"/>
  <c r="L338" i="34"/>
  <c r="L339" i="34"/>
  <c r="L340" i="34"/>
  <c r="B336" i="34"/>
  <c r="B335" i="34"/>
  <c r="L116" i="34"/>
  <c r="B115" i="34"/>
  <c r="L52" i="33"/>
  <c r="B51" i="33"/>
  <c r="L166" i="33"/>
  <c r="L163" i="33"/>
  <c r="B107" i="33"/>
  <c r="L108" i="33"/>
  <c r="L326" i="33"/>
  <c r="B325" i="33"/>
  <c r="B162" i="33"/>
  <c r="B116" i="34"/>
  <c r="L117" i="34"/>
  <c r="B337" i="34"/>
  <c r="L53" i="33"/>
  <c r="B52" i="33"/>
  <c r="B163" i="33"/>
  <c r="L164" i="33"/>
  <c r="B164" i="33"/>
  <c r="B108" i="33"/>
  <c r="L109" i="33"/>
  <c r="L110" i="33"/>
  <c r="L327" i="33"/>
  <c r="B326" i="33"/>
  <c r="B117" i="34"/>
  <c r="L118" i="34"/>
  <c r="L54" i="33"/>
  <c r="B53" i="33"/>
  <c r="B110" i="33"/>
  <c r="L111" i="33"/>
  <c r="B109" i="33"/>
  <c r="L328" i="33"/>
  <c r="B327" i="33"/>
  <c r="B166" i="33"/>
  <c r="L167" i="33"/>
  <c r="M137" i="21"/>
  <c r="N137" i="21"/>
  <c r="O137" i="21"/>
  <c r="L137" i="21"/>
  <c r="M136" i="21"/>
  <c r="N136" i="21"/>
  <c r="O136" i="21"/>
  <c r="L136" i="21"/>
  <c r="M135" i="21"/>
  <c r="N135" i="21"/>
  <c r="O135" i="21"/>
  <c r="L135" i="21"/>
  <c r="O130" i="21"/>
  <c r="N130" i="21"/>
  <c r="M130" i="21"/>
  <c r="L130" i="21"/>
  <c r="K130" i="21"/>
  <c r="O122" i="21"/>
  <c r="N122" i="21"/>
  <c r="M122" i="21"/>
  <c r="L122" i="21"/>
  <c r="K122" i="21"/>
  <c r="O113" i="21"/>
  <c r="O107" i="21"/>
  <c r="N107" i="21"/>
  <c r="M107" i="21"/>
  <c r="L107" i="21"/>
  <c r="O89" i="21"/>
  <c r="N89" i="21"/>
  <c r="M89" i="21"/>
  <c r="L89" i="21"/>
  <c r="O79" i="21"/>
  <c r="N79" i="21"/>
  <c r="M79" i="21"/>
  <c r="L79" i="21"/>
  <c r="O67" i="21"/>
  <c r="N67" i="21"/>
  <c r="M67" i="21"/>
  <c r="L67" i="21"/>
  <c r="K67" i="21"/>
  <c r="O60" i="21"/>
  <c r="N60" i="21"/>
  <c r="M60" i="21"/>
  <c r="L60" i="21"/>
  <c r="K60" i="21"/>
  <c r="O52" i="21"/>
  <c r="N52" i="21"/>
  <c r="M52" i="21"/>
  <c r="K52" i="21"/>
  <c r="L49" i="21"/>
  <c r="L52" i="21"/>
  <c r="O43" i="21"/>
  <c r="N43" i="21"/>
  <c r="M43" i="21"/>
  <c r="L43" i="21"/>
  <c r="O38" i="21"/>
  <c r="N38" i="21"/>
  <c r="M38" i="21"/>
  <c r="L38" i="21"/>
  <c r="O33" i="21"/>
  <c r="N33" i="21"/>
  <c r="M33" i="21"/>
  <c r="L33" i="21"/>
  <c r="L119" i="34"/>
  <c r="L120" i="34"/>
  <c r="B118" i="34"/>
  <c r="B54" i="33"/>
  <c r="L55" i="33"/>
  <c r="B111" i="33"/>
  <c r="L112" i="33"/>
  <c r="L329" i="33"/>
  <c r="B328" i="33"/>
  <c r="B167" i="33"/>
  <c r="L168" i="33"/>
  <c r="L169" i="33"/>
  <c r="L170" i="33"/>
  <c r="L121" i="34"/>
  <c r="B120" i="34"/>
  <c r="B338" i="34"/>
  <c r="B119" i="34"/>
  <c r="L56" i="33"/>
  <c r="B55" i="33"/>
  <c r="B112" i="33"/>
  <c r="L113" i="33"/>
  <c r="B329" i="33"/>
  <c r="L331" i="33"/>
  <c r="B168" i="33"/>
  <c r="L122" i="34"/>
  <c r="B121" i="34"/>
  <c r="B339" i="34"/>
  <c r="B340" i="34"/>
  <c r="L57" i="33"/>
  <c r="B56" i="33"/>
  <c r="B113" i="33"/>
  <c r="L114" i="33"/>
  <c r="L115" i="33"/>
  <c r="B331" i="33"/>
  <c r="L332" i="33"/>
  <c r="L123" i="34"/>
  <c r="B122" i="34"/>
  <c r="L58" i="33"/>
  <c r="B57" i="33"/>
  <c r="L116" i="33"/>
  <c r="B115" i="33"/>
  <c r="B114" i="33"/>
  <c r="B332" i="33"/>
  <c r="L333" i="33"/>
  <c r="B169" i="33"/>
  <c r="L124" i="34"/>
  <c r="B123" i="34"/>
  <c r="B58" i="33"/>
  <c r="L59" i="33"/>
  <c r="L117" i="33"/>
  <c r="L118" i="33"/>
  <c r="L119" i="33"/>
  <c r="L120" i="33"/>
  <c r="B116" i="33"/>
  <c r="B333" i="33"/>
  <c r="L334" i="33"/>
  <c r="L60" i="33"/>
  <c r="B59" i="33"/>
  <c r="B117" i="33"/>
  <c r="L121" i="33"/>
  <c r="B120" i="33"/>
  <c r="B119" i="33"/>
  <c r="B118" i="33"/>
  <c r="L335" i="33"/>
  <c r="B334" i="33"/>
  <c r="B170" i="33"/>
  <c r="L171" i="33"/>
  <c r="L173" i="33"/>
  <c r="L174" i="33"/>
  <c r="L61" i="33"/>
  <c r="B60" i="33"/>
  <c r="L122" i="33"/>
  <c r="B121" i="33"/>
  <c r="L175" i="33"/>
  <c r="L176" i="33"/>
  <c r="L177" i="33"/>
  <c r="B177" i="33"/>
  <c r="B174" i="33"/>
  <c r="L336" i="33"/>
  <c r="B335" i="33"/>
  <c r="B171" i="33"/>
  <c r="L123" i="33"/>
  <c r="B122" i="33"/>
  <c r="B336" i="33"/>
  <c r="L337" i="33"/>
  <c r="F25" i="34"/>
  <c r="F18" i="34"/>
  <c r="B123" i="33"/>
  <c r="L124" i="33"/>
  <c r="B337" i="33"/>
  <c r="L338" i="33"/>
  <c r="H18" i="34"/>
  <c r="G25" i="34"/>
  <c r="I18" i="34"/>
  <c r="G18" i="34"/>
  <c r="I25" i="34"/>
  <c r="H25" i="34"/>
  <c r="B124" i="33"/>
  <c r="L125" i="33"/>
  <c r="L339" i="33"/>
  <c r="B338" i="33"/>
  <c r="B173" i="33"/>
  <c r="B125" i="33"/>
  <c r="L126" i="33"/>
  <c r="L127" i="33"/>
  <c r="L128" i="33"/>
  <c r="L129" i="33"/>
  <c r="L340" i="33"/>
  <c r="B339" i="33"/>
  <c r="B340" i="33"/>
  <c r="L341" i="33"/>
  <c r="B175" i="33"/>
  <c r="B341" i="33"/>
  <c r="L343" i="33"/>
  <c r="B343" i="33"/>
  <c r="L344" i="33"/>
  <c r="B176" i="33"/>
  <c r="B344" i="33"/>
  <c r="L345" i="33"/>
  <c r="L346" i="33"/>
  <c r="B345" i="33"/>
  <c r="L347" i="33"/>
  <c r="B346" i="33"/>
  <c r="B347" i="33"/>
  <c r="L348" i="33"/>
  <c r="B348" i="33"/>
  <c r="L349" i="33"/>
  <c r="C16" i="21"/>
  <c r="C15" i="21"/>
  <c r="C14" i="21"/>
  <c r="C13" i="21"/>
  <c r="B349" i="33"/>
  <c r="L350" i="33"/>
  <c r="B350" i="33"/>
  <c r="L351" i="33"/>
  <c r="L352" i="33"/>
  <c r="B351" i="33"/>
  <c r="B352" i="33"/>
  <c r="L353" i="33"/>
  <c r="F1" i="21"/>
  <c r="F2" i="21"/>
  <c r="F3" i="21"/>
  <c r="F4" i="21"/>
  <c r="F5" i="21"/>
  <c r="F6" i="21"/>
  <c r="F7" i="21"/>
  <c r="F14" i="21"/>
  <c r="F13" i="21"/>
  <c r="D14" i="21"/>
  <c r="E14" i="21"/>
  <c r="B14" i="21"/>
  <c r="B15" i="21"/>
  <c r="E13" i="21"/>
  <c r="B1" i="21"/>
  <c r="C1" i="21"/>
  <c r="D1" i="21"/>
  <c r="E1" i="21"/>
  <c r="D13" i="21"/>
  <c r="D15" i="21"/>
  <c r="D16" i="21"/>
  <c r="E15" i="21"/>
  <c r="F16" i="21"/>
  <c r="F15" i="21"/>
  <c r="E16" i="21"/>
  <c r="C6" i="21"/>
  <c r="B13" i="21"/>
  <c r="C7" i="21"/>
  <c r="C5" i="21"/>
  <c r="B2" i="21"/>
  <c r="B5" i="21"/>
  <c r="L354" i="33"/>
  <c r="B353" i="33"/>
  <c r="F8" i="21"/>
  <c r="F11" i="21"/>
  <c r="B3" i="21"/>
  <c r="C3" i="21"/>
  <c r="C2" i="21"/>
  <c r="D5" i="21"/>
  <c r="D6" i="21"/>
  <c r="B6" i="21"/>
  <c r="E5" i="21"/>
  <c r="E6" i="21"/>
  <c r="D7" i="21"/>
  <c r="B7" i="21"/>
  <c r="E7" i="21"/>
  <c r="D2" i="21"/>
  <c r="E2" i="21"/>
  <c r="L355" i="33"/>
  <c r="B355" i="33"/>
  <c r="B354" i="33"/>
  <c r="E3" i="21"/>
  <c r="D3" i="21"/>
  <c r="E4" i="21"/>
  <c r="C4" i="21"/>
  <c r="C8" i="21"/>
  <c r="C11" i="21"/>
  <c r="D4" i="21"/>
  <c r="B4" i="21"/>
  <c r="B8" i="21"/>
  <c r="B11" i="21"/>
  <c r="E8" i="21"/>
  <c r="E11" i="21"/>
  <c r="D8" i="21"/>
  <c r="D11" i="21"/>
  <c r="L138" i="21"/>
  <c r="O138" i="21"/>
  <c r="N138" i="21"/>
  <c r="M138" i="21"/>
  <c r="B206" i="33"/>
  <c r="B216" i="33"/>
  <c r="B221" i="33"/>
  <c r="B222" i="33"/>
  <c r="L232" i="33"/>
  <c r="B232" i="33"/>
  <c r="L235" i="33"/>
  <c r="L236" i="33"/>
  <c r="B235" i="33"/>
  <c r="B236" i="33"/>
  <c r="L239" i="33"/>
  <c r="L240" i="33"/>
  <c r="B239" i="33"/>
  <c r="B240" i="33"/>
  <c r="L243" i="33"/>
  <c r="L246" i="33"/>
  <c r="B243" i="33"/>
  <c r="B246" i="33"/>
  <c r="L247" i="33"/>
  <c r="L248" i="33"/>
  <c r="B247" i="33"/>
  <c r="B258" i="33"/>
  <c r="L251" i="33"/>
  <c r="B248" i="33"/>
  <c r="B259" i="33"/>
  <c r="L252" i="33"/>
  <c r="B251" i="33"/>
  <c r="B260" i="33"/>
  <c r="L253" i="33"/>
  <c r="B252" i="33"/>
  <c r="B261" i="33"/>
  <c r="L254" i="33"/>
  <c r="B254" i="33"/>
  <c r="B253" i="33"/>
  <c r="B265" i="33"/>
  <c r="H25" i="33"/>
  <c r="F25" i="33"/>
  <c r="F18" i="33"/>
  <c r="I18" i="33"/>
  <c r="I25" i="33"/>
  <c r="G25" i="33"/>
  <c r="G18" i="33"/>
  <c r="H18" i="33"/>
  <c r="F22" i="41" l="1"/>
  <c r="F5" i="41"/>
  <c r="F6" i="41" s="1"/>
  <c r="F160" i="44"/>
  <c r="G158" i="44"/>
  <c r="H158" i="44" s="1"/>
  <c r="I158" i="44" s="1"/>
  <c r="X25" i="35"/>
  <c r="X27" i="35" s="1"/>
  <c r="G125" i="43"/>
  <c r="H125" i="43" s="1"/>
  <c r="I125" i="43" s="1"/>
  <c r="F130" i="43"/>
  <c r="F20" i="42"/>
  <c r="I183" i="42"/>
  <c r="F27" i="42"/>
  <c r="H20" i="42"/>
  <c r="H27" i="42"/>
  <c r="I18" i="42"/>
  <c r="G18" i="42"/>
  <c r="G27" i="42" s="1"/>
  <c r="I128" i="42"/>
  <c r="I22" i="42"/>
  <c r="F22" i="42"/>
  <c r="G22" i="42"/>
  <c r="H22" i="42"/>
  <c r="F67" i="42"/>
  <c r="F6" i="42"/>
  <c r="F10" i="42" s="1"/>
  <c r="F131" i="42"/>
  <c r="G103" i="42"/>
  <c r="H103" i="42" s="1"/>
  <c r="I103" i="42" s="1"/>
  <c r="I5" i="42"/>
  <c r="G5" i="42"/>
  <c r="G6" i="42" s="1"/>
  <c r="G67" i="42"/>
  <c r="H5" i="42"/>
  <c r="H6" i="42" s="1"/>
  <c r="I4" i="42"/>
  <c r="H66" i="42"/>
  <c r="H67" i="42" s="1"/>
  <c r="Y25" i="35"/>
  <c r="Y27" i="35" s="1"/>
  <c r="Z25" i="35"/>
  <c r="Z27" i="35" s="1"/>
  <c r="AA25" i="35"/>
  <c r="AA27" i="35" s="1"/>
  <c r="F10" i="41" l="1"/>
  <c r="F14" i="41"/>
  <c r="F164" i="44"/>
  <c r="G160" i="44"/>
  <c r="H160" i="44" s="1"/>
  <c r="I160" i="44" s="1"/>
  <c r="F140" i="43"/>
  <c r="G130" i="43"/>
  <c r="H130" i="43" s="1"/>
  <c r="I130" i="43" s="1"/>
  <c r="I27" i="42"/>
  <c r="G20" i="42"/>
  <c r="I20" i="42"/>
  <c r="G14" i="42"/>
  <c r="G10" i="42"/>
  <c r="G131" i="42"/>
  <c r="H131" i="42" s="1"/>
  <c r="I131" i="42" s="1"/>
  <c r="F135" i="42"/>
  <c r="I6" i="42"/>
  <c r="I66" i="42"/>
  <c r="I67" i="42" s="1"/>
  <c r="F14" i="42"/>
  <c r="H14" i="42"/>
  <c r="H10" i="42"/>
  <c r="AA29" i="35"/>
  <c r="G164" i="44" l="1"/>
  <c r="H164" i="44" s="1"/>
  <c r="I164" i="44" s="1"/>
  <c r="F170" i="44"/>
  <c r="F168" i="44"/>
  <c r="G168" i="44" s="1"/>
  <c r="H168" i="44" s="1"/>
  <c r="I168" i="44" s="1"/>
  <c r="F146" i="43"/>
  <c r="G140" i="43"/>
  <c r="H140" i="43" s="1"/>
  <c r="I140" i="43" s="1"/>
  <c r="G135" i="42"/>
  <c r="H135" i="42" s="1"/>
  <c r="I135" i="42" s="1"/>
  <c r="F138" i="42"/>
  <c r="I14" i="42"/>
  <c r="I10" i="42"/>
  <c r="F185" i="44" l="1"/>
  <c r="G170" i="44"/>
  <c r="H170" i="44" s="1"/>
  <c r="I170" i="44" s="1"/>
  <c r="F176" i="44"/>
  <c r="G146" i="43"/>
  <c r="H146" i="43" s="1"/>
  <c r="I146" i="43" s="1"/>
  <c r="F155" i="43"/>
  <c r="F153" i="42"/>
  <c r="G138" i="42"/>
  <c r="H138" i="42" s="1"/>
  <c r="I138" i="42" s="1"/>
  <c r="G176" i="44" l="1"/>
  <c r="H176" i="44" s="1"/>
  <c r="I176" i="44" s="1"/>
  <c r="F180" i="44"/>
  <c r="G180" i="44" s="1"/>
  <c r="H180" i="44" s="1"/>
  <c r="I180" i="44" s="1"/>
  <c r="F195" i="44"/>
  <c r="G185" i="44"/>
  <c r="H185" i="44" s="1"/>
  <c r="I185" i="44" s="1"/>
  <c r="F157" i="43"/>
  <c r="G155" i="43"/>
  <c r="H155" i="43" s="1"/>
  <c r="I155" i="43" s="1"/>
  <c r="G153" i="42"/>
  <c r="H153" i="42" s="1"/>
  <c r="I153" i="42" s="1"/>
  <c r="F166" i="42"/>
  <c r="F205" i="44" l="1"/>
  <c r="G195" i="44"/>
  <c r="H195" i="44" s="1"/>
  <c r="I195" i="44" s="1"/>
  <c r="G157" i="43"/>
  <c r="H157" i="43" s="1"/>
  <c r="I157" i="43" s="1"/>
  <c r="F161" i="43"/>
  <c r="F179" i="42"/>
  <c r="G166" i="42"/>
  <c r="H166" i="42" s="1"/>
  <c r="I166" i="42" s="1"/>
  <c r="G205" i="44" l="1"/>
  <c r="H205" i="44" s="1"/>
  <c r="I205" i="44" s="1"/>
  <c r="F207" i="44"/>
  <c r="F165" i="43"/>
  <c r="G165" i="43" s="1"/>
  <c r="H165" i="43" s="1"/>
  <c r="I165" i="43" s="1"/>
  <c r="F167" i="43"/>
  <c r="G161" i="43"/>
  <c r="H161" i="43" s="1"/>
  <c r="I161" i="43" s="1"/>
  <c r="F186" i="42"/>
  <c r="G179" i="42"/>
  <c r="H179" i="42" s="1"/>
  <c r="I179" i="42" s="1"/>
  <c r="F231" i="44" l="1"/>
  <c r="G231" i="44" s="1"/>
  <c r="H231" i="44" s="1"/>
  <c r="I231" i="44" s="1"/>
  <c r="G207" i="44"/>
  <c r="H207" i="44" s="1"/>
  <c r="I207" i="44" s="1"/>
  <c r="G167" i="43"/>
  <c r="H167" i="43" s="1"/>
  <c r="I167" i="43" s="1"/>
  <c r="F180" i="43"/>
  <c r="F171" i="43"/>
  <c r="G186" i="42"/>
  <c r="H186" i="42" s="1"/>
  <c r="I186" i="42" s="1"/>
  <c r="F199" i="42"/>
  <c r="G180" i="43" l="1"/>
  <c r="H180" i="43" s="1"/>
  <c r="I180" i="43" s="1"/>
  <c r="F189" i="43"/>
  <c r="G171" i="43"/>
  <c r="H171" i="43" s="1"/>
  <c r="I171" i="43" s="1"/>
  <c r="F175" i="43"/>
  <c r="G175" i="43" s="1"/>
  <c r="H175" i="43" s="1"/>
  <c r="I175" i="43" s="1"/>
  <c r="F202" i="42"/>
  <c r="G199" i="42"/>
  <c r="H199" i="42" s="1"/>
  <c r="I199" i="42" s="1"/>
  <c r="F197" i="43" l="1"/>
  <c r="G189" i="43"/>
  <c r="H189" i="43" s="1"/>
  <c r="I189" i="43" s="1"/>
  <c r="G202" i="42"/>
  <c r="H202" i="42" s="1"/>
  <c r="I202" i="42" s="1"/>
  <c r="F213" i="42"/>
  <c r="G197" i="43" l="1"/>
  <c r="H197" i="43" s="1"/>
  <c r="I197" i="43" s="1"/>
  <c r="F199" i="43"/>
  <c r="F227" i="42"/>
  <c r="G227" i="42" s="1"/>
  <c r="H227" i="42" s="1"/>
  <c r="I227" i="42" s="1"/>
  <c r="F231" i="42"/>
  <c r="G213" i="42"/>
  <c r="H213" i="42" s="1"/>
  <c r="I213" i="42" s="1"/>
  <c r="F223" i="43" l="1"/>
  <c r="G223" i="43" s="1"/>
  <c r="H223" i="43" s="1"/>
  <c r="I223" i="43" s="1"/>
  <c r="G199" i="43"/>
  <c r="H199" i="43" s="1"/>
  <c r="I199" i="43" s="1"/>
  <c r="G231" i="42"/>
  <c r="H231" i="42" s="1"/>
  <c r="I231" i="42" s="1"/>
  <c r="F263" i="42"/>
  <c r="F243" i="42"/>
  <c r="G243" i="42" l="1"/>
  <c r="H243" i="42" s="1"/>
  <c r="I243" i="42" s="1"/>
  <c r="F251" i="42"/>
  <c r="G251" i="42" s="1"/>
  <c r="H251" i="42" s="1"/>
  <c r="I251" i="42" s="1"/>
  <c r="G263" i="42"/>
  <c r="H263" i="42" s="1"/>
  <c r="I263" i="42" s="1"/>
  <c r="F276" i="42"/>
  <c r="F288" i="42" l="1"/>
  <c r="G276" i="42"/>
  <c r="H276" i="42" s="1"/>
  <c r="I276" i="42" s="1"/>
  <c r="F291" i="42" l="1"/>
  <c r="G288" i="42"/>
  <c r="H288" i="42" s="1"/>
  <c r="I288" i="42" s="1"/>
  <c r="G291" i="42" l="1"/>
  <c r="H291" i="42" s="1"/>
  <c r="I291" i="42" s="1"/>
  <c r="F316" i="42"/>
  <c r="G316" i="42" s="1"/>
  <c r="H316" i="42" s="1"/>
  <c r="I316" i="4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tc={24C2CC10-CD2A-4A6A-961A-890D1CC536D0}</author>
    <author>tc={9337A08D-1ECB-4DDE-B19A-9E934CFB5951}</author>
  </authors>
  <commentList>
    <comment ref="E211" authorId="0" shapeId="0" xr:uid="{24C2CC10-CD2A-4A6A-961A-890D1CC536D0}">
      <text>
        <t>[Kommentartråd]
Din versjon av Excel lar deg lese denne kommentartråden. Eventuelle endringer i den vil imidlertid bli fjernet hvis filen åpnes i en nyere versjon av Excel. Finn ut mer: https://go.microsoft.com/fwlink/?linkid=870924
Kommentar:
    Legges inn som 8 og flytter de påfølgende?</t>
      </text>
    </comment>
    <comment ref="F211" authorId="1" shapeId="0" xr:uid="{9337A08D-1ECB-4DDE-B19A-9E934CFB5951}">
      <text>
        <t>[Kommentartråd]
Din versjon av Excel lar deg lese denne kommentartråden. Eventuelle endringer i den vil imidlertid bli fjernet hvis filen åpnes i en nyere versjon av Excel. Finn ut mer: https://go.microsoft.com/fwlink/?linkid=870924
Kommentar:
    Legge over 2 år?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tc={1FD5894E-2625-4151-BCCD-99E95F3F9C98}</author>
    <author>tc={3AE10BC0-A5AF-4D0B-8C13-3D9B32F6969E}</author>
  </authors>
  <commentList>
    <comment ref="E201" authorId="0" shapeId="0" xr:uid="{1FD5894E-2625-4151-BCCD-99E95F3F9C98}">
      <text>
        <t>[Kommentartråd]
Din versjon av Excel lar deg lese denne kommentartråden. Eventuelle endringer i den vil imidlertid bli fjernet hvis filen åpnes i en nyere versjon av Excel. Finn ut mer: https://go.microsoft.com/fwlink/?linkid=870924
Kommentar:
    Legges inn som 8 og flytter de påfølgende?</t>
      </text>
    </comment>
    <comment ref="F201" authorId="1" shapeId="0" xr:uid="{3AE10BC0-A5AF-4D0B-8C13-3D9B32F6969E}">
      <text>
        <t>[Kommentartråd]
Din versjon av Excel lar deg lese denne kommentartråden. Eventuelle endringer i den vil imidlertid bli fjernet hvis filen åpnes i en nyere versjon av Excel. Finn ut mer: https://go.microsoft.com/fwlink/?linkid=870924
Kommentar:
    Legge over 2 år?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tc={415FB03B-0B31-4CFC-935E-D782934D5ED4}</author>
  </authors>
  <commentList>
    <comment ref="F248" authorId="0" shapeId="0" xr:uid="{415FB03B-0B31-4CFC-935E-D782934D5ED4}">
      <text>
        <t>[Kommentartråd]
Din versjon av Excel lar deg lese denne kommentartråden. Eventuelle endringer i den vil imidlertid bli fjernet hvis filen åpnes i en nyere versjon av Excel. Finn ut mer: https://go.microsoft.com/fwlink/?linkid=870924
Kommentar:
    Redusert med 7591 for å få budsjett til å samsvare med Eiendoms budsjett for total internhusleie - avvik stammer fra 2021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tc={325C9A48-C7D7-4D66-92EC-9409E87DC0A9}</author>
    <author>tc={9F6D2EC8-0F05-4709-911F-1ADA9B64BF1A}</author>
    <author>tc={928B281F-DEB7-4D6B-9251-50132AC6DE76}</author>
  </authors>
  <commentList>
    <comment ref="F329" authorId="0" shapeId="0" xr:uid="{325C9A48-C7D7-4D66-92EC-9409E87DC0A9}">
      <text>
        <t>[Kommentartråd]
Din versjon av Excel lar deg lese denne kommentartråden. Eventuelle endringer i den vil imidlertid bli fjernet hvis filen åpnes i en nyere versjon av Excel. Finn ut mer: https://go.microsoft.com/fwlink/?linkid=870924
Kommentar:
    Redusert med 7591 for å få budsjett til å samsvare med Eiendoms budsjett for total internhusleie - avvik stammer fra 2021
Svar:
    Alle helårsvirkninger + reduksjon pga gamle bygg, Hentet fra internhusleie oppsummert2022 rad 128-129</t>
      </text>
    </comment>
    <comment ref="F333" authorId="1" shapeId="0" xr:uid="{9F6D2EC8-0F05-4709-911F-1ADA9B64BF1A}">
      <text>
        <t>[Kommentartråd]
Din versjon av Excel lar deg lese denne kommentartråden. Eventuelle endringer i den vil imidlertid bli fjernet hvis filen åpnes i en nyere versjon av Excel. Finn ut mer: https://go.microsoft.com/fwlink/?linkid=870924
Kommentar:
    Redusert med 2600 som gjelder reduksjon rentekostnad "eldre bygg" - rentekostnader som reduseres på grunn av mindre restgjeld sammenlignet med fjoråret</t>
      </text>
    </comment>
    <comment ref="F334" authorId="2" shapeId="0" xr:uid="{928B281F-DEB7-4D6B-9251-50132AC6DE7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Redusert med 2600 som gjelder reduksjon rentekostnad "eldre bygg" - rentekostnader som reduseres på grunn av mindre restgjeld sammenlignet med fjoråret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tc={6CC89C8C-5D26-4954-B83E-804F713E4780}</author>
    <author>tc={69371F34-0864-47CD-8E16-0E11306110A9}</author>
    <author>tc={FF298CB5-A7CF-452D-BD78-B361BB91B5DE}</author>
  </authors>
  <commentList>
    <comment ref="F343" authorId="0" shapeId="0" xr:uid="{6CC89C8C-5D26-4954-B83E-804F713E4780}">
      <text>
        <t>[Kommentartråd]
Din versjon av Excel lar deg lese denne kommentartråden. Eventuelle endringer i den vil imidlertid bli fjernet hvis filen åpnes i en nyere versjon av Excel. Finn ut mer: https://go.microsoft.com/fwlink/?linkid=870924
Kommentar:
    Redusert med 7591 for å få budsjett til å samsvare med Eiendoms budsjett for total internhusleie - avvik stammer fra 2021
Svar:
    Reduserer internhusleien med 2600 ref F42 og F43; reduksjon i rentekostnad</t>
      </text>
    </comment>
    <comment ref="F347" authorId="1" shapeId="0" xr:uid="{69371F34-0864-47CD-8E16-0E11306110A9}">
      <text>
        <t>[Kommentartråd]
Din versjon av Excel lar deg lese denne kommentartråden. Eventuelle endringer i den vil imidlertid bli fjernet hvis filen åpnes i en nyere versjon av Excel. Finn ut mer: https://go.microsoft.com/fwlink/?linkid=870924
Kommentar:
    Redusert med 2600 som gjelder reduksjon rentekostnad "eldre bygg" - rentekostnader som reduseres på grunn av mindre restgjeld sammenlignet med fjoråret</t>
      </text>
    </comment>
    <comment ref="F348" authorId="2" shapeId="0" xr:uid="{FF298CB5-A7CF-452D-BD78-B361BB91B5DE}">
      <text>
        <t>[Kommentartråd]
Din versjon av Excel lar deg lese denne kommentartråden. Eventuelle endringer i den vil imidlertid bli fjernet hvis filen åpnes i en nyere versjon av Excel. Finn ut mer: https://go.microsoft.com/fwlink/?linkid=870924
Kommentar:
    Redusert med 2600 som gjelder reduksjon rentekostnad "eldre bygg" - rentekostnader som reduseres på grunn av mindre restgjeld sammenlignet med fjoråret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gurartu</author>
  </authors>
  <commentList>
    <comment ref="F4" authorId="0" shapeId="0" xr:uid="{0BD294A3-451F-4C53-8B58-B7185BD3B422}">
      <text>
        <r>
          <rPr>
            <b/>
            <sz val="9"/>
            <color indexed="81"/>
            <rFont val="Tahoma"/>
            <family val="2"/>
          </rPr>
          <t>gurartu:</t>
        </r>
        <r>
          <rPr>
            <sz val="9"/>
            <color indexed="81"/>
            <rFont val="Tahoma"/>
            <family val="2"/>
          </rPr>
          <t xml:space="preserve">
Internhusleie eksisterene bygg, inkl investeringstiltak på disse ferdigstilt 2016. (Kulturhuset sine husleier er tatt ut)
</t>
        </r>
      </text>
    </comment>
    <comment ref="F5" authorId="0" shapeId="0" xr:uid="{7261B219-7E45-4B4A-81BD-26F60C538CDF}">
      <text>
        <r>
          <rPr>
            <b/>
            <sz val="9"/>
            <color indexed="81"/>
            <rFont val="Tahoma"/>
            <family val="2"/>
          </rPr>
          <t>gurartu:</t>
        </r>
        <r>
          <rPr>
            <sz val="9"/>
            <color indexed="81"/>
            <rFont val="Tahoma"/>
            <family val="2"/>
          </rPr>
          <t xml:space="preserve">
Fra internhusleiemodell for 2017: Bygg ferdige etter 01.01.15 (kr 42 mill) og nye bygg i 2017 kr 13 mill)</t>
        </r>
      </text>
    </comment>
  </commentList>
</comments>
</file>

<file path=xl/sharedStrings.xml><?xml version="1.0" encoding="utf-8"?>
<sst xmlns="http://schemas.openxmlformats.org/spreadsheetml/2006/main" count="13174" uniqueCount="1415">
  <si>
    <t>DRIFTSTILTAK, ØKONOMIPLAN 2023-2026</t>
  </si>
  <si>
    <t>BASISBUDSJETT 2023</t>
  </si>
  <si>
    <r>
      <t xml:space="preserve">DISPONIBELT TIL TILTAK </t>
    </r>
    <r>
      <rPr>
        <sz val="6"/>
        <color theme="1"/>
        <rFont val="Calibri"/>
        <family val="2"/>
        <scheme val="minor"/>
      </rPr>
      <t>(positivt beløp er manko, negativt beløp til disposisjon)</t>
    </r>
  </si>
  <si>
    <t>VEDTATTE TILTAK, HØP 2022-2025</t>
  </si>
  <si>
    <t>VEDTATTE TILTAK, REKALKULERT</t>
  </si>
  <si>
    <r>
      <t xml:space="preserve">BUDSJETTBALANSE INKL VEDTATTE TILTAK  </t>
    </r>
    <r>
      <rPr>
        <sz val="6"/>
        <color theme="1"/>
        <rFont val="Calibri"/>
        <family val="2"/>
        <scheme val="minor"/>
      </rPr>
      <t>(positivt beløp er manko, negativt beløp til disposisjon)</t>
    </r>
  </si>
  <si>
    <t>NYE INNSPARINGER/SALDERINGER ØP 2023-2026</t>
  </si>
  <si>
    <t>NYE TILTAK HØP 2023-2026 - MÅ PRIORITERES</t>
  </si>
  <si>
    <r>
      <t xml:space="preserve">BUDSJETTBALANSE INKL VEDTATTE TILTAK, NYE INNSPARINGER OG MÅ-TILTAK </t>
    </r>
    <r>
      <rPr>
        <sz val="8"/>
        <color theme="1"/>
        <rFont val="Calibri"/>
        <family val="2"/>
        <scheme val="minor"/>
      </rPr>
      <t xml:space="preserve"> </t>
    </r>
    <r>
      <rPr>
        <sz val="6"/>
        <color theme="1"/>
        <rFont val="Calibri"/>
        <family val="2"/>
        <scheme val="minor"/>
      </rPr>
      <t>(positivt beløp er manko, negativt beløp til disposisjon)</t>
    </r>
  </si>
  <si>
    <t>Endring</t>
  </si>
  <si>
    <t>ANDRE NYE TILTAK ØP 2023-2026</t>
  </si>
  <si>
    <t>NYE TILTAK ØP 2023-2026 - IKKE PRIORITERT</t>
  </si>
  <si>
    <t>Overføring til investeringsregnskapet - saldering</t>
  </si>
  <si>
    <t>Bruk av fond</t>
  </si>
  <si>
    <t>Netto driftsresultat</t>
  </si>
  <si>
    <t>OMRÅDE</t>
  </si>
  <si>
    <t>NR</t>
  </si>
  <si>
    <t>TILTAKSTEKST</t>
  </si>
  <si>
    <t>TYPE</t>
  </si>
  <si>
    <t>PRIORITET</t>
  </si>
  <si>
    <t>Kommentar</t>
  </si>
  <si>
    <t>Sentrale inntekter og utgifter</t>
  </si>
  <si>
    <t>SENT.INNT</t>
  </si>
  <si>
    <t>Formue- og inntektsskatt</t>
  </si>
  <si>
    <t>MÅ</t>
  </si>
  <si>
    <t>Oppdatert 08.09.22 Øyvind, deflator fra 3,3 til 3,7</t>
  </si>
  <si>
    <t>P1</t>
  </si>
  <si>
    <t>Skattevekst</t>
  </si>
  <si>
    <t>ENDRING</t>
  </si>
  <si>
    <t>Statlige rammeoverføringer inkludert inntektsutjevning</t>
  </si>
  <si>
    <t>Redusert rammetilskudd i 2023, konsesjonskraft</t>
  </si>
  <si>
    <t>Oppdatert 10.10.22 Øyvind</t>
  </si>
  <si>
    <t xml:space="preserve">Eiendomsskatt på kraft </t>
  </si>
  <si>
    <t>Oppdatert  07.10.22</t>
  </si>
  <si>
    <t>Konsesjonskraft</t>
  </si>
  <si>
    <t>Oppdatert  01.09. Jostein</t>
  </si>
  <si>
    <t>Konsesjonsavgift</t>
  </si>
  <si>
    <t>Oppdatert 22.06.22 Jostein</t>
  </si>
  <si>
    <t>Konsesjonsavgift  avsettes kraftfond</t>
  </si>
  <si>
    <t>Rentekompensasjon sykehjem, omsorgsboliger og skolebygg  </t>
  </si>
  <si>
    <t>Oppdatert 26.09.22 Øyvind</t>
  </si>
  <si>
    <t>Integreringstilskudd flyktninger</t>
  </si>
  <si>
    <t>Hege. Reberegnes etter statsbuds. Estimatet er gitt at 360 flyktninger i 2022 blir. Fjorårets tall for 2023 var 43 mill.</t>
  </si>
  <si>
    <t>Renteutgifter ordinære lån</t>
  </si>
  <si>
    <t>Oppdatert 07.10.22 Øyvind</t>
  </si>
  <si>
    <t>P2</t>
  </si>
  <si>
    <t>Renteutgifter endrede investering</t>
  </si>
  <si>
    <t>Avdrag ordinære lån</t>
  </si>
  <si>
    <t>P3</t>
  </si>
  <si>
    <t>Avdrag endrede investeringer</t>
  </si>
  <si>
    <t>Renteinntekter av bankinnskudd </t>
  </si>
  <si>
    <t>Renteinntekter startlån </t>
  </si>
  <si>
    <t>Renteutgifter startlån</t>
  </si>
  <si>
    <t>Renter ansvarlig lån Lyse AS</t>
  </si>
  <si>
    <t>Aksjeutbytte Lyse AS </t>
  </si>
  <si>
    <t>Aksjeutbytte Odeon kino Stavanger/Sandnes AS </t>
  </si>
  <si>
    <t>Oppdatert 06.10.22 Sidsel</t>
  </si>
  <si>
    <t>Aksjeutbytte Renovasjonen IKS</t>
  </si>
  <si>
    <t xml:space="preserve">Oppdatert 11.9.22 Sidsel, la stå med 2 hvert år. </t>
  </si>
  <si>
    <t>Renter ansvarlig lån Sandnes tomteselskap KF</t>
  </si>
  <si>
    <t>Aksjeutbytte Forus Næringspark AS</t>
  </si>
  <si>
    <t>Oppdatert 11.9.22 Sidsel, la stå med 0 hvert år. Ikke oppnådd enighet</t>
  </si>
  <si>
    <t>Aksjeutbytte Sandnes Parkeringsdrift AS</t>
  </si>
  <si>
    <t>Oppdatert 11.9.22 Sidsel, la stå med 0,5 mill hvert år</t>
  </si>
  <si>
    <t>Overføring til investeringsregnskapet</t>
  </si>
  <si>
    <t>Oppdatert ØL 07.10.22</t>
  </si>
  <si>
    <t>P4</t>
  </si>
  <si>
    <t>P5</t>
  </si>
  <si>
    <t>Bruk av disposisjonsfond</t>
  </si>
  <si>
    <t>Avskrivinger </t>
  </si>
  <si>
    <t>Oppdatert 24.05.22 Øyvind</t>
  </si>
  <si>
    <t>Motpost avskrivinger </t>
  </si>
  <si>
    <t>Kalkulatoriske renter og avskrivinger vann</t>
  </si>
  <si>
    <t>Sigmund oppdatert 24.08</t>
  </si>
  <si>
    <t>Kalkulatoriske renter og avskrivinger avløp</t>
  </si>
  <si>
    <t>Kalkulatoriske renter og avskrivinger renovasjon</t>
  </si>
  <si>
    <t>SUM SENTRALE INNTEKTER OG FINANSPOSTER</t>
  </si>
  <si>
    <t>BASISBUDSJETT TJENESTEOMRÅDENE</t>
  </si>
  <si>
    <t>DISPONIBELT TIL TILTAK</t>
  </si>
  <si>
    <t>Oppvekst</t>
  </si>
  <si>
    <t>Ordinær grunnskoleopplæring inkl fellesutgifter</t>
  </si>
  <si>
    <t>OPP</t>
  </si>
  <si>
    <t>Elevtallsvekst i tråd med prognoser</t>
  </si>
  <si>
    <t>ØP 22-25 REKALK</t>
  </si>
  <si>
    <t>VEDTATT</t>
  </si>
  <si>
    <t>Korrigering av prognoser, elevtallsvekst</t>
  </si>
  <si>
    <t xml:space="preserve">Ressurser til spesialundervisning </t>
  </si>
  <si>
    <t>Korrigering av prognoser, spesialundervisning</t>
  </si>
  <si>
    <t>Kleivane skole, læremiddelpakke</t>
  </si>
  <si>
    <t>ØP 22-25</t>
  </si>
  <si>
    <t>Arbeidstidsavtalen SFS2213, ekstra kontaktlærertime</t>
  </si>
  <si>
    <t>NYTT</t>
  </si>
  <si>
    <t>Bemanning ved 4 skoler/innføringsklasser</t>
  </si>
  <si>
    <t xml:space="preserve">Ressurser til styrking i SFO </t>
  </si>
  <si>
    <t>Korrigering av prognoser, styrking i SFO</t>
  </si>
  <si>
    <t>SFO, økning i driftsutgifter</t>
  </si>
  <si>
    <t>SFO, økning i gebyrinntekter</t>
  </si>
  <si>
    <t>P6</t>
  </si>
  <si>
    <t>Ingen økt pris SFO for 3. til 4. klasse</t>
  </si>
  <si>
    <t>P7</t>
  </si>
  <si>
    <t>Ingen økt pris SFO for 2.klasse frem til august</t>
  </si>
  <si>
    <t>SFO, inntektsmoderasjon</t>
  </si>
  <si>
    <t>SFO, søskenmoderasjon</t>
  </si>
  <si>
    <t>SLS, norskopplæring, flyktninger fra Ukraina</t>
  </si>
  <si>
    <t>Tildeling spesialundervisning privatskoler</t>
  </si>
  <si>
    <t>SFO, gratis kjernetid 1. klassinger</t>
  </si>
  <si>
    <t>P8</t>
  </si>
  <si>
    <t>Tidlig innsats</t>
  </si>
  <si>
    <t>P24</t>
  </si>
  <si>
    <t>På hjul mot mobbing</t>
  </si>
  <si>
    <t>P9</t>
  </si>
  <si>
    <t>Driftstilskudd til barn og unge</t>
  </si>
  <si>
    <t>Barnehagetjenester</t>
  </si>
  <si>
    <t>Tilskudd private barnehager</t>
  </si>
  <si>
    <t>Nye barnehageplasser</t>
  </si>
  <si>
    <t>Redusert foreldrebetaling</t>
  </si>
  <si>
    <t>Varatun og Langgata barnehager, 2 stillinger</t>
  </si>
  <si>
    <t>Helsestasjonstjenester, PPT, barne- og familieenheten</t>
  </si>
  <si>
    <t>Videreføring av tiltakspakke</t>
  </si>
  <si>
    <t xml:space="preserve">Videreføring av prosjekt rettet mot yngre unge grunnet covid-19 </t>
  </si>
  <si>
    <t>Videreføring tiltak rettet mot barn og unge</t>
  </si>
  <si>
    <t>Bruk av kommunens generelle disposisjonsfond</t>
  </si>
  <si>
    <t xml:space="preserve">PPT, styrking med 4 årsverk </t>
  </si>
  <si>
    <t>HST, tilskudd fra Helsedirektoratet reduserers</t>
  </si>
  <si>
    <t>HST, tolkeutgifter</t>
  </si>
  <si>
    <t>HST, 4 årsverk til flyktningarbeid</t>
  </si>
  <si>
    <t>FBU, 2 lærere og administrasjonsutgifter</t>
  </si>
  <si>
    <t>X</t>
  </si>
  <si>
    <t>TOTALSUM Oppvekst</t>
  </si>
  <si>
    <t>Helse og velferd</t>
  </si>
  <si>
    <t>Enhet for funksjonshemmede</t>
  </si>
  <si>
    <t>H&amp;V</t>
  </si>
  <si>
    <t>P10</t>
  </si>
  <si>
    <t>Drift Foreldreinitiativ 3</t>
  </si>
  <si>
    <t>P11</t>
  </si>
  <si>
    <t>Støttekontakt for unge med nedsatt funksjonsevne i bolig</t>
  </si>
  <si>
    <t>Enhet for hjemmetjenester og rehabilitering</t>
  </si>
  <si>
    <t>Hjemmetjenesten, befolkningsvekst</t>
  </si>
  <si>
    <t>P12</t>
  </si>
  <si>
    <t>Styrke hjemmetjenesten</t>
  </si>
  <si>
    <t>P13</t>
  </si>
  <si>
    <t>Dagsenter</t>
  </si>
  <si>
    <t>Helse og velferd felles og samordningstjenester</t>
  </si>
  <si>
    <t>Kommunale boliger, indeksregulering</t>
  </si>
  <si>
    <t xml:space="preserve">Omstilling 2025 </t>
  </si>
  <si>
    <t>Omstilling 2025 - reversering</t>
  </si>
  <si>
    <t>Refusjon ressurskrevende</t>
  </si>
  <si>
    <t>E-helse</t>
  </si>
  <si>
    <t>Samordning, kjøp av tjenester</t>
  </si>
  <si>
    <t>Samordning, årsverk kreftkoordinator</t>
  </si>
  <si>
    <t>Seniorsenter, økt tilskudd</t>
  </si>
  <si>
    <t>Legetjenester, sykehjemslege Sandnes helsesenter</t>
  </si>
  <si>
    <t>Fysio, trygghetsalarmer</t>
  </si>
  <si>
    <t>Midler tas fra styrking av hjemmetjenester, tiltak H6 i HØP 2022-25</t>
  </si>
  <si>
    <t>P14</t>
  </si>
  <si>
    <t>Matsentralen</t>
  </si>
  <si>
    <t>Helse- og rehabiliteringstjenster</t>
  </si>
  <si>
    <t>Tilskudd til fastleger i henhold til befolkningsvekst og endring i takst</t>
  </si>
  <si>
    <t>Økt basistilskudd til fastleger fra 1. mai 2023</t>
  </si>
  <si>
    <t>Økning driftstilskudd fysioterapeuter</t>
  </si>
  <si>
    <t>Jæren øyeblikkelig hjelp, økt ramme</t>
  </si>
  <si>
    <t>Legevakt, flere rettigheter etter SFS2305-avtalen</t>
  </si>
  <si>
    <t>Legetjenester, kommunalt legesenter</t>
  </si>
  <si>
    <t>Legetjenester, stabiliseringstiltak</t>
  </si>
  <si>
    <t>Legetjenester, rekrutteringstilskudd</t>
  </si>
  <si>
    <t>Legevakt, én ekstra lege natt</t>
  </si>
  <si>
    <t>P15</t>
  </si>
  <si>
    <t>Fysio- og ergoterapi</t>
  </si>
  <si>
    <t>P16</t>
  </si>
  <si>
    <t>Ufrivillig deltid fysioterapi opphører</t>
  </si>
  <si>
    <t>P17</t>
  </si>
  <si>
    <t>Gratis trygghetsalarm for de med 2G eller lavere</t>
  </si>
  <si>
    <t>Sosiale tjenester</t>
  </si>
  <si>
    <t xml:space="preserve">Integreringstilskudd enslige mindreårige </t>
  </si>
  <si>
    <t>Introduksjonsprogrammet</t>
  </si>
  <si>
    <t xml:space="preserve">NAV, økonomisk sosialhjelp </t>
  </si>
  <si>
    <t>NAV, 2 årsverk til flyktningarbeid</t>
  </si>
  <si>
    <t>Bolig, 4 årsverk til flyktningarbeid</t>
  </si>
  <si>
    <t>Flyktning, 8 årsverk til flyktningarbeid + drift</t>
  </si>
  <si>
    <t>Sykehjemstjenester</t>
  </si>
  <si>
    <t>Lunde bo- og aktivitetssenter, 14 heldøgnsplasser</t>
  </si>
  <si>
    <t>Redusert vikarbruk, effekt grunnbemanning</t>
  </si>
  <si>
    <t>TOTALSUM HELSE OG VELFERD</t>
  </si>
  <si>
    <t>Kultur og næring</t>
  </si>
  <si>
    <t>Kultur og næring felles</t>
  </si>
  <si>
    <t>Kultur, bibliotek og kulturskole</t>
  </si>
  <si>
    <t>KuN</t>
  </si>
  <si>
    <t>Omstilling 2025, økning billettpriser kulturhuset</t>
  </si>
  <si>
    <t xml:space="preserve">Kulturskolen, styrke bemanning med en avdelingsleder </t>
  </si>
  <si>
    <t>Kulturskolen, avdelingsleder finansieres av disposisjonsfond</t>
  </si>
  <si>
    <t>Samarbeidsavtale med Jærkommunene, frivillige tiltak landbruk</t>
  </si>
  <si>
    <t>P18</t>
  </si>
  <si>
    <t>Fritidsaktiviteter for barn i fattige familier</t>
  </si>
  <si>
    <t>P19</t>
  </si>
  <si>
    <t>Kongesommer, inkl. småjobbsentralen</t>
  </si>
  <si>
    <t>P20</t>
  </si>
  <si>
    <t>Sandnes Historielag</t>
  </si>
  <si>
    <t>P21</t>
  </si>
  <si>
    <t>Tilskudd til kulturarrangement</t>
  </si>
  <si>
    <t>P22</t>
  </si>
  <si>
    <t>Husleietilskudd (kultur)</t>
  </si>
  <si>
    <t>P23</t>
  </si>
  <si>
    <t>Skas-Heigre pumpelag</t>
  </si>
  <si>
    <t>TOTALSUM KULTUR OG NÆRING</t>
  </si>
  <si>
    <t>Byutvikling og teknisk</t>
  </si>
  <si>
    <t>Park og gravlund</t>
  </si>
  <si>
    <t>BYTE</t>
  </si>
  <si>
    <t>Overtagelse av nye grøntanlegg/nærmiljøanlegg og lekeplasser</t>
  </si>
  <si>
    <t>Vedlikehold av jernbaneunderganger i sentrum</t>
  </si>
  <si>
    <t>Vei og trafikksikkerhet</t>
  </si>
  <si>
    <t>Økning energi - økte priser</t>
  </si>
  <si>
    <t>Leie av midlertidig bro ved Bråstein</t>
  </si>
  <si>
    <t>Gravplass</t>
  </si>
  <si>
    <t>Idrett og friluftsliv</t>
  </si>
  <si>
    <t>Justering av avtale for friluftsrådene og Rogaland Arboret</t>
  </si>
  <si>
    <t>Strategi- og handlingsplan mot skadelige arter</t>
  </si>
  <si>
    <t>Utarbeidelse av ny kommunedelplan "Aktive Sandnes"</t>
  </si>
  <si>
    <t>Driftsmidler Giskehallen</t>
  </si>
  <si>
    <t>Tildeling til spillemiddelfond</t>
  </si>
  <si>
    <t>Styrking av svømmeferdigheter</t>
  </si>
  <si>
    <t>P27</t>
  </si>
  <si>
    <t>Halleie Sandnes Håndballklubb</t>
  </si>
  <si>
    <t>P28</t>
  </si>
  <si>
    <t>Fotballhall Ganddal IL</t>
  </si>
  <si>
    <t>KVM</t>
  </si>
  <si>
    <t>Klimaomstilling - egeninnsats i samarbeidsprosjekter</t>
  </si>
  <si>
    <t>Oppfølging av luftforurensning</t>
  </si>
  <si>
    <t>Oppfølging av støy</t>
  </si>
  <si>
    <t xml:space="preserve">Samfunn, plan og bygg </t>
  </si>
  <si>
    <t>Bortfall av inntekter til reguleringsplanarbeid</t>
  </si>
  <si>
    <t>TOTALSUM BYUTVIKLING OG TEKNISK</t>
  </si>
  <si>
    <t>Organisasjon</t>
  </si>
  <si>
    <t>ORG</t>
  </si>
  <si>
    <t>Lærlingordning</t>
  </si>
  <si>
    <t>Ny IT-plattform og videre drift</t>
  </si>
  <si>
    <t xml:space="preserve">Fagopplæring, 1 årsverk </t>
  </si>
  <si>
    <t>Fagopplæring, 1 årsverk finansieres av disposisjonsfond i 2023</t>
  </si>
  <si>
    <t xml:space="preserve">Frikjøp tillitsvalgte, 1,5 årsverk </t>
  </si>
  <si>
    <t>Lederutviklingsprogram</t>
  </si>
  <si>
    <t>Lederutviklingsprogram, finansiering disposisjonsfond</t>
  </si>
  <si>
    <t>TOTALSUM ORGANISASJON</t>
  </si>
  <si>
    <t>Økonomi</t>
  </si>
  <si>
    <t>ØK</t>
  </si>
  <si>
    <t xml:space="preserve">Lønn, to årsverk </t>
  </si>
  <si>
    <t>Lønn, årsverk finansieres av disposisjonsfond</t>
  </si>
  <si>
    <t>Nytt virksomhetsstyringsverktøy</t>
  </si>
  <si>
    <t>Anskaffelser, 1 årsverk</t>
  </si>
  <si>
    <t>Anskaffelser, 1 årsverk finansieres av disposisjonsfond</t>
  </si>
  <si>
    <t>TOTALSUM ØKONOMI</t>
  </si>
  <si>
    <t>Sentrale staber, politisk virksomhet og fellesutgifter</t>
  </si>
  <si>
    <t>Kommunedirektørens staber</t>
  </si>
  <si>
    <t>KOM.FELLES</t>
  </si>
  <si>
    <t>Kommuneadvokat, økt stillingsressurs 0,2 årsverk</t>
  </si>
  <si>
    <t>Utviklingsfond</t>
  </si>
  <si>
    <t>skal ikke pønsjes</t>
  </si>
  <si>
    <t>Utviklingsfond, finansiering</t>
  </si>
  <si>
    <t>Kontrollutvalget</t>
  </si>
  <si>
    <t>Kommunen felles</t>
  </si>
  <si>
    <t>Folkehallene, drifts- og leieavtale 5 anlegg-rekalkulert</t>
  </si>
  <si>
    <t>Rogaland brann og redning IKS (RBK)-rekalkulert</t>
  </si>
  <si>
    <t>Lønnsreserven</t>
  </si>
  <si>
    <t>Økte pensjonsutgifter</t>
  </si>
  <si>
    <t>Spesialavtaler, tiltak F15 utgår fra handlings og økonomiplan 2021-2024</t>
  </si>
  <si>
    <t>Pilot 4 år, felles drift Rogaland Arboret/Stavanger botaniske hage</t>
  </si>
  <si>
    <t>Rogaland Arboret , felles drift</t>
  </si>
  <si>
    <t>Frilager</t>
  </si>
  <si>
    <t>NKS 110, tilskudd</t>
  </si>
  <si>
    <t>Filmkraft Rogaland, leieavtalen</t>
  </si>
  <si>
    <t>Opera Rogaland IKS, tilskudd</t>
  </si>
  <si>
    <t>IKA Rogaland IKS, økt tilskudd</t>
  </si>
  <si>
    <t>Attraktiv By</t>
  </si>
  <si>
    <t>P29</t>
  </si>
  <si>
    <t>Attraktiv By, finansieres av disposisjonsfond</t>
  </si>
  <si>
    <t>P30</t>
  </si>
  <si>
    <t>Finansiering utgår</t>
  </si>
  <si>
    <t>Ryfylke friluftsråd KO, tilskudd ny båt</t>
  </si>
  <si>
    <t>KS kontingent endring 2023</t>
  </si>
  <si>
    <t>Forsikringer, kommune felles</t>
  </si>
  <si>
    <t>IKART</t>
  </si>
  <si>
    <t xml:space="preserve">IKART - Finansieres ved omdisponering </t>
  </si>
  <si>
    <t>Sandnes kirkelige fellesråd, vedlikehold</t>
  </si>
  <si>
    <t>Stiftinga Jærmuset, tilskudd</t>
  </si>
  <si>
    <t>Eiendom</t>
  </si>
  <si>
    <t>Nye bygg, FDV eks. renhold og energi</t>
  </si>
  <si>
    <t>Nye bygg, renhold</t>
  </si>
  <si>
    <t>Innleie eksterne bygg</t>
  </si>
  <si>
    <t>Energi, økte priser</t>
  </si>
  <si>
    <t>Økt vedlikehold</t>
  </si>
  <si>
    <t>Politisk virksomhet</t>
  </si>
  <si>
    <t>Kommune- og fylkestingsvalg og stortingsvalg</t>
  </si>
  <si>
    <t>Økning av valgbudsjett</t>
  </si>
  <si>
    <t>Avslutningsarrangement for kommunestyret i 2023</t>
  </si>
  <si>
    <t>Opplæring folkevalgte 2023</t>
  </si>
  <si>
    <t>Reduserte utgifter politisk virksomhet</t>
  </si>
  <si>
    <t>P31</t>
  </si>
  <si>
    <t>Utgifter politisk virksomhet</t>
  </si>
  <si>
    <t>Økt godtgjørelse til valgmedarbeidere</t>
  </si>
  <si>
    <t>Studieturer for utvalgene i 2024</t>
  </si>
  <si>
    <t>Digitalisering av arbeidsprosesser for folkevalgte</t>
  </si>
  <si>
    <t xml:space="preserve">Storbykonferanse for eldreråd </t>
  </si>
  <si>
    <t>P32</t>
  </si>
  <si>
    <t>Reiseutgifter ansatte til/fra Forsand (for ansatte ved kom.sammenslåing)</t>
  </si>
  <si>
    <t>P33</t>
  </si>
  <si>
    <t>Grunnlovsdag</t>
  </si>
  <si>
    <t>TOTALSUM SENTRALE STABER, POLITISK VIRKSOMHET OG FELLESUTGIFTER</t>
  </si>
  <si>
    <t>Sum tiltak</t>
  </si>
  <si>
    <t>Renteutgifter nye investeringer</t>
  </si>
  <si>
    <t>Oppdatert 04.07.22 Øyvind</t>
  </si>
  <si>
    <t>Avdrag nye investeringer</t>
  </si>
  <si>
    <t>Strømpris per Kwh</t>
  </si>
  <si>
    <t>Overføring drift/inv</t>
  </si>
  <si>
    <t>Konsesjonskraft avsettes konsesjonskraftfond</t>
  </si>
  <si>
    <t>Økte utgifter pensjon</t>
  </si>
  <si>
    <t>pensjon</t>
  </si>
  <si>
    <t>Anslag netto driftsresultat</t>
  </si>
  <si>
    <t>Driftstinntekter</t>
  </si>
  <si>
    <t>Anslag netto driftsresultat i prosent</t>
  </si>
  <si>
    <t>Nye måtiltak:</t>
  </si>
  <si>
    <t>Konsekvens av lavere stømpris</t>
  </si>
  <si>
    <t>Driftsinntekter</t>
  </si>
  <si>
    <t>Netto driftsresultat i prosent</t>
  </si>
  <si>
    <t xml:space="preserve">Oppdatert 06.09 SW </t>
  </si>
  <si>
    <t>16.09.22 Oppdatert beløp, må beskrives</t>
  </si>
  <si>
    <t xml:space="preserve">Oppdatert 10.10 SW </t>
  </si>
  <si>
    <t>Kan komme kostnader i 25 og 26 også</t>
  </si>
  <si>
    <t>Oppdatert etter statsbudsjettet.</t>
  </si>
  <si>
    <r>
      <rPr>
        <sz val="11"/>
        <rFont val="Calibri"/>
        <family val="2"/>
        <scheme val="minor"/>
      </rPr>
      <t>Barnehageplasser på Figgjo.</t>
    </r>
    <r>
      <rPr>
        <sz val="11"/>
        <color rgb="FFFF0000"/>
        <rFont val="Calibri"/>
        <family val="2"/>
        <scheme val="minor"/>
      </rPr>
      <t xml:space="preserve"> </t>
    </r>
  </si>
  <si>
    <t>6 midlertidige årsverk går ut i 2023</t>
  </si>
  <si>
    <t>Vi vet ikke hva tilskuddet blir fra 2024.</t>
  </si>
  <si>
    <t>Finansieres av økt integreringstilskudd.</t>
  </si>
  <si>
    <t>9 plasser i Foreldreinitiativ 3</t>
  </si>
  <si>
    <t>Investering fremskyndet</t>
  </si>
  <si>
    <t>Hjemmetjenester</t>
  </si>
  <si>
    <t>Er reberegnet.</t>
  </si>
  <si>
    <t>Tiltak statsbudsjett.</t>
  </si>
  <si>
    <t>Tilsvarende tiltak i samarbeidende kommuner. Endret fra kr 1 530 pga allerede kompensert lønnsoppgjør.</t>
  </si>
  <si>
    <t>Rettigheter som ansatt</t>
  </si>
  <si>
    <t>Fratrukket basistilskudd på 2,5 millioner kommer inn som rammetilskudd og kan dermed ikke trekkes fra på budsjettet til Legetjenester.</t>
  </si>
  <si>
    <t>(300 000 x 10 stk)</t>
  </si>
  <si>
    <t>Må beskrives</t>
  </si>
  <si>
    <t>Er reberegnet. Nye satser kommer i statsbudsjettet. Satsene ble ikke endret.</t>
  </si>
  <si>
    <t>(3 til boutgifter, 15 til kvp)</t>
  </si>
  <si>
    <t>Finansieres av økt integreringstilskudd. Eventuell økt sosialhjelp vil komme utenom.</t>
  </si>
  <si>
    <t>Finansieres av økt integreringstilskudd. (2 boligkonsulenter, 1 konsulent innleie, 1 miljøvaktmester)</t>
  </si>
  <si>
    <t>Formannskaps vedtak 12/22-Landbruk</t>
  </si>
  <si>
    <t xml:space="preserve">Hva ligger i basis?? Økning på 1000 fra 2025. Ligger inne 3000 i 2023 og 4000 i 2024 og 2025 </t>
  </si>
  <si>
    <t xml:space="preserve">08.08. S.O. - Lagt inn utgifter tilsvarende tilleggsbevilgning i 1. perioderapport </t>
  </si>
  <si>
    <t>Deflator kan bli endret etter statsbudsjettet</t>
  </si>
  <si>
    <t xml:space="preserve">Lagt inn 2,5 millioner i basis. Beregninger viser at det trengs 1,063 millioner </t>
  </si>
  <si>
    <t xml:space="preserve">Økt fra 700 </t>
  </si>
  <si>
    <t xml:space="preserve">må gjøre dette, kommunen har forpliktet seg gjennom inngåtte avtaler, ønsket fra kommuneledelsen. </t>
  </si>
  <si>
    <t>lovpålagte oppgaver der vi ikke har noen ressurser i dag. Sandnes kommune fikk avvik da statsforvalteren hadde tilsyn på oppfølging luftforurensing.</t>
  </si>
  <si>
    <t>totalt kr 5,5 mill. Ou-midler kr 3 millioner, netto kr 2,5 mill= 0,5 bruker i 2022?</t>
  </si>
  <si>
    <t>fond på Organisasjon, it? Hr? org felles?</t>
  </si>
  <si>
    <t>fin. Av mindreforbruk/disp.fond 1 år</t>
  </si>
  <si>
    <t xml:space="preserve">Oppdatert 10.10.22 Sidsel </t>
  </si>
  <si>
    <t xml:space="preserve">Oppdatert 09.10.22 Sidsel </t>
  </si>
  <si>
    <t>Oppdatert 06.10.22 Øyvind</t>
  </si>
  <si>
    <t>NYTT  6 oktober av Sidsel Haugen</t>
  </si>
  <si>
    <t>Oppdatert 11.9.22 Sidsel, søkes om 010 kr/innb, foreslår opptrapping over 2 år</t>
  </si>
  <si>
    <t>110 sentralen nytt IT system</t>
  </si>
  <si>
    <t>Oppdatert 11.9.22 Sidsel, leieavtalen m/eiendom og prisjust tilskudd. I basis 1,880 mill</t>
  </si>
  <si>
    <t>Oppdatert 11.9.22 Sidsel jf søknad fra IKSet på 0,9 mill (19%), legger inn 6% økning til 0,8 mill.</t>
  </si>
  <si>
    <t>Oppdatert 11.9.22 Sidsel jf mottatt budsjettforslag fra rep.skapet i IKA, 4% økning</t>
  </si>
  <si>
    <t xml:space="preserve">Oppdatert 11.9.22 Sidsel, midler til konkret prosjektutvikling </t>
  </si>
  <si>
    <t>Oppdatert 11.9.22 Sidsel, Kom felles prosjekter fond 25701110</t>
  </si>
  <si>
    <r>
      <t xml:space="preserve">Oppdatert 11.9.22 Sidsel jf. KS skriv om kontingent 2023, </t>
    </r>
    <r>
      <rPr>
        <b/>
        <sz val="11"/>
        <color rgb="FFFF0000"/>
        <rFont val="Calibri"/>
        <family val="2"/>
        <scheme val="minor"/>
      </rPr>
      <t>OU delen håndteres i perioderapport 2023</t>
    </r>
  </si>
  <si>
    <t>NYTT 6 oktober</t>
  </si>
  <si>
    <t>Finansieres av omdisponering midler fra 1150/1099/1200</t>
  </si>
  <si>
    <t>NYTT 5 oktober fra Bodil Sivertsen &amp; Sidsel Haugen</t>
  </si>
  <si>
    <t>Oppjustert med kr 1,2 millioner 16/9. skeiane legesenter</t>
  </si>
  <si>
    <t>Redusert "vedlikehold" i investeringsregnskapet med 32,45 millioner i 2023 og 2024. Fra 2025 er det redusert med 37 millioner (merk at beløpene er høyere fra 2025, derav en høyere reduksjon)</t>
  </si>
  <si>
    <t xml:space="preserve">First Agenda er anskaffet. </t>
  </si>
  <si>
    <t>hvilket fond? Tiltaket finansieres av eget fond 25701118</t>
  </si>
  <si>
    <t>Oppdatert  05.08. Torunn foreløpig</t>
  </si>
  <si>
    <t>Økte strømutgifter Eiendom og Park, idrett og vei</t>
  </si>
  <si>
    <t>Oppdatert 03.10.22 Øyvind</t>
  </si>
  <si>
    <t>Oppdatert 11.9.22 Sidsel, la stå nå, avklares uke 37</t>
  </si>
  <si>
    <t>Oppdatert 05.09. SM</t>
  </si>
  <si>
    <t>Foreløpig beregning 23/08</t>
  </si>
  <si>
    <r>
      <rPr>
        <sz val="11"/>
        <rFont val="Calibri"/>
        <family val="2"/>
        <scheme val="minor"/>
      </rPr>
      <t>Barnehageplasser på Figgjo.</t>
    </r>
    <r>
      <rPr>
        <sz val="11"/>
        <color rgb="FFFF0000"/>
        <rFont val="Calibri"/>
        <family val="2"/>
        <scheme val="minor"/>
      </rPr>
      <t xml:space="preserve"> Må finregnes. Sentrumsbarnehage? 25-26</t>
    </r>
  </si>
  <si>
    <t>Er reberegnet. Nye satser kommer i statsbudsjettet.</t>
  </si>
  <si>
    <t>ERP-system, skyløsning</t>
  </si>
  <si>
    <t>Må ta de kostnadene som kommer, men foreløpig for tidlig å gi anslag</t>
  </si>
  <si>
    <t>Folkehallene, drifts- og leieavtale 5 anlegg</t>
  </si>
  <si>
    <t>Oppdatert 11.9.22 Sidsel jf mottatt 1.utkast fra Folkehallene inkl. FSS, Sola Arena</t>
  </si>
  <si>
    <t>Rogaland brann og redning IKS (RBK)</t>
  </si>
  <si>
    <t>Oppdatert 11.9.22 Sidsel jf mottatt 1.utkast fra RBR</t>
  </si>
  <si>
    <t>Oppdatert 08.09.22 Øyvind</t>
  </si>
  <si>
    <t>NKS 110 tilskudd</t>
  </si>
  <si>
    <t>Filmkraft Rogaland-leieavtalen</t>
  </si>
  <si>
    <t>Opera Rogaland IKS-tilskudd</t>
  </si>
  <si>
    <t>IKA Rogaland IKS-økt tilskudd</t>
  </si>
  <si>
    <r>
      <t xml:space="preserve">Oppdatert 11.9.22 Sidsel jf. KS skriv om kontingent 2023, </t>
    </r>
    <r>
      <rPr>
        <b/>
        <sz val="11"/>
        <color rgb="FFFF0000"/>
        <rFont val="Calibri"/>
        <family val="2"/>
        <scheme val="minor"/>
      </rPr>
      <t>OU delen ikke endelig klar</t>
    </r>
  </si>
  <si>
    <t>Mangler tall</t>
  </si>
  <si>
    <t>IKART finansieres av…</t>
  </si>
  <si>
    <t>Sandnes kirkelige fellesråd-vedlikehold</t>
  </si>
  <si>
    <t>NYTT 5 sept fra Bodil Sivertsen &amp; Sidsel Haugen</t>
  </si>
  <si>
    <t>Økt godtgjørelse til valgmedarbeidere i 2023 og 2025</t>
  </si>
  <si>
    <t>hvilket fond?</t>
  </si>
  <si>
    <t>Økte strømutgifter eiendom og piv utover basis</t>
  </si>
  <si>
    <t>Oppdatert 05.07.22 Øyvind</t>
  </si>
  <si>
    <t>Hege. Reberegnes til høsten. Estimatet er gitt at 360 flyktninger i 2022 blir. Fjorårets tall for 2023 var 43 mill.</t>
  </si>
  <si>
    <t>Oppdatert 06.09.22 Øyvind</t>
  </si>
  <si>
    <t>Oppdatert 05.09.22 Øyvind</t>
  </si>
  <si>
    <t>Oppdatert 30.08.22 Øyvind, anslag fra SH</t>
  </si>
  <si>
    <t>SFS2213 Arbeidstidsavtalen, ekstra kontaktlærertime</t>
  </si>
  <si>
    <t>Bemanning ved 4 skoler/ innføringsklasser, 4 lærere + 3 miljøpersonell + adm kostnader Ukraina</t>
  </si>
  <si>
    <t>SLS, intro norsk og samf ca 100 voksne fra Ukraina</t>
  </si>
  <si>
    <t>Tildeling spesialundervisning friskoler</t>
  </si>
  <si>
    <t>SFO, Gratis kjernetid 1. klassinger</t>
  </si>
  <si>
    <t>Fast ansatte vikarer i rekrutteringstjenesten</t>
  </si>
  <si>
    <t>12 årsverk vikar, 0,4 årsverk administrasjon. Barnehagene dekker om lag kr 5,2 mill, resten må bevilges. Bruke midler fra heltidsprosjekt?</t>
  </si>
  <si>
    <t>Styrking av bemanning Varatun og Langgata grunnet høy andel minorspråklig, 2 stillinger</t>
  </si>
  <si>
    <t xml:space="preserve">Prosjekt rettet mot yngre unge grunnet covid-19 </t>
  </si>
  <si>
    <t xml:space="preserve">PPT, Styrking med 4 årsverk </t>
  </si>
  <si>
    <t>HST, Tilskudd fra Helsedirektoratet reduserers</t>
  </si>
  <si>
    <t>HST, 4 årsverk fast til flyktningsarbeid</t>
  </si>
  <si>
    <t>FBU, 2 lærere + adm kostnader, eklsusiv reiseutgifter , Ukraina</t>
  </si>
  <si>
    <t>investering fremskyndet</t>
  </si>
  <si>
    <t>Internhusleie, renholds- og energikostnader, EFF</t>
  </si>
  <si>
    <t>Må reberegnes.</t>
  </si>
  <si>
    <t>Jæren Ø-hjelp - øke rammen</t>
  </si>
  <si>
    <t>tilsvarende tiltak i samarbeidende kommuner?</t>
  </si>
  <si>
    <t>Legevakt - leger på satser får flere rettigheter etter SFS2305-avtalen</t>
  </si>
  <si>
    <t>rettigheter som ansatt</t>
  </si>
  <si>
    <t>Legetjenester -  kommunalt legesenter</t>
  </si>
  <si>
    <t>Legetjenester - stabiliseringstiltak (praksiskomp.)</t>
  </si>
  <si>
    <t>Legetjenester - rekrutteringstilskudd (300 000 x 10 stk)</t>
  </si>
  <si>
    <t>Legevakt - x årsverk natt</t>
  </si>
  <si>
    <t>må beskrives</t>
  </si>
  <si>
    <t>Reberegnes til høsten.</t>
  </si>
  <si>
    <t>NAV - Økonomisk sosialhjelp (3 til boutgifter, 15 til kvp)</t>
  </si>
  <si>
    <t>NAV - 2 årsverk ifm flyktninger Ukraina</t>
  </si>
  <si>
    <t>Bolig - oppbemanning ifm flyktninger Ukraina (2 boligkonsulenter, 1 konsulent innleie, 1 miljøvaktmester)</t>
  </si>
  <si>
    <t>Flyktning - 8 årsverk grunnet økt anmodning + 1 mill til drift</t>
  </si>
  <si>
    <t>Flyktning - 4 årsverk forsøkes løst innenfor rammen</t>
  </si>
  <si>
    <t>Kulturskolen, avdelingsleder</t>
  </si>
  <si>
    <t>Kulturskolen, finansieres av eget disposisjonsfond</t>
  </si>
  <si>
    <t>Samarbeidsavtale med Jærkommunane</t>
  </si>
  <si>
    <t xml:space="preserve">Reversere innsparing </t>
  </si>
  <si>
    <t xml:space="preserve">Må sjekkes </t>
  </si>
  <si>
    <t>Bortfall av inntekter fra bymiljøpakken til reguleringsplanarbeid</t>
  </si>
  <si>
    <t>1 konsulentstilling knyttet til fagopplæring </t>
  </si>
  <si>
    <t>Fagopplæring, finansiering av disposisjonsfond</t>
  </si>
  <si>
    <t>1.5 stillinger økt tillitsvalgtsressurs  </t>
  </si>
  <si>
    <t>Lederutviklingsprogram, finansiering av egne fond</t>
  </si>
  <si>
    <t>2 stillinger lønningsavdelingen</t>
  </si>
  <si>
    <t>Stillinger lønn, finansiering av disposisjonsfond</t>
  </si>
  <si>
    <t>Anskaffelser, nytt årsverk</t>
  </si>
  <si>
    <t>Kommuneadvokat, økt stillingsressurs</t>
  </si>
  <si>
    <t>Spesialavtaler, utgår F15 fra handlings og økonomiplan 2021-2024</t>
  </si>
  <si>
    <t>Forus Sportssenter</t>
  </si>
  <si>
    <t>Oppdatert 11.9.22 Sidsel jf mottatt 1.utkast fra Folkehller, se F2</t>
  </si>
  <si>
    <t>Sola Arena</t>
  </si>
  <si>
    <t>Oppdatert 11.9.22 Sidsel jf mottatt 1.utkast fra Folkehallene inkl.Sola Arena. Se F2</t>
  </si>
  <si>
    <t>Oppdatert 11.9.22 Sidsel jf. KS skriv om kontingent 2023, OU delen ikke endelig klar</t>
  </si>
  <si>
    <t>Nye bygg - Vedlikehold / FDV eks. renhold og energi (både helårsvirkning og nye bygg)</t>
  </si>
  <si>
    <t>Nye bygg  - Renhold (både helårsvirkning og nye bygg)</t>
  </si>
  <si>
    <t>Med utgangspunkt i forbruk 2021 og pris 1,8 øre pr kwh</t>
  </si>
  <si>
    <t>Tildeling særskilt norskopplæring til privatskolene</t>
  </si>
  <si>
    <t>Økning språkdelingsklasser</t>
  </si>
  <si>
    <t>12 årsverk vikar, 0,4 årsverk administrasjon. Barnehagene dekker om lag kr 5,2 mill, resten må bevilges</t>
  </si>
  <si>
    <t>Legetjenester - sykehjemslege SHS</t>
  </si>
  <si>
    <t>Fysio - trygghetsalarmer</t>
  </si>
  <si>
    <t>Samarbeidsavtale med Jærkommunane-Frivillige tiltak landbruk</t>
  </si>
  <si>
    <t>2 konsulentstilling knyttet til fagopplæring </t>
  </si>
  <si>
    <t>est.</t>
  </si>
  <si>
    <t>Engleongana bhg - tas ut</t>
  </si>
  <si>
    <t>Oppdatert 11.9.22 Sidsel jf innstilling fra FSK til Kom.styret 12.9.22. Fin BHG-sjefens fond</t>
  </si>
  <si>
    <t>Mobilt forhåndsstemmemottak</t>
  </si>
  <si>
    <t xml:space="preserve">Lagt inn i fjor, tatt ut politisk </t>
  </si>
  <si>
    <t>fond?</t>
  </si>
  <si>
    <t xml:space="preserve">Oppdatert  15.08. Jostein </t>
  </si>
  <si>
    <t>økte strømutgifter utover 50 mill? i basis</t>
  </si>
  <si>
    <t>Odd/Sidsel</t>
  </si>
  <si>
    <t>Oppdatert 05.08. Torunn</t>
  </si>
  <si>
    <t>Administrasjonskonsulent</t>
  </si>
  <si>
    <t>08.08. SM - til prioritering i KLG</t>
  </si>
  <si>
    <t>Reberegnes 1.september</t>
  </si>
  <si>
    <t xml:space="preserve">Telefongodtgjørelse </t>
  </si>
  <si>
    <t>SFO, fritak for matpenger (prio)</t>
  </si>
  <si>
    <t>Forutsetning at 95% av førsteklassingene går på SFO. Reberegnes i august</t>
  </si>
  <si>
    <t>Må finregnes. Sentrumsbarnehage? 25-26</t>
  </si>
  <si>
    <t>Reversere innsparingskrav</t>
  </si>
  <si>
    <t>5,4 mill ble reversert ved politisk behandling i 2023</t>
  </si>
  <si>
    <t>Styrka bhg - reversere innsparing</t>
  </si>
  <si>
    <t xml:space="preserve">Styrka bhg - årsverk </t>
  </si>
  <si>
    <t>IKKE PRI</t>
  </si>
  <si>
    <t>Fritak for matpenger kommunale barnehager (prio)</t>
  </si>
  <si>
    <t>Må beregnes, regnes om med kun Gratis kjernetid</t>
  </si>
  <si>
    <t>Fritak fra matpenger priate barnehager (prio)</t>
  </si>
  <si>
    <t>Må beregnes</t>
  </si>
  <si>
    <t>Innkjøp og driftsutgifter til internkontrollsystem §9 barnehagelov</t>
  </si>
  <si>
    <t>Investering?</t>
  </si>
  <si>
    <t>Mottaksbarnehage</t>
  </si>
  <si>
    <t>PPT, Lisenser fagsystem</t>
  </si>
  <si>
    <t>PPT, Reiseutgifter "Tett på"/Kompetanseløftet</t>
  </si>
  <si>
    <t>PPT, Datautstyr</t>
  </si>
  <si>
    <t>Bytter hele maskinparken på 2 år</t>
  </si>
  <si>
    <t>PPT, Kursbudsjett</t>
  </si>
  <si>
    <t>PPT, Mobiltelefoni</t>
  </si>
  <si>
    <t>HST, 6 årsverk helsesykepleier</t>
  </si>
  <si>
    <t>HST, 2 årsverk jordmor</t>
  </si>
  <si>
    <t>HST, lisensutgifter</t>
  </si>
  <si>
    <t>BFE, Fact Ung</t>
  </si>
  <si>
    <t>BFE, MST-CAN 3 årsverk</t>
  </si>
  <si>
    <t>BFE, finansiering innefor rammen</t>
  </si>
  <si>
    <t>BFE, Tilsynsteam 3 årsverk</t>
  </si>
  <si>
    <t xml:space="preserve"> </t>
  </si>
  <si>
    <t>BFE, Fagprogram</t>
  </si>
  <si>
    <t>SLT, Flexid kurs</t>
  </si>
  <si>
    <t>Tilskudd ATV</t>
  </si>
  <si>
    <t>Driftstilskudd priv fysio - 5,8 åv heving til 100%</t>
  </si>
  <si>
    <t>Driftstilskudd priv fysio - 4,2 åv til ASSS-nivå</t>
  </si>
  <si>
    <t>Samordning, 0,5 årsverk kreftkoordinator</t>
  </si>
  <si>
    <t>Legevakt - Klepp og Time går ut av samarbeidet (inntjeningskravet)</t>
  </si>
  <si>
    <t>Driver med samme kapasitet. Vanskelig å redusere ansatte/årsverk.</t>
  </si>
  <si>
    <t>Legevakt - 0,5 årsverk lege dag, 1 ekstra lege natt</t>
  </si>
  <si>
    <t>0,5 på dag. 1 på natt.</t>
  </si>
  <si>
    <t>Legevakt - psykososialt kriseteam - lønnsoppgjør og økte satser</t>
  </si>
  <si>
    <t>Mestring - 2 årsverk til avd rask psykisk helse og aktivitet</t>
  </si>
  <si>
    <t>Finansiere 1 årsverk av økt integreringstilskudd?</t>
  </si>
  <si>
    <t>Mestring - 1,5 årsverk til adm oppgaver</t>
  </si>
  <si>
    <t>Mestring - Sandnes sin andel av Jæren Recovery College</t>
  </si>
  <si>
    <t>Fond</t>
  </si>
  <si>
    <t>Legetjenester - kommunalt legesenter, rekrutteringstiltak, stabiliseringstiltak</t>
  </si>
  <si>
    <t>2 mill er lagt som investering - inventar. Halvtårseffekt på legesenter.</t>
  </si>
  <si>
    <t>Fysio - for høyt inntjeningskrav på fastlønnstilskudd</t>
  </si>
  <si>
    <t>Internhusleie, renholds- og energikostnader, sosiale tjenester</t>
  </si>
  <si>
    <t>Internhusleie, renholds- og energikostnader, sosiale tjenester, nye bygg</t>
  </si>
  <si>
    <t>NAV - 1 årsverk gjeldsrådgivning</t>
  </si>
  <si>
    <t>Ble halvert til kr 9 mill., men økt igjen etter sommeren.</t>
  </si>
  <si>
    <t>Bolig - 1 årsverk boligkonsulent</t>
  </si>
  <si>
    <t>Finansieres via midler til etablering/tilpasning.</t>
  </si>
  <si>
    <t>Sandnes matservice, 0,6 årsverk til kantinen</t>
  </si>
  <si>
    <t>Øker hjemmel mot inntjeningskrav.</t>
  </si>
  <si>
    <t>Avdelingsleder-Kulturskolen</t>
  </si>
  <si>
    <t>Utvidelse av Sandnes synge</t>
  </si>
  <si>
    <t>Korps – instrumentalopplæring i kulturskolen</t>
  </si>
  <si>
    <t>Mangfold- og integreringskoordinator</t>
  </si>
  <si>
    <t xml:space="preserve">Økning på 1000 fra 2025. Ligger inne 3000 i 2023 og 4000 i 2024 og 2025 </t>
  </si>
  <si>
    <t>Drift av åpne overvannsløsninger</t>
  </si>
  <si>
    <t>Ruten mellom parken og jernbanen samt mellom parken og stasjonsbygget, ferdigstilling av arealene.</t>
  </si>
  <si>
    <t>Vedlikehold av nytt hundeluftingsområde</t>
  </si>
  <si>
    <t>Vedlikehold av nytt aktivitetsanlegg - trimanlegg</t>
  </si>
  <si>
    <t>Drift av toalett og gapahuk ved Stokkalandsvatnet</t>
  </si>
  <si>
    <t>Drift av to paddeltennisbaner og kunstgressbane ved Gravarslia</t>
  </si>
  <si>
    <t>Utarbeide grøntplan for Sandnes</t>
  </si>
  <si>
    <t xml:space="preserve">Økt drift av sentrumsgater langs bussvei </t>
  </si>
  <si>
    <t>Renhold i sentrum</t>
  </si>
  <si>
    <t>Vedlikehold av grøntarealer og dekker i sentrum</t>
  </si>
  <si>
    <t>Lapping av hull i vei, fortau og gang- og sykkelstier</t>
  </si>
  <si>
    <t>Tømming av sandfang</t>
  </si>
  <si>
    <t>Vinterdrift</t>
  </si>
  <si>
    <t>Toalettvask og renhold i Songesand og Lysebotn</t>
  </si>
  <si>
    <t>Reparasjon av dekke på eksisterende grusveier</t>
  </si>
  <si>
    <t>Vedlikehold av støyskjermer</t>
  </si>
  <si>
    <t>Vedlikehold av kantstein</t>
  </si>
  <si>
    <t>Tilstandsregistrering veier, gang- og sykkelstier og fortau</t>
  </si>
  <si>
    <t xml:space="preserve">Flyttet fra investering </t>
  </si>
  <si>
    <t xml:space="preserve">Vedlikehold av strømledningsnett for gate- og parklys </t>
  </si>
  <si>
    <t>Økt vedlikeholdsstandard på gravplasser</t>
  </si>
  <si>
    <t>Innmåling og kartlegging samt rep av overvannsledninger, strømledninger og vannledninger på gravplassene.</t>
  </si>
  <si>
    <t>Drift og vedlikehold ved overtakelse av nytt gravplassareal Soma - ny del</t>
  </si>
  <si>
    <t>Ønsker å øke eksisterende tiltak med 50 (T4)</t>
  </si>
  <si>
    <t>Internhusleie, renholds- og energikostnader, teknisk</t>
  </si>
  <si>
    <t>Tas ut?</t>
  </si>
  <si>
    <t>Tiltak mot fremmede, skadelige arter</t>
  </si>
  <si>
    <t>Tiltak ligger inne i 2022 og 2023 (T15). Ber om midler ut perioden</t>
  </si>
  <si>
    <t>Skjøtsel og ivaretakelse av naturverdier i fri- og friluftsområder</t>
  </si>
  <si>
    <t>Drift og vedlikehold av områder tilrettelagt for friluftsliv</t>
  </si>
  <si>
    <t>Plankoordinator for planarbeid i regi av Park, idrett og vei</t>
  </si>
  <si>
    <t>Kommunale avgifter Forsand kultur og idrettsområde</t>
  </si>
  <si>
    <t>Må sjekkes. Utgår?</t>
  </si>
  <si>
    <t>Programvarelisenser for drukningssystem for svømmehallene</t>
  </si>
  <si>
    <t>Leie Sandneshallen Sandnes håndball</t>
  </si>
  <si>
    <t>Bidrag til restaureringsarbeid i vassdrag</t>
  </si>
  <si>
    <t>her får vi veldig mye igjen for pengene, vi bidrar med en egenandel + timer og får minst tre-gangen igjen</t>
  </si>
  <si>
    <t>Miljøpatrulje - bistand til dugnader</t>
  </si>
  <si>
    <t>Ordfører har i mange år ønsket ulike ryddeaksjoner/dugnader. Slike dugnader kan ikke dekkes av renovasjon selvkost.</t>
  </si>
  <si>
    <t>Årlig arrangement med fokus på sirkulærøkonomi</t>
  </si>
  <si>
    <t>Vedtatt i Klima- og miljøplanen</t>
  </si>
  <si>
    <t>Varatun - oppfølging av etterdrift</t>
  </si>
  <si>
    <t>Det er strengt tatt ulovlig å ta all etterdrift på Varatun på selvkost i og med at kommunen hadde inntekter fra mottak av næringsavfall her.</t>
  </si>
  <si>
    <t xml:space="preserve">Ny hjemmel rådgiver samfunnsutvikling </t>
  </si>
  <si>
    <t>Midler til utredning og overordet planarbeid, oppfølging kommuneplan</t>
  </si>
  <si>
    <t>Midler til KDP Naturmangfold</t>
  </si>
  <si>
    <t>Utredning gangforbindelse langs Norestraen</t>
  </si>
  <si>
    <t>Utgår?</t>
  </si>
  <si>
    <t>Felles pott til utredninger Samfunn, plan og bygg</t>
  </si>
  <si>
    <t>2 nye hjemler til rådgivere byplan</t>
  </si>
  <si>
    <t>65 prosent skatt?</t>
  </si>
  <si>
    <t>Ny hjemmel til byplansjef</t>
  </si>
  <si>
    <t>Nye utgifter til MBN sentralbord</t>
  </si>
  <si>
    <t>2 nye HR-rådgiverstillinger (1 i 2024 og ytterligere 1 i 2025)</t>
  </si>
  <si>
    <t>Finansiere selv første årene? Midler på fond (3 mill).</t>
  </si>
  <si>
    <t>Tapte inntekter-konferanserom</t>
  </si>
  <si>
    <t>Tas mot 1151-1421-1233?</t>
  </si>
  <si>
    <t>Eco-online (stoffkartotek)</t>
  </si>
  <si>
    <t>Økte lisenser Dossier</t>
  </si>
  <si>
    <t>Nye moduler og oppgraderinger i HRM systemer</t>
  </si>
  <si>
    <t>Nye moduler i Mercell CTM AB, Visma modul (KGV) GS1, rettsdata</t>
  </si>
  <si>
    <t>må reberegnes-kommer uke 37-Sidsel</t>
  </si>
  <si>
    <t>Oppdatert 23.05.22 Øyvind</t>
  </si>
  <si>
    <t>kommer uke 34</t>
  </si>
  <si>
    <t>kommer uke 34-estimat må reberegnes!</t>
  </si>
  <si>
    <t>Engleongana bhg</t>
  </si>
  <si>
    <t>kommer uke 35/37 tilskudd private BHG/barnehagesjefens fond?</t>
  </si>
  <si>
    <t>kommer uke 34-estimat må reberegnes! Bruk av fond?</t>
  </si>
  <si>
    <t>kommer uke 35-estimat må reberegnes! Bruk av fond?</t>
  </si>
  <si>
    <t>Nye bygg - energi (både helårsvirkning og nye bygg)</t>
  </si>
  <si>
    <t xml:space="preserve">KPI justering </t>
  </si>
  <si>
    <t xml:space="preserve">4,5% av basisbudsjett på 94,8 mnok ( ikke energi og renhold) </t>
  </si>
  <si>
    <t>Endring FDV-sats eksisterende bygg</t>
  </si>
  <si>
    <t>Denne blir beregnet i august, etter at sak om Strategisk Vedlikeholdspan er behandlet politisk</t>
  </si>
  <si>
    <t>Oppdatert  02.06</t>
  </si>
  <si>
    <t>Oppdatert 23.05.22 Jostein</t>
  </si>
  <si>
    <t>l5</t>
  </si>
  <si>
    <t>Oppdatert 24.05.22 Jostein</t>
  </si>
  <si>
    <t>SFS2213 Arbeidstidsavtalen, ekstra kontaktlærertime (Lønnsreserve?)</t>
  </si>
  <si>
    <r>
      <t xml:space="preserve">Skal dette her? </t>
    </r>
    <r>
      <rPr>
        <sz val="11"/>
        <rFont val="Calibri"/>
        <family val="2"/>
        <scheme val="minor"/>
      </rPr>
      <t>Vi har ikke fått midler i rammetilskudd til dette. Hvordan kommer vi fram til et såpass høyt beløp?</t>
    </r>
  </si>
  <si>
    <t>HST, 3 årsverk fast til flyktningsarbeid</t>
  </si>
  <si>
    <t>Legevakt - 1,5 nytt årsverk lege</t>
  </si>
  <si>
    <t>Legevakt - psykososialt kriseteam - økte utgifter</t>
  </si>
  <si>
    <t>Har halvert fra 18 mill.</t>
  </si>
  <si>
    <t>Tas mot 1370-1425-1231? Dette beløpet er til bedriftshelsetjenesten, flyttet fra ansv 1420</t>
  </si>
  <si>
    <t>må reberegnes</t>
  </si>
  <si>
    <t xml:space="preserve">Internhusleie, inntekt helårsvirkninger </t>
  </si>
  <si>
    <t>Internhusleie, inntekt nye bygg ferdigstilles i planperioden</t>
  </si>
  <si>
    <t>Internhusleie, innleide bygg</t>
  </si>
  <si>
    <t>Internhusleie etter diverse tiltak, rehabilitering, miljøtiltak osv</t>
  </si>
  <si>
    <t>Kapitalkostnader, tilbakeføring, nye bygg</t>
  </si>
  <si>
    <t>Kapitalinntekt, tilbakeføring, nye bygg</t>
  </si>
  <si>
    <t>Renter på lån som eiendom betjener på bygg som leies ut til eksterne leietakere</t>
  </si>
  <si>
    <t>DRIFTSTILTAK, ØKONOMIPLAN 2022-2025</t>
  </si>
  <si>
    <t>BASISBUDSJETT 2022</t>
  </si>
  <si>
    <t>VEDTATTE TILTAK, HØP 2021-2024</t>
  </si>
  <si>
    <t>NYE INNSPARINGER/SALDERINGER ØP 2022-2025</t>
  </si>
  <si>
    <t>NYE TILTAK ØP 2022-2025 - MÅ PRIORITERES</t>
  </si>
  <si>
    <t>ANDRE NYE TILTAK ØP 2022-2025</t>
  </si>
  <si>
    <t>NYE TILTAK ØP 2022-2025 - IKKE PRIORITERT</t>
  </si>
  <si>
    <t>Ansvarleg</t>
  </si>
  <si>
    <t>Prefiks</t>
  </si>
  <si>
    <t>Nr</t>
  </si>
  <si>
    <t>Skatt ØP21</t>
  </si>
  <si>
    <t>Rammetilskudd</t>
  </si>
  <si>
    <t>Øyvind oppdatert 18.10.2021 - deflator 2,5</t>
  </si>
  <si>
    <t>I</t>
  </si>
  <si>
    <t>Odd oppdatert 13.09.2021</t>
  </si>
  <si>
    <t>Jostein oppdatert 13.09.2021</t>
  </si>
  <si>
    <t>Jostein oppdaterer</t>
  </si>
  <si>
    <t>Øyvind oppdatert 28.09.2021</t>
  </si>
  <si>
    <t>Hege oppdatert 13.10.2021</t>
  </si>
  <si>
    <t>Ragnhild oppdatert 08.10.2021</t>
  </si>
  <si>
    <t>Uendret Ragnhild 14.06.2021</t>
  </si>
  <si>
    <t>Ragnhild oppdatert 14.06.2021, vedtak i sak 68/21 21.06.2021</t>
  </si>
  <si>
    <t>SM oppdatert 18.10.2021</t>
  </si>
  <si>
    <t>30.09.21 bruk innsparing mot hv-innsparing</t>
  </si>
  <si>
    <t>Øyvind oppdatert 08.06.2021</t>
  </si>
  <si>
    <t>Oppdatert 30.08.21 basert på budsjett Momentum-modell</t>
  </si>
  <si>
    <t>ØP 21-24 REKALK</t>
  </si>
  <si>
    <t>Oppdatert 13.09 - Sander</t>
  </si>
  <si>
    <t>OV</t>
  </si>
  <si>
    <t>ØP 21-24</t>
  </si>
  <si>
    <t>Pilotprosjekt, utvidet leksehjelp</t>
  </si>
  <si>
    <t>Oppvekstadministrativ system (IST) og timeplansystem, drift og investering</t>
  </si>
  <si>
    <t>En ekstra skoletime i naturfag på ungdomstrinnet</t>
  </si>
  <si>
    <t xml:space="preserve">Ressurser til styrkning i SFO </t>
  </si>
  <si>
    <t>Oppdatert 01.10 - Sander</t>
  </si>
  <si>
    <t>Internhusleie, renholds- og energikostnader, skoler</t>
  </si>
  <si>
    <t>Oppdatert 06.09 - mathilde</t>
  </si>
  <si>
    <t>Internhusleie, renholds- og energikostnader, skoler, nye bygg</t>
  </si>
  <si>
    <t>Internhusleie, renholds- og energikostnader, skoler, innleide bygg</t>
  </si>
  <si>
    <t>Oppdatert 03.09 - mathilde</t>
  </si>
  <si>
    <t xml:space="preserve">Etablering av kommunale barnehageplasser </t>
  </si>
  <si>
    <t>Ny 6 avdeling ferdig til august 2024?, brutto kost 16 mill</t>
  </si>
  <si>
    <t>Økt foreldrebetaling i barnehager</t>
  </si>
  <si>
    <t>Ny 6 avdeling ferdig til august 2024?, 90 nye barn. Økt pris i statsbudsjettet spises opp av moderasjonene</t>
  </si>
  <si>
    <t>Generell innsparing oppvekst barn og unge</t>
  </si>
  <si>
    <t>Oppdatert etter statsbudsjett, reduksjon kapitaltilskudd og pensjonssats</t>
  </si>
  <si>
    <t>Parkering HS-bygget</t>
  </si>
  <si>
    <t>Fra perioderapporten. En andel skal til Mestringsenheten</t>
  </si>
  <si>
    <t>Tilrettelegging for flere barnehagelærere i grunnbemanningen</t>
  </si>
  <si>
    <t>Fra statsbudsjettet.</t>
  </si>
  <si>
    <t>BFE - Tilskudd, kommunalt rusarbeid 6 stillinger. Opptrappingsplan</t>
  </si>
  <si>
    <t>PPT - Selvfinansiering av årsverk</t>
  </si>
  <si>
    <t>Finansierer seg selv gjennom reduksjon i sp.und. fra 2023</t>
  </si>
  <si>
    <t>BFE - Barnevernsreform</t>
  </si>
  <si>
    <t xml:space="preserve">PPT &amp; BFE - Årlig lisensavgift for journalsystem </t>
  </si>
  <si>
    <t xml:space="preserve">1.perioderapport 2021 - 500 PPT og 50 BFE </t>
  </si>
  <si>
    <t>1.perioderapport 2021</t>
  </si>
  <si>
    <t xml:space="preserve">Prosjekt/pakke rettet mot yngre unge grunnet covid-19 </t>
  </si>
  <si>
    <t>Finanseres av disp.fond. Tekst kommer fra direktør til JVK</t>
  </si>
  <si>
    <t>29.09.21 SM finansiering tiltakspakker oppvekst</t>
  </si>
  <si>
    <t>Internhusleie, renholds- og energikostnader, helsestasjoner</t>
  </si>
  <si>
    <t>Oppdatert 02.09 - mathilde</t>
  </si>
  <si>
    <t>Internhusleie, renholds- og energikostnader, helsestasjoner, innleide bygg</t>
  </si>
  <si>
    <t>Oppdatert 06.09 - mathilde (jærveien 34)</t>
  </si>
  <si>
    <t>Helsestasjonstjenester, psykisk helse, lavterskeltilbud i kommunene</t>
  </si>
  <si>
    <t>Kr 75 mill til kommunene = om lag kr 1,050 til Sandnes kommune - til helsestasjonstjenester - 2 årsverk</t>
  </si>
  <si>
    <t>TOTALSUM OPPVEKST</t>
  </si>
  <si>
    <t>8 boenheter i Olsokveien, for personer med funksjonsnedsettelser</t>
  </si>
  <si>
    <t>H</t>
  </si>
  <si>
    <t>Tilsynstjeneste (SFO)</t>
  </si>
  <si>
    <t>Økt behov hjemmetjeneste grunnet utsettelse av sykehjem</t>
  </si>
  <si>
    <t>Nattvaktssett på Sandnes helsesenter</t>
  </si>
  <si>
    <t>Samordning, nye årsverk koordinerende enhet</t>
  </si>
  <si>
    <t>Økt fra 950 pga barnekoordinator i statsbudsjettet</t>
  </si>
  <si>
    <t>Bruk av fond, forskyvning av innsparing</t>
  </si>
  <si>
    <t>30.09.21 TF lagt inn bruk av fond 25701156 til å dekke innsparing 1 år</t>
  </si>
  <si>
    <t>Lisenser fagprogrammer</t>
  </si>
  <si>
    <t>Økt innslagspunkt refusjon ressurskrevende</t>
  </si>
  <si>
    <t>Internhusleie, renholds- og energikostnader, helse- og rehabiliteringstjenester</t>
  </si>
  <si>
    <t>Oppdatert 02.09 - mathilde (helårsvirkninger)</t>
  </si>
  <si>
    <t>Rusreform, opprettelse av rådgivende enhet for russaker</t>
  </si>
  <si>
    <t>En økning i rammetilskuddet på kr 100 mill = om lag kr 1,5 mill til Sandnes kommune. Venter på retningslinjer fra HDO. Over 18 år = mestringsenheten. Under 18 år = oppvekst med BFE?</t>
  </si>
  <si>
    <t>Ingen endrng i statsbudsjettet.</t>
  </si>
  <si>
    <t>NAV, økte sosialhjelpsutgifter som følge av redusert dagsats for tiltakspenger</t>
  </si>
  <si>
    <t>Rammetilskuddet økes med kr 69 mill = om lag kr 1 mill for Sandnes</t>
  </si>
  <si>
    <t>Oppdatert 06.09 - mathilde (nye bygg)</t>
  </si>
  <si>
    <t>Oppstart medio 2024</t>
  </si>
  <si>
    <t>Hele stillinger pilotprosjekt</t>
  </si>
  <si>
    <t>Ressurskrevende brukere på sykehjem</t>
  </si>
  <si>
    <t>K</t>
  </si>
  <si>
    <t>Internhusleie, innleie nye kontorlokaler kulturavdeling</t>
  </si>
  <si>
    <t>Næring, medlemskapet i New Kaupang</t>
  </si>
  <si>
    <t>Næring, finansiering medlemskapet i New Kaupang</t>
  </si>
  <si>
    <t>Indeksregulering av tilskudd til private bydelshus</t>
  </si>
  <si>
    <t>budsjett ligger på 1473/5040/3854</t>
  </si>
  <si>
    <t>Internhusleie, renholds- og energikostnader, kultur</t>
  </si>
  <si>
    <t>Oppdatert 02.09 - Mathilde (helårsvirkninger)</t>
  </si>
  <si>
    <t>Tilskudd Barn og unges kommunestyre</t>
  </si>
  <si>
    <t>nytt 7 okt</t>
  </si>
  <si>
    <t>Anlegg og områder overført fra Forsand i 2020</t>
  </si>
  <si>
    <t>T</t>
  </si>
  <si>
    <t>Systematisk rensing av bekkeinntak og sluker på offentlige friarealer og veier</t>
  </si>
  <si>
    <t>Kostnader flyttes fra KVM. Nødvendig for å hindre flom og ras. (MÅ)</t>
  </si>
  <si>
    <t>Se eget tekstdokument. Store områder er overtatt, 39000 kvm. Delvis må. Innbefatter nye arealer + etterslep. (MÅ)</t>
  </si>
  <si>
    <t>Ny gravplass. Ferdig vinter 2022, ca 0,5 årsverk</t>
  </si>
  <si>
    <t>Økt stillingsprosent, parker, gravplass og grønt</t>
  </si>
  <si>
    <r>
      <rPr>
        <b/>
        <sz val="8"/>
        <color theme="1"/>
        <rFont val="Calibri"/>
        <family val="2"/>
        <scheme val="minor"/>
      </rPr>
      <t>Meldt inn 30.08.21.</t>
    </r>
    <r>
      <rPr>
        <sz val="8"/>
        <color theme="1"/>
        <rFont val="Calibri"/>
        <family val="2"/>
        <scheme val="minor"/>
      </rPr>
      <t xml:space="preserve"> Kommunen har flere viktige sentrumsprosjekt foran seg der byutvikling og det landskapsfaglige er viktige element som må sikres for å lage gode byrom. Grunnet økende antall planer både på reguleringsplannivå og detaljplanlegging med behov for faglig bistand, bes det om å øke eksisterende 60% stilling til 100%. Stillingen kan også bidra med noe egenplanlegging.</t>
    </r>
  </si>
  <si>
    <t>Som følge av utsatt investeringstiltak</t>
  </si>
  <si>
    <t>Inntektstap ved stenging av Giskehallen for rehabilitering</t>
  </si>
  <si>
    <t>Reversering av sparte utgifter ved stenging av Giskehallen for rehabilitering</t>
  </si>
  <si>
    <t xml:space="preserve">Tilskudd Sandnes Håndballklubb </t>
  </si>
  <si>
    <t>Friluftsrådene og Rogaland Arboret, justering av avtale</t>
  </si>
  <si>
    <t xml:space="preserve">Ligger inne i basis med 160 per år. Økning er reelt 10 per år </t>
  </si>
  <si>
    <t>Isbane på Ruten</t>
  </si>
  <si>
    <t>Idrettshall Kleivane</t>
  </si>
  <si>
    <t>Lavere inntektskrav alle idretts- og svømmehaller, inkl Forsand.</t>
  </si>
  <si>
    <t>Overføring til spillemiddelfond</t>
  </si>
  <si>
    <t>Det vises til Kommunestyresak i møte 21.06.21. Saken heter ny tilskuddsordning for idrettslag som bygger egne anlegg. Det avsettes ektramidler til spillemiddelfondet for å unngå ventelister på utbetaling av kommunalt tilskudd til lagseide idrettsanlegg.</t>
  </si>
  <si>
    <t xml:space="preserve">Flyttet fra investeringer etter KLG 31.08
</t>
  </si>
  <si>
    <t>Utarbeidelse av ny kommunedelplan "Aktive Sandnes".</t>
  </si>
  <si>
    <t xml:space="preserve">Flyttet fra investeringer etter KLG 31.08. Tatt ut "Innleie av konsulent for" i prosjektnavnet 
</t>
  </si>
  <si>
    <t>Geodata (oppmåling)</t>
  </si>
  <si>
    <t>Økte driftskostnader for programsystemer</t>
  </si>
  <si>
    <t>Forsand, reiseutgifter overgangsordning</t>
  </si>
  <si>
    <t>O</t>
  </si>
  <si>
    <t>Lærlingordning, finansiering</t>
  </si>
  <si>
    <t>Frikjøp fagforeninger</t>
  </si>
  <si>
    <t>HMS, styrking 1 årsverk</t>
  </si>
  <si>
    <t>To årsverk rådgiver lønn</t>
  </si>
  <si>
    <t>Ø</t>
  </si>
  <si>
    <t xml:space="preserve">To årsverk rådgiver lønn dekkes av fond på området </t>
  </si>
  <si>
    <t xml:space="preserve">Digitalisering av ansettelsesprosesser </t>
  </si>
  <si>
    <t>nytt 15 okt</t>
  </si>
  <si>
    <t>Uavhengig finansrådgiver</t>
  </si>
  <si>
    <t>1270-1431-1200</t>
  </si>
  <si>
    <t>Inntektskrav - tilknyttet uavhengig finansrådgiver</t>
  </si>
  <si>
    <t>1906-9000-8700</t>
  </si>
  <si>
    <t>F</t>
  </si>
  <si>
    <t>Regionale idrettshaller, rekalkulert tilskudd, jamfør HØP 2018-2021, tiltak F8 og F9</t>
  </si>
  <si>
    <t>Regionale idrettshaller, tiltak P12 handlings og økonomiplan 2021-2024</t>
  </si>
  <si>
    <t>P12 i HØP 2021</t>
  </si>
  <si>
    <t>Endret 5 okt</t>
  </si>
  <si>
    <t>Rogaland brann og redning IKS, Nye Sandnes tilskudd P13 fra handlings og økonomiplan 2021-2024</t>
  </si>
  <si>
    <t>Rogaland brann og redning IKS, Nye Sandnes tilskudd, F6 fra handlings og økonomiplan 2021-2024</t>
  </si>
  <si>
    <t>P13 i HØP 2021</t>
  </si>
  <si>
    <t xml:space="preserve">Lønnsreserven </t>
  </si>
  <si>
    <t>Oppdatert 11.06.2021 Øyvind - økt med kr 35 mill</t>
  </si>
  <si>
    <t>Eiertilskudd Interkommunalt Arkiv i Rogaland IKS</t>
  </si>
  <si>
    <t>Rekalkulert med 2022 stigning. 1.perioderapport 2021</t>
  </si>
  <si>
    <t>Fellesutgifter og brukerstyrte oppgaver, rådhuset</t>
  </si>
  <si>
    <t>Medlemskontingent Stavangerregionens Europakontor</t>
  </si>
  <si>
    <t xml:space="preserve">Reversering av tidligere innsparingskrav </t>
  </si>
  <si>
    <t>Tilleggsbevilgning, Norsk Pasientskade Erstatning Fond</t>
  </si>
  <si>
    <t>Filmkraft Rogaland AS, driftstilskudd</t>
  </si>
  <si>
    <t>Jf. søknad fra Filmkraft. 2021 nivå + 1,1% KPI justert.</t>
  </si>
  <si>
    <t>Filmkraft Rogaland AS, driftstilskudd, vedtatt finansiering med bruk av disposisjonsfond</t>
  </si>
  <si>
    <t>Ihht KST vedtak skal tilskudd 2021 og 2022 fin. ved bruk Utvikling Sandnes (25701157)</t>
  </si>
  <si>
    <t>Jf. sak i kom.styret 21.juni. 4-årig pilotperiode</t>
  </si>
  <si>
    <t>KS kontingenten, kommunefelles</t>
  </si>
  <si>
    <t>P vedtak i HØP 2021 Reverserte F27 og kom med ny tekst</t>
  </si>
  <si>
    <t>Innvandrerrådet, budsjettmidler</t>
  </si>
  <si>
    <t>Studieturer for utvalgene i 2024/Politikeropplæring</t>
  </si>
  <si>
    <t>Nytt 14 okt</t>
  </si>
  <si>
    <t>Oppdatert 02.09 - Mathilde</t>
  </si>
  <si>
    <t>Oppdatert 06.09 - Mathilde</t>
  </si>
  <si>
    <t>Oppdatert 10.09 - Mathilde</t>
  </si>
  <si>
    <t>Skole</t>
  </si>
  <si>
    <t>B/U</t>
  </si>
  <si>
    <t>Levekår</t>
  </si>
  <si>
    <t>KUBY</t>
  </si>
  <si>
    <t>TEKNISK</t>
  </si>
  <si>
    <t>Barn og unge</t>
  </si>
  <si>
    <t>Kultur og by</t>
  </si>
  <si>
    <t>Teknisk</t>
  </si>
  <si>
    <t>Kommune felles</t>
  </si>
  <si>
    <t>Egenbetaling</t>
  </si>
  <si>
    <t>Vedtatte tiltak</t>
  </si>
  <si>
    <t>Nye tiltak</t>
  </si>
  <si>
    <t>Innsparing</t>
  </si>
  <si>
    <t>Øyvind oppdatert 07.09.2021 - deflator fra 2,5 til 2,9</t>
  </si>
  <si>
    <t>Hege oppdatert 09.09.2021</t>
  </si>
  <si>
    <t>SM oppdatert 07.10.2021</t>
  </si>
  <si>
    <t>Vedtatt</t>
  </si>
  <si>
    <t>Må</t>
  </si>
  <si>
    <t>Annet</t>
  </si>
  <si>
    <t>Ny 6 avdeling ferdig til august 2024?, 90 nye barn.</t>
  </si>
  <si>
    <t>Sats har økt noe, men antall barn 1.9. er noe lavere. Tiltak uendret fram til statsbudsjettet</t>
  </si>
  <si>
    <t>BFE-Tilskudd, kommunalt rusarbeid  6 stillinger. Opptrappingsplan</t>
  </si>
  <si>
    <t>PPT, selvfinansiering av årsverk</t>
  </si>
  <si>
    <t>Videreføring og utvidelse av Familie for første gang</t>
  </si>
  <si>
    <t>TF oppdatert 04.10.2021</t>
  </si>
  <si>
    <t>Tilskudd Familie for første gang</t>
  </si>
  <si>
    <t>Oppvekstreform BFE, refusjon utgifter til forsterkning av fosterhjem</t>
  </si>
  <si>
    <t>Oppvekstreform BFE, tilskuddsfinansierte årsverk barnevern</t>
  </si>
  <si>
    <t>Oppvekstreform BFE, økte egenandeler på statlige tiltak</t>
  </si>
  <si>
    <t>Oppvekstreform BFE, økt ettervernsalder til 25 år</t>
  </si>
  <si>
    <t>Faktiske utgifter. Bør prioriteres.</t>
  </si>
  <si>
    <t>Samordning, 1,5 årsverk koordinerende enhet</t>
  </si>
  <si>
    <t>Opptrappingsplan diskutert i KLG</t>
  </si>
  <si>
    <t>Rekalkuleres??</t>
  </si>
  <si>
    <t>Endelig beregning/fordeling kommer i aug/sep</t>
  </si>
  <si>
    <t>Intern nå</t>
  </si>
  <si>
    <t>Intern før</t>
  </si>
  <si>
    <t>Diff</t>
  </si>
  <si>
    <t>Punsjeliste</t>
  </si>
  <si>
    <t>Oppvekst skole</t>
  </si>
  <si>
    <t>Oppvekst barn og unge</t>
  </si>
  <si>
    <t>Kultur og byutvikling</t>
  </si>
  <si>
    <t>Sentrale staber og kommunens fellesutgifter</t>
  </si>
  <si>
    <t>Sum</t>
  </si>
  <si>
    <t>Øyvind oppdatert 07.09.2021</t>
  </si>
  <si>
    <t>Ragnhild oppdatert 14.06.2021 (ny prognose aug/sept)</t>
  </si>
  <si>
    <t>Ragnhild oppdatert 14.06.2021</t>
  </si>
  <si>
    <t>Ragnhild oppdatert 14.06.2021, sak kommunestyret 21.06.2021</t>
  </si>
  <si>
    <t>SM oppdatert 31.08.21</t>
  </si>
  <si>
    <t>SM oppdatert 31.08.21 finansiering av tiltakspakke oppvekst</t>
  </si>
  <si>
    <t>Oppvekstadministrativ system (IST)</t>
  </si>
  <si>
    <t>Sjekk med Bjarte Våge. Gebyrfinansiering?</t>
  </si>
  <si>
    <t>Timeplansystem. Både drift og investering</t>
  </si>
  <si>
    <t>Henger sammen med OV9. Beløpet er samlet for OV9 og OV10.</t>
  </si>
  <si>
    <t>Internhusleie, renholds- og energikostnader, barnehager</t>
  </si>
  <si>
    <t xml:space="preserve">Parkering Hs-bygget </t>
  </si>
  <si>
    <t>PPT - 4 nye stillinger</t>
  </si>
  <si>
    <t>BFE, Husleie Jærveien 34</t>
  </si>
  <si>
    <t>Lagt inn i OPP18</t>
  </si>
  <si>
    <t>Nytt telefonssystem (Kobberlinjer skal byttes ut), hvis ikke IT melder inn</t>
  </si>
  <si>
    <t xml:space="preserve">Beløp? Er dette investering? </t>
  </si>
  <si>
    <t>Legetjenester - behov for kommunalt legekontor/stimuleringsmidler for oppstart av næringsdrift</t>
  </si>
  <si>
    <t>fortsatt usikkert jf. fastlegekrisen, vil medføre inv.utgifter</t>
  </si>
  <si>
    <t xml:space="preserve">Integreringstilskudd enslig mindreårige </t>
  </si>
  <si>
    <t>Husleie nye kontorlokaler kulturavdeling</t>
  </si>
  <si>
    <t>Internhusleie, renholds- og energikostnader, kultur, innleide bygg</t>
  </si>
  <si>
    <t>Oppdatert 02.09 - Mathilde (nye lokaler - kontor husleie)</t>
  </si>
  <si>
    <t>Analyse- og utredningskapasitet knyttet til grunnforhold</t>
  </si>
  <si>
    <r>
      <rPr>
        <b/>
        <sz val="8"/>
        <color theme="1"/>
        <rFont val="Arial"/>
        <family val="2"/>
      </rPr>
      <t>Meldt inn 08.09.21.</t>
    </r>
    <r>
      <rPr>
        <sz val="8"/>
        <color theme="1"/>
        <rFont val="Arial"/>
        <family val="2"/>
      </rPr>
      <t xml:space="preserve"> Det er identifisert behov for noe analyse og saksbehandlingskapasitet knyttet til grunnforhold i Sandnes kommune. I 2021 utfører en arbeidsgruppen vurderinger av grunnforhold i Sandnes kommune, inkludert identifikasjon av mulige tiltak.</t>
    </r>
  </si>
  <si>
    <t>Øke stilling fra 60 til 100 prosent, parker, gravplass og grønt</t>
  </si>
  <si>
    <t>Sparte utgifter ved stenging av Giskehallen for rehabilitering</t>
  </si>
  <si>
    <t>Isbanen på ruten</t>
  </si>
  <si>
    <t>Mindre inntektskrav alle idretts- og svømmehaller, inkl Forsand.</t>
  </si>
  <si>
    <t>Strategi- og handlingsplan mot fremmede invaderende og skadelige arter</t>
  </si>
  <si>
    <t>Klima</t>
  </si>
  <si>
    <t>Kapasitet til gjennomføring av tiltak i klima- og miljøplanen</t>
  </si>
  <si>
    <t>0,5 årsverk</t>
  </si>
  <si>
    <t>Samfunn, plan og bygg</t>
  </si>
  <si>
    <t>Kapasitetsøkning Byantikvar-funksjonen</t>
  </si>
  <si>
    <t>Byplansjef, 1 årsverk</t>
  </si>
  <si>
    <t>Finansieringsordning lærlinger</t>
  </si>
  <si>
    <t>Ny IT Platform og videre drift</t>
  </si>
  <si>
    <t>Uavhengig finansrådgiver - tilknyttet inntektskrav Ø4</t>
  </si>
  <si>
    <t>Inntektskrav - tilknyttet til uavhengig finansrådgiver Ø3</t>
  </si>
  <si>
    <t>Regionale idrettshaller, rekalkulert tilskudd, jamfør ØP 2018-2021, tiltak F8 og F9</t>
  </si>
  <si>
    <t>Rogaland brann og redning IKS, Nye Sandnes tilskudd</t>
  </si>
  <si>
    <t>Spesialavtaler, utgår</t>
  </si>
  <si>
    <t>Oppfølging av AV-utstyr i rådhus særskilt</t>
  </si>
  <si>
    <t>Flyttet til investering</t>
  </si>
  <si>
    <t>Tiltak F2, Reversering innsparing på ansv 1000, er kom.felles</t>
  </si>
  <si>
    <t>Del av F2 i HØP 2024, omstilling/kutt kommune felles. Men budsjettet ligger på ansv 1000</t>
  </si>
  <si>
    <t>Tiltakt F2, Reversering innsparing på ansv. 1000, restbeløp er kom.felles</t>
  </si>
  <si>
    <t>Pr. 1. tertial 21 er 0,579 mill løst av totalt 1,395 mill. Restbeløpet på 0,800 mill. søkes reversert</t>
  </si>
  <si>
    <t>Tiltak P10, Reversering innsparing på ansv 1000, er kom.felles</t>
  </si>
  <si>
    <t>Kutt sentrale staber politisk oppdrag HØP 2024. Ligger på ansv 1000, men er kom. felles</t>
  </si>
  <si>
    <t>F31 HØP 2020-23 (basis 2021), Reversering, red. utg. grensejustering</t>
  </si>
  <si>
    <t>Kutt ligger på kom.felles ansv 1099, red.utgifter jf. grensejsuering m/Strand. Ikke reelt grunnlag å foreta kutt i innenfor tjenesteområdene.</t>
  </si>
  <si>
    <t>F33 HØP  2020-23 (basis 2021), Reversering, gen. innsparing kom.felles</t>
  </si>
  <si>
    <t>Kutt ligger på kom.felles ansv 1099, omstilling/kutt ifm ny organisering. Ikke reelt grunnlag å foreta kutt innenfor tjenesteområder, foretak, fellesutgifter som tillegg til egene kutt</t>
  </si>
  <si>
    <t>F11, Reversering gjenstående innsparingskrav, kom.felles</t>
  </si>
  <si>
    <t>INNSP</t>
  </si>
  <si>
    <t>Av 1,880 mill er det foreslått løsning på 1,750 mill i 1. tert 2021. Restbeløpet 0,130 mill. løses i 2021 permanent.</t>
  </si>
  <si>
    <t>Filmkraft Rogaland AS, driftstilskudd, vedtatt fin. med bruk av disp.fond</t>
  </si>
  <si>
    <t>Rogaland brann og redning IKS, ytterligere reduksjon (eierbrøk, kutt)</t>
  </si>
  <si>
    <t>Sum økning i 2022 jf styrets forslag er for Sandnes + 3,3 mill. Her eierbrøk oppdatert ihht folketall fra 1.1.2022. Ihht adm. eiermøte 10.9.21 er lagt til grunn foreløpig,at RBR bruker 6 mill av eget disp.fond + kutt/omstilling + 3 mill for å redusere økt tilskudd. Sandnes sin andel er - 1,280 mill. Estimat kutt 2022: 0,800 mill. I 2023 har RBR 6,2 mill i økning pga nye stasjoner. Det utgjør for Sandnes +3,9 mill. RBR forventning om kutt og bruk av fond på 3 mill i 2023 nuller ut netto økn. for Sandnes. I 2024 og 2025 har ikke RBR disp.fond å bruke, tilskuddet øker. For Sandnes betyr det +1,7 mill, men det ligger allerede netto kr 3,1 mill på tiltak F5 og F6 på 3,1 mll, så sum tilskudd reduseres med kr 1,3 mill</t>
  </si>
  <si>
    <t>Beløp kr 1,030 mill ikke endelig. Forhandlinger med Sola og Randaberg om  FSS AS ble ikke ferdige til 2 tertial 2021. Egen sak i høst. Økningen på opprinnelig 1.030 mill. økes som følge av dette + Sola Arena som ikke er avsluttet til + 1,6 mill.</t>
  </si>
  <si>
    <t>Felles forsikringsordninger er økt bl.a. som følge av flere barn og ansatt. Det er ikke rom for å løse økningen innenfor rammen på fellesområdet. Estimert økning er kr 0,550 mill</t>
  </si>
  <si>
    <t>Jr. KS sin beregning for 2022 av prisjusterte deler av sum kontingent og rebereging av OU-delen er det nøvendig  øke samlet budsjett med kr 850.000 ift basisbudsjett 2022. Det er ikke rom for å løse økningen innenfor budsjettrammen på kom.fellesområdet.</t>
  </si>
  <si>
    <t>Økning av valgbudsjettet for inndekning av økte kostnader i 2021 og i 2023</t>
  </si>
  <si>
    <t>Økning av valgbudsjettet</t>
  </si>
  <si>
    <t>Innvandrerrådet</t>
  </si>
  <si>
    <t>Internhusleie, nye innleide bygg fra 2021</t>
  </si>
  <si>
    <t>Kapitalkostnader, tilbakebetales av eiendom, nye bygg</t>
  </si>
  <si>
    <t>Kapitalinntekt "til kommunen", nye bygg</t>
  </si>
  <si>
    <t>Øyvind oppdatert 09.06.2021</t>
  </si>
  <si>
    <t>Odd oppdaterer</t>
  </si>
  <si>
    <t>Jostein oppdatert 14.06.2021</t>
  </si>
  <si>
    <t>Øyvind oppdaterer</t>
  </si>
  <si>
    <t>Hege oppdaterer høst 2021</t>
  </si>
  <si>
    <t>Øyvind oppdatert 10.06.2021</t>
  </si>
  <si>
    <t>Mathilde - Oppdatert 30.08.21 basert på budsjett Momentum-modell</t>
  </si>
  <si>
    <t>Rekalkuleres i september</t>
  </si>
  <si>
    <t xml:space="preserve">Forsterkede avdelinger </t>
  </si>
  <si>
    <t>Skilt ut i ny modell. Analyse kommer.</t>
  </si>
  <si>
    <t xml:space="preserve">Ny 6 avdeling ferdig til august 2024?, brutto kost 16 mill Reberegnes i september </t>
  </si>
  <si>
    <t xml:space="preserve">Ny 6 avdeling ferdig til august 2024?, 90 nye barn. Reberegnes i september </t>
  </si>
  <si>
    <t xml:space="preserve">Reberegnes i september </t>
  </si>
  <si>
    <t>Oppvekstreform BFE, FACT UNG team</t>
  </si>
  <si>
    <t>Viktig! Mulig å søke tilskudsmidler i 2022. Er vi klar?</t>
  </si>
  <si>
    <t>Oppvekstreform BFE, barneteam 2 årsverk</t>
  </si>
  <si>
    <t>Oppvekstreform BFE, tilsyn under samvær 3 årsverk</t>
  </si>
  <si>
    <t>Mål i barnevernsreform. Opptrapping av årsverk?</t>
  </si>
  <si>
    <t>Oppvekstreform BFE, styrke tiltaksavdelingen 5 årsverk</t>
  </si>
  <si>
    <t>Forhindre kostbare plasseringer utenfor hjemmet. Opptrapping av årsverk eller færre årsverk?</t>
  </si>
  <si>
    <t>Oppvekstreform BFE, faglig ansvar for fosterhjem + oppfølging biologiske foreldre</t>
  </si>
  <si>
    <t>Helsestasjonstjenester, 1 årsverk helsesykepleier Kleivane skole</t>
  </si>
  <si>
    <t>Helsestasjonstjenester, kompensasjon for redusert tilskudd fra helsedirektoratet (benyttes til å finansiere flere eksisterende stillingshjemler)</t>
  </si>
  <si>
    <t>Sjekk budsjettforlik, rammetilskudd?</t>
  </si>
  <si>
    <t>OV52</t>
  </si>
  <si>
    <t>Tilsynstjeneste (SFO) 2,7 årsverk</t>
  </si>
  <si>
    <t>Plasser i dag-/aktivitetssenter, 7,75 årsverk + leie gård Kvål</t>
  </si>
  <si>
    <t>Ett nattvaktssett på SHS grunnet økt behov hos brukerne</t>
  </si>
  <si>
    <t>Tilskudd til fastleger i henhold til befolkningsvekst + innført grunntilskudd og knekkpunkt-tillegg</t>
  </si>
  <si>
    <t>reberegnes august</t>
  </si>
  <si>
    <t>Fysio: reduksjon i fastlønnstilskudd</t>
  </si>
  <si>
    <t>Mestring, Jæren Recovery College: fra prosjekt over i varig drift</t>
  </si>
  <si>
    <t>Husleie nye boenheter</t>
  </si>
  <si>
    <t xml:space="preserve">Netto integreringstilskudd enslig mindreårige </t>
  </si>
  <si>
    <t>Sykesignalanlegg</t>
  </si>
  <si>
    <t>Sandnes matservice, virksomhetsprogram kjøkken</t>
  </si>
  <si>
    <t>Forskyvning av Omstilling 2025, økning billettpriser kulturhuset</t>
  </si>
  <si>
    <t>Oppjustering innkjøp av digitale bøker og andre medier</t>
  </si>
  <si>
    <t>Oppjustering innkjøp av digitale bøker og andre medier, finansiering bruk av fond 2022</t>
  </si>
  <si>
    <t>Inndekning av nye og gamle avtaler - landbruk</t>
  </si>
  <si>
    <t>Inndekning av nye og gamle avtaler - landbruk finansieres av fond i 2022</t>
  </si>
  <si>
    <t xml:space="preserve">Bortfall inntekter jamfør nye retningslinjer for utleie av kommunale bygg </t>
  </si>
  <si>
    <t>Bortfall inntekter jamfør nye retningslinjer for utleie av kommunale bygg , finansieres av fond i 2022</t>
  </si>
  <si>
    <t xml:space="preserve">Tilskudd til inkluderingsarbeid til frivillige lag og foreninger </t>
  </si>
  <si>
    <t>Rådgiver med spesielt ansvar for kommunikasjon 0,5 årsverk -Kulturskolen</t>
  </si>
  <si>
    <t>Reberegnes august</t>
  </si>
  <si>
    <t>ØP 21-25</t>
  </si>
  <si>
    <t>Økt vedlikeholdsstandard gravplasser</t>
  </si>
  <si>
    <t>Utvidelse av 60% stilling til 100%, parker, gravplass og grønt</t>
  </si>
  <si>
    <t>Reberegnes av ma</t>
  </si>
  <si>
    <t>Økning i drift av friluftsområdene</t>
  </si>
  <si>
    <t>Byggdrift</t>
  </si>
  <si>
    <t>Bydrift</t>
  </si>
  <si>
    <t>Samfunnsplan</t>
  </si>
  <si>
    <t>Plan</t>
  </si>
  <si>
    <t>Klima, vann og miljø</t>
  </si>
  <si>
    <t>Vann</t>
  </si>
  <si>
    <t>Avløp</t>
  </si>
  <si>
    <t>Renovasjon</t>
  </si>
  <si>
    <t>Slam</t>
  </si>
  <si>
    <t>Feiing</t>
  </si>
  <si>
    <t>Byggesak</t>
  </si>
  <si>
    <t>Styrke overordnet HMS med en stilling</t>
  </si>
  <si>
    <t>Må diskuteres i KLG</t>
  </si>
  <si>
    <t>Styrke fagopplæring med en stilling</t>
  </si>
  <si>
    <t>Må diskuteres i KLG, opptrappingsplan foreslått, vil ha konsekvenser for andre områder</t>
  </si>
  <si>
    <t>Personvernombud - PVO</t>
  </si>
  <si>
    <t>GAT</t>
  </si>
  <si>
    <t>Må diskuteres i KLG-kontroll av ting som er lagt inn feil</t>
  </si>
  <si>
    <t>Drift av digital medarbeider  (RPA) Botulf</t>
  </si>
  <si>
    <t>Drift av digital medarbeider  (RPA) Botulf, bruk av fond 2022</t>
  </si>
  <si>
    <t>Drift og videreutvikling av skjemakatalog</t>
  </si>
  <si>
    <t>Drift og videreutvikling av skjemakatalog bruk av fond 2022</t>
  </si>
  <si>
    <t>Pårørende telefonen</t>
  </si>
  <si>
    <t>Et årsverk anskaffelser miljørådgiver</t>
  </si>
  <si>
    <t>Økte driftsutgifter lønningsavdelingen</t>
  </si>
  <si>
    <t>Uavhengig finansrådgiver - tilknyttet inntektskrav Ø6</t>
  </si>
  <si>
    <t>Inntektskrav - tilknyttet til uavhengig finansrådgiver Ø5</t>
  </si>
  <si>
    <t>Beløp ikke avklart da modellen ikke er på plass før ila august. Kom.dir møte 18. juni</t>
  </si>
  <si>
    <t>Beløp ikke endelig, skal ferdigstilles innen juni. Avventer avklaringer med Sola for FSS</t>
  </si>
  <si>
    <t>Beløp ikke avklart, gjennomgang av eksisterende pågår</t>
  </si>
  <si>
    <t>Beregnet økning klar ila juni jf vedtak styret</t>
  </si>
  <si>
    <t xml:space="preserve"> Endelig beregning/fordeling kommer i aug/sep </t>
  </si>
  <si>
    <t>Kostnad nye innleide bygg 2022</t>
  </si>
  <si>
    <t xml:space="preserve"> Legges til i F38, sjekk fortegn </t>
  </si>
  <si>
    <t>KPI justering nye og gamle bygg</t>
  </si>
  <si>
    <t>ikke prioritert</t>
  </si>
  <si>
    <t>Økte midler til vedlikehold</t>
  </si>
  <si>
    <t>Fjernes - eiendom trekker tiltaket</t>
  </si>
  <si>
    <t>Økt renholdskostnad som følger av nye bygg</t>
  </si>
  <si>
    <t>Fellesnemnd for kommunesammenslåing</t>
  </si>
  <si>
    <t>Konsesjonsavgift avsettes kraftfond</t>
  </si>
  <si>
    <t>Øyvind oppdatert 18.06.2021</t>
  </si>
  <si>
    <t>Oppdateres august 2021 Mathilde</t>
  </si>
  <si>
    <t>Sjekk med Bjarte Våge</t>
  </si>
  <si>
    <t>BFE, driftsbudsjett tjeneste 2324</t>
  </si>
  <si>
    <t>BFE, Leasing av bil + fagprogram + spesialisering psykologer</t>
  </si>
  <si>
    <t>PPT &amp; BFE - Årlig lisensavgift for nytt journalsystem Visma Flyt</t>
  </si>
  <si>
    <t>1.perioderapport 2021 - 500 PPT og 50 BFE - 11</t>
  </si>
  <si>
    <t>Helsestasjonstjenester, Prevensjon til sårbare kvinner</t>
  </si>
  <si>
    <t>Håndteres innenfor rammen</t>
  </si>
  <si>
    <t>Helsestasjonstjenester, opptrappingsplan??</t>
  </si>
  <si>
    <t>Sjekk budsjettforlik</t>
  </si>
  <si>
    <t>OV55</t>
  </si>
  <si>
    <t>PPT - tjenestebiler</t>
  </si>
  <si>
    <t>OV56</t>
  </si>
  <si>
    <t>PPT - parkeringsplasser</t>
  </si>
  <si>
    <t>OV57</t>
  </si>
  <si>
    <t>PPT - IT utstyr</t>
  </si>
  <si>
    <t>Hjemmetjenester til person</t>
  </si>
  <si>
    <t>1 - Legges inn de årene det er behov. Bør utsettes til perioderapporter</t>
  </si>
  <si>
    <t>Leasing av El-biler</t>
  </si>
  <si>
    <t>Nytt telefonsystem (Kobberlinjer skal byttes ut), hvis ikke IT melder inn</t>
  </si>
  <si>
    <t>Livsgledehjem (1 årsverk + årlig lisens)</t>
  </si>
  <si>
    <t>Bofellesskap psykisk helse, 9 plasser</t>
  </si>
  <si>
    <t>Sjekke investering: utgår, erstattes med boliger øremerkert rus og psykisk helse</t>
  </si>
  <si>
    <t>Mestring, to nye biler til psykisk helse</t>
  </si>
  <si>
    <t>forsøkes løst innenfor rammen, for  høyt estimat</t>
  </si>
  <si>
    <t>Reversering av tiltak P9 i HØP 2021 Økt billettpris kulturhuset</t>
  </si>
  <si>
    <t xml:space="preserve">Åpne ferietilbud til barn og unge i skolens høst/ vinter og sommerferie </t>
  </si>
  <si>
    <t>Økt innsats kommunale ungdomstilbud 1,25 årsverk (utgjør 5 fritidsarbeiderstillinger)</t>
  </si>
  <si>
    <t>Utvidelse av stilling som Prosjektleder i Sandnes kulturskole 0,2 årsverk</t>
  </si>
  <si>
    <t>Koordineringen av det regionale samarbeidet 1 årsverk engasjement- næring</t>
  </si>
  <si>
    <t>Reberegnes september</t>
  </si>
  <si>
    <t>Økt blomsterpryd i byen</t>
  </si>
  <si>
    <t>ikke pri</t>
  </si>
  <si>
    <t>reberegnes av ma</t>
  </si>
  <si>
    <t>Tilskudd til tilknytning av private stikkledninger</t>
  </si>
  <si>
    <t>pol.sak ksak 206/20, endring vedtatt i 2020 regler separering og tilknytning av private stikkledning, helårsbolig. Insentiv til å koble seg på kommunalt selvkost.</t>
  </si>
  <si>
    <t>HR</t>
  </si>
  <si>
    <t>Må diskuteres i KLG, opptrappingsplan?</t>
  </si>
  <si>
    <t>Kommer mer tekst her</t>
  </si>
  <si>
    <t xml:space="preserve">Nye stillinger IT </t>
  </si>
  <si>
    <t>Turistinformasjon Forsand</t>
  </si>
  <si>
    <t>tas av fond hvert år</t>
  </si>
  <si>
    <t>Inntekskrav på utlån av konferanserom</t>
  </si>
  <si>
    <t xml:space="preserve">Bruk av nasjonale felleskomponenter og registre </t>
  </si>
  <si>
    <t>Oppdatert 11.06.2021 Øyvind - økt med 35 mill</t>
  </si>
  <si>
    <t>Pr. 1. tertial 21 er 0,579 mill løst av totalt 1,395 mill. Restbeløpet på 0,800 mill. søkes revert</t>
  </si>
  <si>
    <t>F14, Revering del av innsparing ved kutt seniortilskudd</t>
  </si>
  <si>
    <t>Økonomi/HR må se på denne. Ligger på kom.felles med 8 mill i kutt. Reversert i lønnsreserven.</t>
  </si>
  <si>
    <t>Økt energikostnad som følger av nye bygg</t>
  </si>
  <si>
    <t>Legges til i F38</t>
  </si>
  <si>
    <t>DRIFTSTILTAK SOM FØLGE AV INTERNHUSLEIE, ØKONOMIPLAN 2018-2021</t>
  </si>
  <si>
    <t>BASISBUDSJETT 2019 (Eide bygg eldre enn 31.12.2014)</t>
  </si>
  <si>
    <t>BASISBUDSJETT 2019 (Eide bygg 01.01.2015-31.12.2018)</t>
  </si>
  <si>
    <t>BASISBUDSJETT 2019 (Leide bygg)</t>
  </si>
  <si>
    <t>UFORDELT BUDSJETT ANSVAR 1094 (bygg som ikke er i bruk)</t>
  </si>
  <si>
    <t>SUM BASIS INTERNHUSLEIE 2019</t>
  </si>
  <si>
    <t>KOSTNADER TIL INTERNHUSLEIE, NYE BYGG I PERIODEN (Inkl helårsvirkning)</t>
  </si>
  <si>
    <t>KOSTNADER TIL RENHOLD, NYE BYGG I PERIODE</t>
  </si>
  <si>
    <t>KOSTNADER TIL ENERGI, NYE BYGG I PERIODEN</t>
  </si>
  <si>
    <t>Sum ordinær gunnskoleopplæring inkl fellesutgifter</t>
  </si>
  <si>
    <t>SAMLET KOSTNAD FOR NYE BYGG I PERIODEN</t>
  </si>
  <si>
    <t>Sum barnehagetjenester</t>
  </si>
  <si>
    <t>Sum helsetjensester, PPT, barne- og familieenheten</t>
  </si>
  <si>
    <t>SAMLET KOSTNAD RENHOLD OG ENERGI, NYE BYGG</t>
  </si>
  <si>
    <t>Sum omsorgstjenester</t>
  </si>
  <si>
    <t>Sum enhet for funksjonshemmede</t>
  </si>
  <si>
    <t xml:space="preserve">KPI-JUSTERING, ELDRE BYGG </t>
  </si>
  <si>
    <t>Sum helse- og rehabiliteringstjenester</t>
  </si>
  <si>
    <t>SUM INTERNHUSLEIE, ELDRE BYGG, INKL KPI-JUSTERING</t>
  </si>
  <si>
    <t>Sum sosiale tjenester</t>
  </si>
  <si>
    <t xml:space="preserve">KPI-JUSTERING, NYE BYGG </t>
  </si>
  <si>
    <t>Sum kultur, bibliotek og kulturskole</t>
  </si>
  <si>
    <t>SUM INTERNHUSLEIE, NYE BYGG, INKL KPI-JUSTERING</t>
  </si>
  <si>
    <t>Sum teknisk</t>
  </si>
  <si>
    <t xml:space="preserve">KPI-JUSTERING, LEIDE BYGG </t>
  </si>
  <si>
    <t>Sum kommune felles</t>
  </si>
  <si>
    <t>SOLGTE BYGG (2016-2017)</t>
  </si>
  <si>
    <t>Kommer med to ganger? Linje 11 + 23 Tatt ut fra linje 11  27.07.17 GÅ</t>
  </si>
  <si>
    <t>Sum eiendom (korrigeringer)</t>
  </si>
  <si>
    <t>SUM INTERNHUSLEIE, LEIDE BYGG, INKL KPI-JUSTERING</t>
  </si>
  <si>
    <t>KPI-justering</t>
  </si>
  <si>
    <t>SAMLET KOSTNAD INTERNHUSLEIE, BASIS + NYE BYGG + Diverse tiltak</t>
  </si>
  <si>
    <t>NETTO SAMLET KOSTNAD INTERNHUSLEIE, BASIS + NYE BYGG</t>
  </si>
  <si>
    <t>Renter ansvarlig lån Sandnes eiendomsselskap KF, NYE BYGG</t>
  </si>
  <si>
    <t>Avdrag ansvarlig lån Sandnes eiendomsselskap KF, NYE BYGG</t>
  </si>
  <si>
    <t>NETTO SAMLET KOSTNAD FOR NYE BYGG I PERIODEN (INTERNHUSLEIEKOSTNADER - KAPITALINNTEKTER)</t>
  </si>
  <si>
    <t>Kostnadstype</t>
  </si>
  <si>
    <t>VEDTATT BUDSJETT 2014</t>
  </si>
  <si>
    <t>I1</t>
  </si>
  <si>
    <t>Renter ansvarlig lån Sandnes eiendomsselskap KF</t>
  </si>
  <si>
    <t>Guri: oppdatert 05.09.2019</t>
  </si>
  <si>
    <t>I2</t>
  </si>
  <si>
    <t>Avdrag ansvarlig lån Sandnes eiendomsselskap KF</t>
  </si>
  <si>
    <t>I3</t>
  </si>
  <si>
    <t>Renter ansvarlig lån Sandnes eiendomsselskap KF (ut over internhusleie)</t>
  </si>
  <si>
    <t>hvor føres disse tiltakene? Lagt inn i sumlinje for kapitalinntekter fra SEKF</t>
  </si>
  <si>
    <t>I4</t>
  </si>
  <si>
    <t>Avdrag ansvarlig lån Sandnes eiendomsselskap KF (ut over internhusleie)</t>
  </si>
  <si>
    <t>Oppvekst skoler</t>
  </si>
  <si>
    <t>SKOLE</t>
  </si>
  <si>
    <t>Figgjo skole, ferdig april 2019</t>
  </si>
  <si>
    <t>INTERNHUSLEIE</t>
  </si>
  <si>
    <t>ØP 19-22</t>
  </si>
  <si>
    <t>S</t>
  </si>
  <si>
    <t>RENHOLD</t>
  </si>
  <si>
    <t>ENERGI</t>
  </si>
  <si>
    <t>Figgjo skole, ferdig april 2019, reduksj. eksist. skole</t>
  </si>
  <si>
    <t>Skeiane ungdomsskole, ferdig april 2019</t>
  </si>
  <si>
    <t>Skeiane ungdomsskole, delvis ferdig aug 2018</t>
  </si>
  <si>
    <t>Nye elevplasser Sandved</t>
  </si>
  <si>
    <t>Ny ungdomsskole Bogafjell</t>
  </si>
  <si>
    <t>Ny idrettshall Høyland ungdomsskole</t>
  </si>
  <si>
    <t>Ny idrettshall Høyland ungdomsskole, reduksj. eksist. bygg</t>
  </si>
  <si>
    <t>Nybygg og utvidelse Sviland skule</t>
  </si>
  <si>
    <t>Nybygg og utvidelse Sviland skule, reduksj. eksist. skole</t>
  </si>
  <si>
    <t>Sviland skule - gymnastikkfasiliteter</t>
  </si>
  <si>
    <t>Malmheim skole, utvidelse/modernisering</t>
  </si>
  <si>
    <t>Malmheim skole, utvidelse/modernisering, reduksjon eksist bygg</t>
  </si>
  <si>
    <t>Skaarlia skole</t>
  </si>
  <si>
    <t>Skaarlia flerbrukshall</t>
  </si>
  <si>
    <t>Altona skole og ressurssenter- flytte til Soma skole</t>
  </si>
  <si>
    <t>Innleie av nye lokaler til SLS/FBU/Flyktningenheten</t>
  </si>
  <si>
    <t>Ombygging Stangeland skole</t>
  </si>
  <si>
    <t>Ombygging og utvidelse Sandved skole</t>
  </si>
  <si>
    <t>TOTALSUM OPPVEKST SKOLER</t>
  </si>
  <si>
    <t>Brueland barnehage, utvidelse og ombygging</t>
  </si>
  <si>
    <t>B</t>
  </si>
  <si>
    <t xml:space="preserve">Langgata 72, helsestasjon </t>
  </si>
  <si>
    <t>Samlokalisering av BFE i Strangt 147</t>
  </si>
  <si>
    <t>Samlokalisering av BFE i Strangt 148</t>
  </si>
  <si>
    <t>Samlokalisering av BFE i Strangt 149</t>
  </si>
  <si>
    <t>TOTALSUM OPPVEKST BARN OG UNGE</t>
  </si>
  <si>
    <t>Levekår felles og samordningstjenester</t>
  </si>
  <si>
    <t>Omsorgstjenester</t>
  </si>
  <si>
    <t>LEVEKÅR</t>
  </si>
  <si>
    <t>Omsorgsboliger med heldøgnstjenester for 6 personer med store adferdsutfordringer</t>
  </si>
  <si>
    <t>L</t>
  </si>
  <si>
    <t>Nye sykehjemsplasser Lunde</t>
  </si>
  <si>
    <t>ØP 19-22 REKALK</t>
  </si>
  <si>
    <t>Bofellesskap for 9 unge fungsjonshemmede, Skeianegaten</t>
  </si>
  <si>
    <t>Boliger for mennesker med funksjonsnedsettelser, 8 boenheter fer 2021, tomt Olsokveien</t>
  </si>
  <si>
    <t>Nytt aktivitetssenter, erstatter Vågsgjerd</t>
  </si>
  <si>
    <t>Nytt aktivitetssenter, erstatter Vågsgjerd reduksj eksist. bygg</t>
  </si>
  <si>
    <t>Kjøp av to leiligheter til boliger for funksjonshemmede i Olsokveien</t>
  </si>
  <si>
    <t>Ombygging Skeianegt. 14</t>
  </si>
  <si>
    <t>Utvidet leieareavtale Vågsgjerd aktivitetsenter</t>
  </si>
  <si>
    <t>Foreldreinitiativ 3</t>
  </si>
  <si>
    <t>Planlegge neste bolig for peroner med funkjonsnedsettelser</t>
  </si>
  <si>
    <t>Endret? Ja, nå med tilskudd</t>
  </si>
  <si>
    <t>Internhusleieberegning</t>
  </si>
  <si>
    <t>Endret? Nei</t>
  </si>
  <si>
    <t>Felles arealer Prestholen</t>
  </si>
  <si>
    <t>Tiltakslisten</t>
  </si>
  <si>
    <t>Rusvernet Soma, internhusleie (Helårsvirkning)</t>
  </si>
  <si>
    <t>Rusvernet Soma, energikostnader</t>
  </si>
  <si>
    <t>Bofellesskap for peroner med psykisk lidelse, 9 plasser</t>
  </si>
  <si>
    <t>Stod under EFF i tiltakslisten..</t>
  </si>
  <si>
    <t>Planlegge neste bolig psykisk lidelse</t>
  </si>
  <si>
    <t>ØP 19-23</t>
  </si>
  <si>
    <t>ØP 19-24</t>
  </si>
  <si>
    <t>Utestue Lutsiveien</t>
  </si>
  <si>
    <t>Ombygging boligrigg på Soma</t>
  </si>
  <si>
    <t>Ombygging boligrigg på Soma, redusert kostnad eksist bygg?</t>
  </si>
  <si>
    <t>Småhus Vatne/ Dybingen, helårsvirkning</t>
  </si>
  <si>
    <t>Kleivane Småhus, helårsvirkning</t>
  </si>
  <si>
    <t>Småhus to hvert år</t>
  </si>
  <si>
    <t>Småhus to hvert år 2020</t>
  </si>
  <si>
    <t>Småhus to hvert år 2021</t>
  </si>
  <si>
    <t>Småhus to hvert år 2022</t>
  </si>
  <si>
    <t>Boliger for vanskeligstilte (Helårsvirkning)</t>
  </si>
  <si>
    <t>Tun Lura Nord ferdig 2020</t>
  </si>
  <si>
    <t>Tun ubestemt tomt</t>
  </si>
  <si>
    <t>Tun Håbafjell/ brattebø småhus</t>
  </si>
  <si>
    <t>Syrinveien, helårseffekt</t>
  </si>
  <si>
    <t>Boligsosial handlingsplan 2020,</t>
  </si>
  <si>
    <t>Boligsosial handlingsplan 2021,</t>
  </si>
  <si>
    <t>Boligsosial handlingsplan 2022,</t>
  </si>
  <si>
    <t>Småhus to hvert år 2023</t>
  </si>
  <si>
    <t>Boligsosial handlingsplan 2023</t>
  </si>
  <si>
    <t>TOTALSUM LEVEKÅR</t>
  </si>
  <si>
    <t>Kultur og byutvikling felles</t>
  </si>
  <si>
    <t>Byutvikling</t>
  </si>
  <si>
    <t/>
  </si>
  <si>
    <t>Lura bydelshus scene</t>
  </si>
  <si>
    <t>Langgata 76</t>
  </si>
  <si>
    <t>ØP 18-21</t>
  </si>
  <si>
    <t>Sjekkes</t>
  </si>
  <si>
    <t>Nye lokaler for L54</t>
  </si>
  <si>
    <t>Nye lokaler for L55</t>
  </si>
  <si>
    <t>Nye lokaler for L56</t>
  </si>
  <si>
    <t>TOTALSUM KULTUR OG BYUTVIKLING</t>
  </si>
  <si>
    <t>Iglemyr svømmehall</t>
  </si>
  <si>
    <t>Giskehallen svømmehall og Giskehallen 1 (rehabilitering)</t>
  </si>
  <si>
    <t>ØP 17-20 REKALK</t>
  </si>
  <si>
    <t>Giskehallen , tribune</t>
  </si>
  <si>
    <t>ØP 17-20</t>
  </si>
  <si>
    <t>Tatt ut</t>
  </si>
  <si>
    <t>VAR</t>
  </si>
  <si>
    <t>TOTALSUM TEKNISK</t>
  </si>
  <si>
    <t>BHT</t>
  </si>
  <si>
    <t>Innleide lokaler IT-avdelingen</t>
  </si>
  <si>
    <t>Rådmannens staber</t>
  </si>
  <si>
    <t>Nytt rådhus (Helårsvirkning)</t>
  </si>
  <si>
    <t>Forutsetter bj i 2. perioderapport</t>
  </si>
  <si>
    <t xml:space="preserve">Nytt rådhus, reduksj. eksist. bygg </t>
  </si>
  <si>
    <t>Sentrum parkeringshus</t>
  </si>
  <si>
    <t>Her mangler det tall. Tidligere innlagte tall fjernet etter avtale med Sidsel Haugen, jfr K. Goa</t>
  </si>
  <si>
    <t>Videreføring av vedlikeholds-/KPI-tilskudd fra  2019</t>
  </si>
  <si>
    <t>Oppdatert 27.07.17</t>
  </si>
  <si>
    <t>KPI-justering, eksisterende bygg  2020</t>
  </si>
  <si>
    <t>KPI-justering, leide bygg 2020</t>
  </si>
  <si>
    <t>Reduksjon i internhusleie, nedbetaling på eldre bygg</t>
  </si>
  <si>
    <t>Diverse tiltak, rehabilitering, miljøtiltak osv</t>
  </si>
  <si>
    <t>Økt FDV-sats eldre bygg, fra kr 110 til kr 200 per m2</t>
  </si>
  <si>
    <t>Solgte bygg aug 2018- aug 2019</t>
  </si>
  <si>
    <t>INTERNHUSLEIEN</t>
  </si>
  <si>
    <t>B&amp;U</t>
  </si>
  <si>
    <t>STATSBUDSJETT</t>
  </si>
  <si>
    <t>SALDERING</t>
  </si>
  <si>
    <t xml:space="preserve">Se eget tekstdokument. Store områder er overtatt </t>
  </si>
  <si>
    <t>Bygg</t>
  </si>
  <si>
    <t>Prosjektnummer</t>
  </si>
  <si>
    <t>Internhusleie/ renhold/ energi</t>
  </si>
  <si>
    <t>Internhusleie, renhold og energi</t>
  </si>
  <si>
    <t>Kleivane skole</t>
  </si>
  <si>
    <t>Anslag kapitalkostnad</t>
  </si>
  <si>
    <t>Kleivane flerbrukshall</t>
  </si>
  <si>
    <t>Korrigering innleide bygg</t>
  </si>
  <si>
    <t>Diverse tiltak, rehabilitering, miljøtiltak</t>
  </si>
  <si>
    <t>KPI-justering 2017</t>
  </si>
  <si>
    <t>KPI-justering 2018</t>
  </si>
  <si>
    <t>Malmheim skole, utvidelse/modernisering, reduksj eksist bygg</t>
  </si>
  <si>
    <t>Ombygging og utvidelse av Sandved skole</t>
  </si>
  <si>
    <t>Innleie av nye lokaler i for SLS/FBU/FlyktningenhetenHavneparken (økning fra dagens innleiekostnader)</t>
  </si>
  <si>
    <t>Brueland barnehage, ombygging og utvidelse</t>
  </si>
  <si>
    <t>Langgata 72, helsestasjon</t>
  </si>
  <si>
    <t>Økte kostnader til samlokalisering BFE i Strandgt 147 )innleid bygg)</t>
  </si>
  <si>
    <t>Ny helsestasjon i Hoveveien 30 (Innleid bygg)</t>
  </si>
  <si>
    <t>Nye sykehjemsplasser Sandnes</t>
  </si>
  <si>
    <t>Sum sykehjemstjenester</t>
  </si>
  <si>
    <t>EFF</t>
  </si>
  <si>
    <t>Bofellesskap for 9 unge funksjonshemmede, Skeianegaten</t>
  </si>
  <si>
    <t>Omsorgsboliger 6 personer med store adferdsutfordringer</t>
  </si>
  <si>
    <t>2104900</t>
  </si>
  <si>
    <t>Boligsosial handlingsplan 2020</t>
  </si>
  <si>
    <t>Boligsosial handlingsplan 2021</t>
  </si>
  <si>
    <t>Boligsosial handlingsplan 2022</t>
  </si>
  <si>
    <t>Småhus, 2024</t>
  </si>
  <si>
    <t>Boligsosial handlingsplan 2024</t>
  </si>
  <si>
    <t>Foaje, Sandnes kulturhus</t>
  </si>
  <si>
    <t>Aktivitetshus Lura</t>
  </si>
  <si>
    <t>Austrått svømmehall</t>
  </si>
  <si>
    <t>Åustrått svømmehall</t>
  </si>
  <si>
    <t>Sum internhusleie</t>
  </si>
  <si>
    <t>Sum renhold</t>
  </si>
  <si>
    <t>Sum energi</t>
  </si>
  <si>
    <t>Samlet sum alle</t>
  </si>
  <si>
    <t>I5</t>
  </si>
  <si>
    <t>I6</t>
  </si>
  <si>
    <t>I7</t>
  </si>
  <si>
    <t>I8</t>
  </si>
  <si>
    <t>I9</t>
  </si>
  <si>
    <t>I10</t>
  </si>
  <si>
    <t>I11</t>
  </si>
  <si>
    <t>I13</t>
  </si>
  <si>
    <t>I15</t>
  </si>
  <si>
    <t>I16</t>
  </si>
  <si>
    <t>I17</t>
  </si>
  <si>
    <t>I18</t>
  </si>
  <si>
    <t>I19</t>
  </si>
  <si>
    <t>I20</t>
  </si>
  <si>
    <t>I21</t>
  </si>
  <si>
    <t>I22</t>
  </si>
  <si>
    <t>I23</t>
  </si>
  <si>
    <t>I24</t>
  </si>
  <si>
    <t>OV1</t>
  </si>
  <si>
    <t>OV2</t>
  </si>
  <si>
    <t>OV3</t>
  </si>
  <si>
    <t>OV4</t>
  </si>
  <si>
    <t>OV5</t>
  </si>
  <si>
    <t>OV6</t>
  </si>
  <si>
    <t>OV7</t>
  </si>
  <si>
    <t>OV8</t>
  </si>
  <si>
    <t>OV9</t>
  </si>
  <si>
    <t>OV10</t>
  </si>
  <si>
    <t>OV11</t>
  </si>
  <si>
    <t>OV14</t>
  </si>
  <si>
    <t>OV15</t>
  </si>
  <si>
    <t>OV16</t>
  </si>
  <si>
    <t>OV17</t>
  </si>
  <si>
    <t>OV18</t>
  </si>
  <si>
    <t>OV22</t>
  </si>
  <si>
    <t>OV23</t>
  </si>
  <si>
    <t>OV24</t>
  </si>
  <si>
    <t>OV25</t>
  </si>
  <si>
    <t>OV26</t>
  </si>
  <si>
    <t>OV27</t>
  </si>
  <si>
    <t>OV28</t>
  </si>
  <si>
    <t>OV29</t>
  </si>
  <si>
    <t>H1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</si>
  <si>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</si>
  <si>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</si>
  <si>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</si>
  <si>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</si>
  <si>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</si>
  <si>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</si>
  <si>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</si>
  <si>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</si>
  <si>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</si>
  <si>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</si>
  <si>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</si>
  <si>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</si>
  <si>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</si>
  <si>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</si>
  <si>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</si>
  <si>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</si>
  <si>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</si>
  <si>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</si>
  <si>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</si>
  <si>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</si>
  <si>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H28</t>
  </si>
  <si>
    <t>H29</t>
  </si>
  <si>
    <t>K1</t>
  </si>
  <si>
    <t>K2</t>
  </si>
  <si>
    <t>K3</t>
  </si>
  <si>
    <t>K4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</si>
  <si>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</si>
  <si>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</si>
  <si>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</si>
  <si>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</si>
  <si>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</si>
  <si>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</si>
  <si>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</si>
  <si>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</si>
  <si>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</si>
  <si>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T13</t>
  </si>
  <si>
    <t>O1</t>
  </si>
  <si>
    <t>O2</t>
  </si>
  <si>
    <t>O3</t>
  </si>
  <si>
    <t>O4</t>
  </si>
  <si>
    <t>O5</t>
  </si>
  <si>
    <t>O6</t>
  </si>
  <si>
    <t>O7</t>
  </si>
  <si>
    <t>Ø1</t>
  </si>
  <si>
    <t>Ø2</t>
  </si>
  <si>
    <t>Ø3</t>
  </si>
  <si>
    <t>Ø4</t>
  </si>
  <si>
    <t>Ø5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</si>
  <si>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</si>
  <si>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</si>
  <si>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</si>
  <si>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</si>
  <si>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</si>
  <si>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</si>
  <si>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</si>
  <si>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</si>
  <si>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</si>
  <si>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</si>
  <si>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</si>
  <si>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</si>
  <si>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</si>
  <si>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</si>
  <si>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</si>
  <si>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</si>
  <si>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</si>
  <si>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F19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</si>
  <si>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</si>
  <si>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</si>
  <si>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</si>
  <si>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</si>
  <si>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</si>
  <si>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</si>
  <si>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</si>
  <si>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</si>
  <si>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</si>
  <si>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</si>
  <si>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</si>
  <si>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</si>
  <si>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</si>
  <si>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</si>
  <si>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</si>
  <si>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</si>
  <si>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</si>
  <si>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F39</t>
  </si>
  <si>
    <t>F40</t>
  </si>
  <si>
    <t>I12</t>
  </si>
  <si>
    <t>I14</t>
  </si>
  <si>
    <t>I25</t>
  </si>
  <si>
    <t>I26</t>
  </si>
  <si>
    <t>OV12</t>
  </si>
  <si>
    <t>OV13</t>
  </si>
  <si>
    <t>OV19</t>
  </si>
  <si>
    <t>OV20</t>
  </si>
  <si>
    <t>OV21</t>
  </si>
  <si>
    <t>H2</t>
  </si>
  <si>
    <t>H3</t>
  </si>
  <si>
    <t>H15</t>
  </si>
  <si>
    <t>H25</t>
  </si>
  <si>
    <t>H26</t>
  </si>
  <si>
    <t>H27</t>
  </si>
  <si>
    <t>P26</t>
  </si>
  <si>
    <t>T10</t>
  </si>
  <si>
    <t>T11</t>
  </si>
  <si>
    <t>T12</t>
  </si>
  <si>
    <t>F18</t>
  </si>
  <si>
    <t>F20</t>
  </si>
  <si>
    <t>F38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</si>
</sst>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 * #,##0_ ;_ * \-#,##0_ ;_ * &quot;-&quot;??_ ;_ @_ "/>
    <numFmt numFmtId="166" formatCode="#,##0_ ;\-#,##0\ "/>
    <numFmt numFmtId="167" formatCode="#,##0.00_ ;\-#,##0.00\ "/>
    <numFmt numFmtId="168" formatCode="_ * #,##0.0_ ;_ * \-#,##0.0_ ;_ * &quot;-&quot;??_ ;_ @_ "/>
    <numFmt numFmtId="169" formatCode="_-* #,##0_-;\-* #,##0_-;_-* &quot;-&quot;??_-;_-@_-"/>
    <numFmt numFmtId="170" formatCode="0.0\ %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rgb="FF0062AB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b/>
      <i/>
      <sz val="11"/>
      <color rgb="FF0062AB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0062AB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color theme="0"/>
      <name val="Calibri"/>
      <family val="2"/>
      <scheme val="minor"/>
    </font>
    <font>
      <i/>
      <sz val="11"/>
      <color rgb="FF0062AB"/>
      <name val="Calibr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6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0"/>
      <color theme="0" tint="-0.499984740745262"/>
      <name val="Arial"/>
      <family val="2"/>
    </font>
    <font>
      <b/>
      <sz val="8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9"/>
      <color rgb="FF0062AB"/>
      <name val="Calibri"/>
      <family val="2"/>
      <scheme val="minor"/>
    </font>
    <font>
      <sz val="8"/>
      <color rgb="FF0062AB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color theme="1"/>
      <name val="Arial"/>
      <family val="2"/>
    </font>
    <font>
      <sz val="12"/>
      <color rgb="FF343434"/>
      <name val="Arial"/>
      <family val="2"/>
    </font>
    <font>
      <i/>
      <sz val="9"/>
      <color rgb="FF0062AB"/>
      <name val="Calibri"/>
      <family val="2"/>
      <scheme val="minor"/>
    </font>
    <font>
      <b/>
      <sz val="10"/>
      <name val="Arial"/>
      <family val="2"/>
    </font>
    <font>
      <sz val="8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8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strike/>
      <sz val="10"/>
      <name val="Arial"/>
      <family val="2"/>
    </font>
    <font>
      <strike/>
      <sz val="8"/>
      <color theme="1"/>
      <name val="Calibri"/>
      <family val="2"/>
      <scheme val="minor"/>
    </font>
    <font>
      <strike/>
      <sz val="10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</font>
    <font>
      <sz val="8"/>
      <color rgb="FFC00000"/>
      <name val="Arial"/>
      <family val="2"/>
    </font>
    <font>
      <b/>
      <sz val="1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0062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0061AA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7" fillId="0" borderId="0"/>
    <xf numFmtId="0" fontId="1" fillId="0" borderId="0"/>
    <xf numFmtId="164" fontId="1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5" fillId="31" borderId="0" applyNumberFormat="0" applyBorder="0" applyAlignment="0" applyProtection="0"/>
  </cellStyleXfs>
  <cellXfs count="651">
    <xf numFmtId="0" fontId="0" fillId="0" borderId="0" xfId="0"/>
    <xf numFmtId="0" fontId="4" fillId="0" borderId="0" xfId="0" applyFont="1" applyAlignment="1">
      <alignment vertical="center"/>
    </xf>
    <xf numFmtId="165" fontId="0" fillId="0" borderId="0" xfId="1" applyNumberFormat="1" applyFont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1" fillId="0" borderId="0" xfId="0" applyFont="1"/>
    <xf numFmtId="0" fontId="14" fillId="0" borderId="0" xfId="0" applyFont="1"/>
    <xf numFmtId="0" fontId="15" fillId="2" borderId="0" xfId="0" applyFont="1" applyFill="1" applyAlignment="1">
      <alignment horizontal="center" vertical="center"/>
    </xf>
    <xf numFmtId="165" fontId="2" fillId="2" borderId="0" xfId="1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 wrapText="1"/>
    </xf>
    <xf numFmtId="165" fontId="0" fillId="3" borderId="0" xfId="1" applyNumberFormat="1" applyFont="1" applyFill="1" applyAlignment="1">
      <alignment vertical="center"/>
    </xf>
    <xf numFmtId="0" fontId="13" fillId="3" borderId="1" xfId="0" applyFont="1" applyFill="1" applyBorder="1" applyAlignment="1">
      <alignment vertical="center" wrapText="1"/>
    </xf>
    <xf numFmtId="165" fontId="4" fillId="3" borderId="1" xfId="1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0" fillId="3" borderId="2" xfId="0" applyFill="1" applyBorder="1" applyAlignment="1">
      <alignment vertical="center" wrapText="1"/>
    </xf>
    <xf numFmtId="165" fontId="0" fillId="3" borderId="2" xfId="1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 wrapText="1"/>
    </xf>
    <xf numFmtId="165" fontId="7" fillId="3" borderId="3" xfId="1" applyNumberFormat="1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165" fontId="4" fillId="3" borderId="1" xfId="1" applyNumberFormat="1" applyFont="1" applyFill="1" applyBorder="1" applyAlignment="1">
      <alignment horizontal="center" vertical="center"/>
    </xf>
    <xf numFmtId="165" fontId="0" fillId="3" borderId="1" xfId="1" applyNumberFormat="1" applyFont="1" applyFill="1" applyBorder="1" applyAlignment="1">
      <alignment horizontal="right" vertical="center"/>
    </xf>
    <xf numFmtId="0" fontId="0" fillId="3" borderId="3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1" xfId="0" applyFont="1" applyFill="1" applyBorder="1" applyAlignment="1">
      <alignment vertical="center"/>
    </xf>
    <xf numFmtId="165" fontId="0" fillId="3" borderId="1" xfId="1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 wrapText="1"/>
    </xf>
    <xf numFmtId="165" fontId="0" fillId="3" borderId="3" xfId="1" applyNumberFormat="1" applyFont="1" applyFill="1" applyBorder="1" applyAlignment="1">
      <alignment vertical="center"/>
    </xf>
    <xf numFmtId="0" fontId="7" fillId="4" borderId="4" xfId="0" applyFont="1" applyFill="1" applyBorder="1" applyAlignment="1">
      <alignment vertical="center" wrapText="1"/>
    </xf>
    <xf numFmtId="0" fontId="0" fillId="4" borderId="4" xfId="0" applyFill="1" applyBorder="1" applyAlignment="1">
      <alignment vertical="center"/>
    </xf>
    <xf numFmtId="165" fontId="1" fillId="4" borderId="4" xfId="1" applyNumberFormat="1" applyFill="1" applyBorder="1" applyAlignment="1">
      <alignment vertical="center"/>
    </xf>
    <xf numFmtId="0" fontId="0" fillId="4" borderId="4" xfId="0" applyFill="1" applyBorder="1" applyAlignment="1">
      <alignment vertical="center" wrapText="1"/>
    </xf>
    <xf numFmtId="0" fontId="0" fillId="0" borderId="0" xfId="0" applyAlignment="1">
      <alignment vertical="center"/>
    </xf>
    <xf numFmtId="165" fontId="0" fillId="0" borderId="1" xfId="1" applyNumberFormat="1" applyFont="1" applyBorder="1" applyAlignment="1">
      <alignment vertical="center"/>
    </xf>
    <xf numFmtId="165" fontId="0" fillId="3" borderId="1" xfId="1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10" fillId="3" borderId="0" xfId="1" applyNumberFormat="1" applyFont="1" applyFill="1" applyAlignment="1">
      <alignment vertical="center"/>
    </xf>
    <xf numFmtId="165" fontId="10" fillId="3" borderId="1" xfId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5" fontId="19" fillId="2" borderId="0" xfId="1" applyNumberFormat="1" applyFont="1" applyFill="1" applyAlignment="1">
      <alignment vertical="center"/>
    </xf>
    <xf numFmtId="0" fontId="17" fillId="3" borderId="1" xfId="0" applyFont="1" applyFill="1" applyBorder="1" applyAlignment="1">
      <alignment vertical="center" wrapText="1"/>
    </xf>
    <xf numFmtId="0" fontId="17" fillId="3" borderId="6" xfId="0" applyFont="1" applyFill="1" applyBorder="1" applyAlignment="1">
      <alignment vertical="center" wrapText="1"/>
    </xf>
    <xf numFmtId="165" fontId="17" fillId="3" borderId="1" xfId="1" applyNumberFormat="1" applyFont="1" applyFill="1" applyBorder="1" applyAlignment="1">
      <alignment horizontal="right" vertical="center"/>
    </xf>
    <xf numFmtId="165" fontId="21" fillId="2" borderId="0" xfId="1" applyNumberFormat="1" applyFont="1" applyFill="1" applyAlignment="1">
      <alignment vertical="center"/>
    </xf>
    <xf numFmtId="165" fontId="17" fillId="3" borderId="0" xfId="1" applyNumberFormat="1" applyFont="1" applyFill="1" applyAlignment="1">
      <alignment vertical="center"/>
    </xf>
    <xf numFmtId="165" fontId="22" fillId="3" borderId="1" xfId="1" applyNumberFormat="1" applyFont="1" applyFill="1" applyBorder="1" applyAlignment="1">
      <alignment vertical="center"/>
    </xf>
    <xf numFmtId="165" fontId="17" fillId="3" borderId="1" xfId="1" applyNumberFormat="1" applyFont="1" applyFill="1" applyBorder="1" applyAlignment="1">
      <alignment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165" fontId="17" fillId="5" borderId="1" xfId="1" applyNumberFormat="1" applyFont="1" applyFill="1" applyBorder="1" applyAlignment="1">
      <alignment vertical="center"/>
    </xf>
    <xf numFmtId="165" fontId="17" fillId="0" borderId="1" xfId="1" applyNumberFormat="1" applyFont="1" applyBorder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5" fontId="17" fillId="5" borderId="1" xfId="1" applyNumberFormat="1" applyFont="1" applyFill="1" applyBorder="1" applyAlignment="1">
      <alignment horizontal="right" vertical="center"/>
    </xf>
    <xf numFmtId="165" fontId="17" fillId="0" borderId="1" xfId="1" applyNumberFormat="1" applyFont="1" applyBorder="1" applyAlignment="1">
      <alignment horizontal="right" vertical="center"/>
    </xf>
    <xf numFmtId="165" fontId="17" fillId="0" borderId="2" xfId="1" applyNumberFormat="1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65" fontId="10" fillId="0" borderId="1" xfId="1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165" fontId="29" fillId="3" borderId="1" xfId="1" applyNumberFormat="1" applyFont="1" applyFill="1" applyBorder="1" applyAlignment="1">
      <alignment vertical="center"/>
    </xf>
    <xf numFmtId="0" fontId="30" fillId="3" borderId="0" xfId="0" applyFont="1" applyFill="1" applyAlignment="1">
      <alignment vertical="center"/>
    </xf>
    <xf numFmtId="0" fontId="30" fillId="3" borderId="1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 wrapText="1"/>
    </xf>
    <xf numFmtId="165" fontId="31" fillId="0" borderId="1" xfId="1" applyNumberFormat="1" applyFont="1" applyBorder="1" applyAlignment="1">
      <alignment horizontal="right" vertical="center"/>
    </xf>
    <xf numFmtId="165" fontId="18" fillId="0" borderId="1" xfId="1" applyNumberFormat="1" applyFont="1" applyBorder="1" applyAlignment="1">
      <alignment horizontal="right" vertical="center"/>
    </xf>
    <xf numFmtId="0" fontId="0" fillId="6" borderId="0" xfId="0" applyFill="1" applyAlignment="1">
      <alignment vertical="center"/>
    </xf>
    <xf numFmtId="0" fontId="0" fillId="6" borderId="0" xfId="0" applyFill="1"/>
    <xf numFmtId="0" fontId="10" fillId="0" borderId="0" xfId="0" applyFont="1" applyAlignment="1">
      <alignment vertical="center"/>
    </xf>
    <xf numFmtId="0" fontId="10" fillId="0" borderId="0" xfId="0" applyFont="1"/>
    <xf numFmtId="165" fontId="0" fillId="0" borderId="0" xfId="0" applyNumberFormat="1" applyAlignment="1">
      <alignment vertical="center"/>
    </xf>
    <xf numFmtId="0" fontId="20" fillId="0" borderId="0" xfId="0" applyFont="1" applyAlignment="1">
      <alignment vertical="center" wrapText="1"/>
    </xf>
    <xf numFmtId="165" fontId="0" fillId="0" borderId="2" xfId="1" applyNumberFormat="1" applyFont="1" applyBorder="1" applyAlignment="1">
      <alignment horizontal="center" vertical="center"/>
    </xf>
    <xf numFmtId="3" fontId="18" fillId="0" borderId="5" xfId="1" applyNumberFormat="1" applyFont="1" applyBorder="1" applyAlignment="1">
      <alignment vertical="center" wrapText="1"/>
    </xf>
    <xf numFmtId="0" fontId="10" fillId="6" borderId="8" xfId="0" applyFont="1" applyFill="1" applyBorder="1" applyAlignment="1">
      <alignment vertical="center"/>
    </xf>
    <xf numFmtId="0" fontId="12" fillId="6" borderId="8" xfId="0" applyFont="1" applyFill="1" applyBorder="1" applyAlignment="1">
      <alignment horizontal="center" vertical="center"/>
    </xf>
    <xf numFmtId="0" fontId="0" fillId="6" borderId="8" xfId="0" applyFill="1" applyBorder="1" applyAlignment="1">
      <alignment vertical="center"/>
    </xf>
    <xf numFmtId="0" fontId="10" fillId="6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/>
    </xf>
    <xf numFmtId="0" fontId="3" fillId="6" borderId="8" xfId="0" applyFont="1" applyFill="1" applyBorder="1" applyAlignment="1">
      <alignment horizontal="left" vertical="center"/>
    </xf>
    <xf numFmtId="165" fontId="0" fillId="6" borderId="8" xfId="0" applyNumberFormat="1" applyFill="1" applyBorder="1" applyAlignment="1">
      <alignment vertical="center"/>
    </xf>
    <xf numFmtId="165" fontId="0" fillId="5" borderId="1" xfId="1" applyNumberFormat="1" applyFont="1" applyFill="1" applyBorder="1" applyAlignment="1">
      <alignment vertical="center"/>
    </xf>
    <xf numFmtId="165" fontId="17" fillId="8" borderId="1" xfId="1" applyNumberFormat="1" applyFont="1" applyFill="1" applyBorder="1" applyAlignment="1">
      <alignment vertical="center"/>
    </xf>
    <xf numFmtId="165" fontId="17" fillId="8" borderId="1" xfId="1" applyNumberFormat="1" applyFont="1" applyFill="1" applyBorder="1" applyAlignment="1">
      <alignment horizontal="right" vertical="center"/>
    </xf>
    <xf numFmtId="0" fontId="18" fillId="0" borderId="5" xfId="0" applyFont="1" applyBorder="1" applyAlignment="1">
      <alignment horizontal="left" vertical="center"/>
    </xf>
    <xf numFmtId="165" fontId="18" fillId="0" borderId="0" xfId="1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165" fontId="0" fillId="3" borderId="1" xfId="1" applyNumberFormat="1" applyFont="1" applyFill="1" applyBorder="1" applyAlignment="1">
      <alignment vertical="center" wrapText="1"/>
    </xf>
    <xf numFmtId="165" fontId="0" fillId="4" borderId="4" xfId="1" applyNumberFormat="1" applyFont="1" applyFill="1" applyBorder="1" applyAlignment="1">
      <alignment vertical="center"/>
    </xf>
    <xf numFmtId="0" fontId="32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left" vertical="center"/>
    </xf>
    <xf numFmtId="0" fontId="0" fillId="10" borderId="4" xfId="0" applyFill="1" applyBorder="1" applyAlignment="1">
      <alignment vertical="center"/>
    </xf>
    <xf numFmtId="0" fontId="7" fillId="10" borderId="4" xfId="0" applyFont="1" applyFill="1" applyBorder="1" applyAlignment="1">
      <alignment vertical="center" wrapText="1"/>
    </xf>
    <xf numFmtId="0" fontId="24" fillId="10" borderId="4" xfId="0" applyFont="1" applyFill="1" applyBorder="1" applyAlignment="1">
      <alignment vertical="center"/>
    </xf>
    <xf numFmtId="0" fontId="7" fillId="10" borderId="4" xfId="0" applyFont="1" applyFill="1" applyBorder="1" applyAlignment="1">
      <alignment vertical="center"/>
    </xf>
    <xf numFmtId="167" fontId="7" fillId="10" borderId="4" xfId="1" applyNumberFormat="1" applyFont="1" applyFill="1" applyBorder="1" applyAlignment="1">
      <alignment vertical="center"/>
    </xf>
    <xf numFmtId="166" fontId="7" fillId="10" borderId="4" xfId="1" applyNumberFormat="1" applyFont="1" applyFill="1" applyBorder="1" applyAlignment="1">
      <alignment vertical="center"/>
    </xf>
    <xf numFmtId="165" fontId="7" fillId="10" borderId="4" xfId="1" applyNumberFormat="1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7" fontId="7" fillId="0" borderId="0" xfId="1" applyNumberFormat="1" applyFont="1" applyAlignment="1">
      <alignment vertical="center"/>
    </xf>
    <xf numFmtId="166" fontId="7" fillId="0" borderId="0" xfId="1" applyNumberFormat="1" applyFont="1" applyAlignment="1">
      <alignment vertical="center"/>
    </xf>
    <xf numFmtId="165" fontId="7" fillId="0" borderId="0" xfId="1" applyNumberFormat="1" applyFont="1" applyAlignment="1">
      <alignment vertical="center"/>
    </xf>
    <xf numFmtId="0" fontId="0" fillId="10" borderId="0" xfId="0" applyFill="1" applyAlignment="1">
      <alignment vertical="center"/>
    </xf>
    <xf numFmtId="0" fontId="7" fillId="10" borderId="0" xfId="0" applyFont="1" applyFill="1" applyAlignment="1">
      <alignment vertical="center" wrapText="1"/>
    </xf>
    <xf numFmtId="0" fontId="24" fillId="10" borderId="0" xfId="0" applyFont="1" applyFill="1" applyAlignment="1">
      <alignment vertical="center"/>
    </xf>
    <xf numFmtId="0" fontId="7" fillId="10" borderId="0" xfId="0" applyFont="1" applyFill="1" applyAlignment="1">
      <alignment vertical="center"/>
    </xf>
    <xf numFmtId="167" fontId="7" fillId="10" borderId="0" xfId="1" applyNumberFormat="1" applyFont="1" applyFill="1" applyAlignment="1">
      <alignment vertical="center"/>
    </xf>
    <xf numFmtId="166" fontId="7" fillId="10" borderId="0" xfId="1" applyNumberFormat="1" applyFont="1" applyFill="1" applyAlignment="1">
      <alignment vertical="center"/>
    </xf>
    <xf numFmtId="165" fontId="7" fillId="10" borderId="0" xfId="1" applyNumberFormat="1" applyFont="1" applyFill="1" applyAlignment="1">
      <alignment vertical="center"/>
    </xf>
    <xf numFmtId="0" fontId="0" fillId="11" borderId="2" xfId="0" applyFill="1" applyBorder="1" applyAlignment="1">
      <alignment vertical="center"/>
    </xf>
    <xf numFmtId="165" fontId="0" fillId="11" borderId="2" xfId="0" applyNumberFormat="1" applyFill="1" applyBorder="1" applyAlignment="1">
      <alignment vertical="center"/>
    </xf>
    <xf numFmtId="0" fontId="0" fillId="11" borderId="9" xfId="0" applyFill="1" applyBorder="1" applyAlignment="1">
      <alignment vertical="center"/>
    </xf>
    <xf numFmtId="0" fontId="0" fillId="11" borderId="4" xfId="0" applyFill="1" applyBorder="1" applyAlignment="1">
      <alignment vertical="center"/>
    </xf>
    <xf numFmtId="165" fontId="0" fillId="11" borderId="4" xfId="0" applyNumberFormat="1" applyFill="1" applyBorder="1" applyAlignment="1">
      <alignment vertical="center"/>
    </xf>
    <xf numFmtId="0" fontId="0" fillId="11" borderId="0" xfId="0" applyFill="1" applyAlignment="1">
      <alignment vertical="center"/>
    </xf>
    <xf numFmtId="165" fontId="0" fillId="11" borderId="0" xfId="0" applyNumberFormat="1" applyFill="1" applyAlignment="1">
      <alignment vertical="center"/>
    </xf>
    <xf numFmtId="165" fontId="0" fillId="11" borderId="0" xfId="1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165" fontId="32" fillId="3" borderId="0" xfId="1" applyNumberFormat="1" applyFont="1" applyFill="1" applyAlignment="1">
      <alignment vertical="center"/>
    </xf>
    <xf numFmtId="0" fontId="0" fillId="12" borderId="4" xfId="0" applyFill="1" applyBorder="1" applyAlignment="1">
      <alignment vertical="center"/>
    </xf>
    <xf numFmtId="0" fontId="0" fillId="12" borderId="4" xfId="0" applyFill="1" applyBorder="1" applyAlignment="1">
      <alignment vertical="center" wrapText="1"/>
    </xf>
    <xf numFmtId="165" fontId="0" fillId="12" borderId="4" xfId="0" applyNumberFormat="1" applyFill="1" applyBorder="1" applyAlignment="1">
      <alignment vertical="center" wrapText="1"/>
    </xf>
    <xf numFmtId="0" fontId="7" fillId="12" borderId="4" xfId="0" applyFont="1" applyFill="1" applyBorder="1" applyAlignment="1">
      <alignment vertical="center" wrapText="1"/>
    </xf>
    <xf numFmtId="0" fontId="24" fillId="12" borderId="4" xfId="0" applyFont="1" applyFill="1" applyBorder="1" applyAlignment="1">
      <alignment vertical="center"/>
    </xf>
    <xf numFmtId="0" fontId="7" fillId="12" borderId="4" xfId="0" applyFont="1" applyFill="1" applyBorder="1" applyAlignment="1">
      <alignment vertical="center"/>
    </xf>
    <xf numFmtId="167" fontId="7" fillId="12" borderId="4" xfId="1" applyNumberFormat="1" applyFont="1" applyFill="1" applyBorder="1" applyAlignment="1">
      <alignment vertical="center"/>
    </xf>
    <xf numFmtId="166" fontId="7" fillId="12" borderId="4" xfId="1" applyNumberFormat="1" applyFont="1" applyFill="1" applyBorder="1" applyAlignment="1">
      <alignment vertical="center"/>
    </xf>
    <xf numFmtId="165" fontId="33" fillId="3" borderId="0" xfId="1" applyNumberFormat="1" applyFont="1" applyFill="1" applyAlignment="1">
      <alignment vertical="center"/>
    </xf>
    <xf numFmtId="0" fontId="0" fillId="12" borderId="0" xfId="0" applyFill="1" applyAlignment="1">
      <alignment vertical="center"/>
    </xf>
    <xf numFmtId="0" fontId="7" fillId="12" borderId="0" xfId="0" applyFont="1" applyFill="1" applyAlignment="1">
      <alignment vertical="center" wrapText="1"/>
    </xf>
    <xf numFmtId="0" fontId="24" fillId="12" borderId="0" xfId="0" applyFont="1" applyFill="1" applyAlignment="1">
      <alignment vertical="center"/>
    </xf>
    <xf numFmtId="0" fontId="7" fillId="12" borderId="0" xfId="0" applyFont="1" applyFill="1" applyAlignment="1">
      <alignment vertical="center"/>
    </xf>
    <xf numFmtId="167" fontId="7" fillId="12" borderId="0" xfId="1" applyNumberFormat="1" applyFont="1" applyFill="1" applyAlignment="1">
      <alignment vertical="center"/>
    </xf>
    <xf numFmtId="166" fontId="7" fillId="12" borderId="0" xfId="1" applyNumberFormat="1" applyFont="1" applyFill="1" applyAlignment="1">
      <alignment vertical="center"/>
    </xf>
    <xf numFmtId="0" fontId="10" fillId="13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vertical="center" wrapText="1"/>
    </xf>
    <xf numFmtId="165" fontId="9" fillId="13" borderId="1" xfId="1" applyNumberFormat="1" applyFont="1" applyFill="1" applyBorder="1" applyAlignment="1">
      <alignment vertical="center" wrapText="1"/>
    </xf>
    <xf numFmtId="0" fontId="34" fillId="13" borderId="1" xfId="0" applyFont="1" applyFill="1" applyBorder="1" applyAlignment="1">
      <alignment horizontal="center" vertical="center" wrapText="1"/>
    </xf>
    <xf numFmtId="0" fontId="35" fillId="13" borderId="1" xfId="0" applyFont="1" applyFill="1" applyBorder="1" applyAlignment="1">
      <alignment vertical="center" wrapText="1"/>
    </xf>
    <xf numFmtId="0" fontId="35" fillId="13" borderId="1" xfId="0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0" fillId="14" borderId="0" xfId="0" applyFill="1" applyAlignment="1">
      <alignment vertical="center"/>
    </xf>
    <xf numFmtId="0" fontId="10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vertical="center" wrapText="1"/>
    </xf>
    <xf numFmtId="0" fontId="23" fillId="10" borderId="1" xfId="0" applyFont="1" applyFill="1" applyBorder="1" applyAlignment="1">
      <alignment horizontal="center" vertical="center"/>
    </xf>
    <xf numFmtId="0" fontId="23" fillId="10" borderId="2" xfId="0" applyFont="1" applyFill="1" applyBorder="1" applyAlignment="1">
      <alignment horizontal="center" vertical="center"/>
    </xf>
    <xf numFmtId="165" fontId="0" fillId="10" borderId="1" xfId="1" applyNumberFormat="1" applyFont="1" applyFill="1" applyBorder="1" applyAlignment="1">
      <alignment horizontal="center" vertical="center"/>
    </xf>
    <xf numFmtId="165" fontId="17" fillId="10" borderId="1" xfId="1" applyNumberFormat="1" applyFont="1" applyFill="1" applyBorder="1" applyAlignment="1">
      <alignment vertical="center"/>
    </xf>
    <xf numFmtId="165" fontId="17" fillId="10" borderId="1" xfId="1" applyNumberFormat="1" applyFont="1" applyFill="1" applyBorder="1" applyAlignment="1">
      <alignment horizontal="right" vertical="center"/>
    </xf>
    <xf numFmtId="165" fontId="3" fillId="3" borderId="1" xfId="1" applyNumberFormat="1" applyFont="1" applyFill="1" applyBorder="1" applyAlignment="1">
      <alignment horizontal="left" vertical="center"/>
    </xf>
    <xf numFmtId="0" fontId="23" fillId="0" borderId="3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4" fillId="0" borderId="0" xfId="0" applyFont="1"/>
    <xf numFmtId="165" fontId="0" fillId="0" borderId="0" xfId="1" applyNumberFormat="1" applyFont="1"/>
    <xf numFmtId="0" fontId="0" fillId="0" borderId="8" xfId="0" applyBorder="1"/>
    <xf numFmtId="0" fontId="4" fillId="0" borderId="8" xfId="0" applyFont="1" applyBorder="1"/>
    <xf numFmtId="165" fontId="0" fillId="0" borderId="8" xfId="1" applyNumberFormat="1" applyFont="1" applyBorder="1"/>
    <xf numFmtId="165" fontId="4" fillId="0" borderId="8" xfId="1" applyNumberFormat="1" applyFont="1" applyBorder="1"/>
    <xf numFmtId="0" fontId="5" fillId="15" borderId="8" xfId="0" applyFont="1" applyFill="1" applyBorder="1"/>
    <xf numFmtId="0" fontId="2" fillId="15" borderId="8" xfId="0" applyFont="1" applyFill="1" applyBorder="1"/>
    <xf numFmtId="9" fontId="0" fillId="0" borderId="8" xfId="7" applyFont="1" applyBorder="1"/>
    <xf numFmtId="165" fontId="18" fillId="0" borderId="1" xfId="1" applyNumberFormat="1" applyFont="1" applyBorder="1" applyAlignment="1">
      <alignment vertical="center"/>
    </xf>
    <xf numFmtId="0" fontId="36" fillId="7" borderId="0" xfId="0" applyFont="1" applyFill="1" applyAlignment="1">
      <alignment vertical="center"/>
    </xf>
    <xf numFmtId="165" fontId="36" fillId="7" borderId="0" xfId="1" applyNumberFormat="1" applyFont="1" applyFill="1" applyAlignment="1">
      <alignment vertical="center"/>
    </xf>
    <xf numFmtId="0" fontId="37" fillId="7" borderId="0" xfId="0" applyFont="1" applyFill="1" applyAlignment="1">
      <alignment vertical="center"/>
    </xf>
    <xf numFmtId="0" fontId="38" fillId="7" borderId="0" xfId="0" applyFont="1" applyFill="1" applyAlignment="1">
      <alignment vertical="center" wrapText="1"/>
    </xf>
    <xf numFmtId="165" fontId="37" fillId="7" borderId="0" xfId="1" applyNumberFormat="1" applyFont="1" applyFill="1" applyAlignment="1">
      <alignment vertical="center"/>
    </xf>
    <xf numFmtId="0" fontId="39" fillId="7" borderId="0" xfId="0" applyFont="1" applyFill="1" applyAlignment="1">
      <alignment vertical="center"/>
    </xf>
    <xf numFmtId="165" fontId="39" fillId="7" borderId="0" xfId="1" applyNumberFormat="1" applyFont="1" applyFill="1" applyAlignment="1">
      <alignment vertical="center"/>
    </xf>
    <xf numFmtId="0" fontId="40" fillId="0" borderId="0" xfId="0" applyFont="1" applyAlignment="1">
      <alignment vertical="center"/>
    </xf>
    <xf numFmtId="165" fontId="40" fillId="0" borderId="0" xfId="1" applyNumberFormat="1" applyFont="1" applyAlignment="1">
      <alignment vertical="center"/>
    </xf>
    <xf numFmtId="165" fontId="40" fillId="0" borderId="0" xfId="0" applyNumberFormat="1" applyFont="1" applyAlignment="1">
      <alignment vertical="center"/>
    </xf>
    <xf numFmtId="0" fontId="4" fillId="0" borderId="4" xfId="0" applyFont="1" applyBorder="1"/>
    <xf numFmtId="165" fontId="4" fillId="0" borderId="4" xfId="0" applyNumberFormat="1" applyFont="1" applyBorder="1"/>
    <xf numFmtId="0" fontId="5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7" fillId="0" borderId="6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3" fillId="0" borderId="0" xfId="0" applyFont="1" applyAlignment="1">
      <alignment vertical="center" wrapText="1"/>
    </xf>
    <xf numFmtId="165" fontId="10" fillId="0" borderId="1" xfId="1" applyNumberFormat="1" applyFont="1" applyBorder="1" applyAlignment="1">
      <alignment vertical="center"/>
    </xf>
    <xf numFmtId="0" fontId="23" fillId="0" borderId="8" xfId="0" applyFont="1" applyBorder="1" applyAlignment="1">
      <alignment horizontal="center" vertical="center"/>
    </xf>
    <xf numFmtId="165" fontId="18" fillId="0" borderId="8" xfId="1" applyNumberFormat="1" applyFont="1" applyBorder="1" applyAlignment="1">
      <alignment horizontal="right" vertical="center"/>
    </xf>
    <xf numFmtId="0" fontId="18" fillId="0" borderId="0" xfId="0" applyFont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9" fillId="13" borderId="3" xfId="0" applyFont="1" applyFill="1" applyBorder="1" applyAlignment="1">
      <alignment vertical="center" wrapText="1"/>
    </xf>
    <xf numFmtId="165" fontId="9" fillId="13" borderId="3" xfId="1" applyNumberFormat="1" applyFont="1" applyFill="1" applyBorder="1" applyAlignment="1">
      <alignment vertical="center" wrapText="1"/>
    </xf>
    <xf numFmtId="165" fontId="17" fillId="0" borderId="0" xfId="1" applyNumberFormat="1" applyFont="1" applyAlignment="1">
      <alignment vertical="center"/>
    </xf>
    <xf numFmtId="0" fontId="0" fillId="5" borderId="0" xfId="0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165" fontId="4" fillId="3" borderId="0" xfId="1" applyNumberFormat="1" applyFont="1" applyFill="1" applyAlignment="1">
      <alignment horizontal="center" vertical="center"/>
    </xf>
    <xf numFmtId="165" fontId="22" fillId="3" borderId="0" xfId="1" applyNumberFormat="1" applyFont="1" applyFill="1" applyAlignment="1">
      <alignment vertical="center"/>
    </xf>
    <xf numFmtId="0" fontId="10" fillId="0" borderId="2" xfId="0" applyFont="1" applyBorder="1" applyAlignment="1">
      <alignment horizontal="center" vertical="center"/>
    </xf>
    <xf numFmtId="165" fontId="17" fillId="0" borderId="8" xfId="1" applyNumberFormat="1" applyFont="1" applyBorder="1" applyAlignment="1">
      <alignment vertical="center"/>
    </xf>
    <xf numFmtId="165" fontId="17" fillId="5" borderId="8" xfId="1" applyNumberFormat="1" applyFont="1" applyFill="1" applyBorder="1" applyAlignment="1">
      <alignment vertical="center"/>
    </xf>
    <xf numFmtId="0" fontId="17" fillId="5" borderId="5" xfId="0" applyFont="1" applyFill="1" applyBorder="1" applyAlignment="1">
      <alignment horizontal="left" vertical="center"/>
    </xf>
    <xf numFmtId="0" fontId="17" fillId="5" borderId="6" xfId="0" applyFont="1" applyFill="1" applyBorder="1" applyAlignment="1">
      <alignment vertical="center" wrapText="1"/>
    </xf>
    <xf numFmtId="0" fontId="18" fillId="8" borderId="5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165" fontId="0" fillId="5" borderId="1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165" fontId="6" fillId="3" borderId="0" xfId="1" applyNumberFormat="1" applyFont="1" applyFill="1" applyAlignment="1">
      <alignment vertical="center"/>
    </xf>
    <xf numFmtId="0" fontId="6" fillId="7" borderId="0" xfId="0" applyFont="1" applyFill="1" applyAlignment="1">
      <alignment vertical="center" wrapText="1"/>
    </xf>
    <xf numFmtId="0" fontId="10" fillId="7" borderId="0" xfId="0" applyFont="1" applyFill="1" applyAlignment="1">
      <alignment vertical="center"/>
    </xf>
    <xf numFmtId="0" fontId="7" fillId="7" borderId="0" xfId="0" applyFont="1" applyFill="1" applyAlignment="1">
      <alignment vertical="center" wrapText="1"/>
    </xf>
    <xf numFmtId="0" fontId="24" fillId="7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165" fontId="10" fillId="3" borderId="0" xfId="0" applyNumberFormat="1" applyFont="1" applyFill="1" applyAlignment="1">
      <alignment vertical="center"/>
    </xf>
    <xf numFmtId="165" fontId="25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3" fontId="18" fillId="0" borderId="0" xfId="1" applyNumberFormat="1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165" fontId="10" fillId="0" borderId="1" xfId="1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18" fillId="0" borderId="1" xfId="1" applyNumberFormat="1" applyFont="1" applyBorder="1" applyAlignment="1">
      <alignment horizontal="right" vertical="center"/>
    </xf>
    <xf numFmtId="165" fontId="41" fillId="0" borderId="1" xfId="1" applyNumberFormat="1" applyFont="1" applyBorder="1" applyAlignment="1">
      <alignment horizontal="right" vertical="center"/>
    </xf>
    <xf numFmtId="165" fontId="3" fillId="0" borderId="1" xfId="1" applyNumberFormat="1" applyFont="1" applyBorder="1" applyAlignment="1">
      <alignment vertical="center"/>
    </xf>
    <xf numFmtId="0" fontId="12" fillId="6" borderId="8" xfId="0" applyFont="1" applyFill="1" applyBorder="1" applyAlignment="1">
      <alignment vertical="center"/>
    </xf>
    <xf numFmtId="165" fontId="17" fillId="0" borderId="0" xfId="1" applyNumberFormat="1" applyFont="1" applyBorder="1" applyAlignment="1">
      <alignment vertical="center"/>
    </xf>
    <xf numFmtId="165" fontId="18" fillId="0" borderId="1" xfId="1" applyNumberFormat="1" applyFont="1" applyFill="1" applyBorder="1" applyAlignment="1">
      <alignment vertical="center"/>
    </xf>
    <xf numFmtId="165" fontId="0" fillId="0" borderId="0" xfId="0" applyNumberFormat="1"/>
    <xf numFmtId="165" fontId="10" fillId="0" borderId="1" xfId="1" applyNumberFormat="1" applyFont="1" applyFill="1" applyBorder="1" applyAlignment="1">
      <alignment vertical="center"/>
    </xf>
    <xf numFmtId="10" fontId="40" fillId="0" borderId="0" xfId="7" applyNumberFormat="1" applyFont="1" applyAlignment="1">
      <alignment vertical="center"/>
    </xf>
    <xf numFmtId="165" fontId="7" fillId="3" borderId="0" xfId="1" applyNumberFormat="1" applyFont="1" applyFill="1" applyBorder="1" applyAlignment="1">
      <alignment vertical="center"/>
    </xf>
    <xf numFmtId="165" fontId="1" fillId="4" borderId="0" xfId="1" applyNumberFormat="1" applyFill="1" applyBorder="1" applyAlignment="1">
      <alignment vertical="center"/>
    </xf>
    <xf numFmtId="165" fontId="0" fillId="3" borderId="0" xfId="1" applyNumberFormat="1" applyFont="1" applyFill="1" applyBorder="1" applyAlignment="1">
      <alignment vertical="center"/>
    </xf>
    <xf numFmtId="165" fontId="7" fillId="10" borderId="0" xfId="1" applyNumberFormat="1" applyFont="1" applyFill="1" applyBorder="1" applyAlignment="1">
      <alignment vertical="center"/>
    </xf>
    <xf numFmtId="165" fontId="0" fillId="12" borderId="0" xfId="0" applyNumberFormat="1" applyFill="1" applyAlignment="1">
      <alignment vertical="center" wrapText="1"/>
    </xf>
    <xf numFmtId="166" fontId="7" fillId="12" borderId="0" xfId="1" applyNumberFormat="1" applyFont="1" applyFill="1" applyBorder="1" applyAlignment="1">
      <alignment vertical="center"/>
    </xf>
    <xf numFmtId="165" fontId="4" fillId="3" borderId="0" xfId="1" applyNumberFormat="1" applyFont="1" applyFill="1" applyBorder="1" applyAlignment="1">
      <alignment vertical="center"/>
    </xf>
    <xf numFmtId="165" fontId="0" fillId="0" borderId="8" xfId="0" applyNumberFormat="1" applyBorder="1"/>
    <xf numFmtId="165" fontId="0" fillId="0" borderId="2" xfId="1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165" fontId="17" fillId="3" borderId="3" xfId="1" applyNumberFormat="1" applyFont="1" applyFill="1" applyBorder="1" applyAlignment="1">
      <alignment vertical="center"/>
    </xf>
    <xf numFmtId="165" fontId="17" fillId="8" borderId="3" xfId="1" applyNumberFormat="1" applyFont="1" applyFill="1" applyBorder="1" applyAlignment="1">
      <alignment vertical="center"/>
    </xf>
    <xf numFmtId="165" fontId="17" fillId="0" borderId="3" xfId="1" applyNumberFormat="1" applyFont="1" applyBorder="1" applyAlignment="1">
      <alignment vertical="center"/>
    </xf>
    <xf numFmtId="0" fontId="23" fillId="3" borderId="0" xfId="0" applyFont="1" applyFill="1" applyAlignment="1">
      <alignment horizontal="center" vertical="center"/>
    </xf>
    <xf numFmtId="165" fontId="17" fillId="3" borderId="0" xfId="1" applyNumberFormat="1" applyFont="1" applyFill="1" applyBorder="1" applyAlignment="1">
      <alignment vertical="center"/>
    </xf>
    <xf numFmtId="165" fontId="17" fillId="8" borderId="0" xfId="1" applyNumberFormat="1" applyFont="1" applyFill="1" applyBorder="1" applyAlignment="1">
      <alignment vertical="center"/>
    </xf>
    <xf numFmtId="165" fontId="17" fillId="0" borderId="11" xfId="1" applyNumberFormat="1" applyFont="1" applyBorder="1" applyAlignment="1">
      <alignment vertical="center"/>
    </xf>
    <xf numFmtId="0" fontId="17" fillId="3" borderId="8" xfId="0" applyFont="1" applyFill="1" applyBorder="1" applyAlignment="1">
      <alignment vertical="center" wrapText="1"/>
    </xf>
    <xf numFmtId="165" fontId="17" fillId="0" borderId="8" xfId="8" applyNumberFormat="1" applyFont="1" applyBorder="1" applyAlignment="1">
      <alignment horizontal="left"/>
    </xf>
    <xf numFmtId="165" fontId="17" fillId="0" borderId="10" xfId="1" applyNumberFormat="1" applyFont="1" applyBorder="1" applyAlignment="1">
      <alignment vertical="center"/>
    </xf>
    <xf numFmtId="165" fontId="17" fillId="8" borderId="8" xfId="1" applyNumberFormat="1" applyFont="1" applyFill="1" applyBorder="1" applyAlignment="1">
      <alignment vertical="center"/>
    </xf>
    <xf numFmtId="165" fontId="0" fillId="8" borderId="8" xfId="0" applyNumberFormat="1" applyFill="1" applyBorder="1"/>
    <xf numFmtId="165" fontId="18" fillId="0" borderId="3" xfId="1" applyNumberFormat="1" applyFont="1" applyBorder="1" applyAlignment="1">
      <alignment vertical="center"/>
    </xf>
    <xf numFmtId="165" fontId="18" fillId="0" borderId="0" xfId="1" applyNumberFormat="1" applyFont="1" applyBorder="1" applyAlignment="1">
      <alignment vertical="center"/>
    </xf>
    <xf numFmtId="3" fontId="18" fillId="16" borderId="5" xfId="1" applyNumberFormat="1" applyFont="1" applyFill="1" applyBorder="1" applyAlignment="1">
      <alignment vertical="center" wrapText="1"/>
    </xf>
    <xf numFmtId="0" fontId="23" fillId="16" borderId="1" xfId="0" applyFont="1" applyFill="1" applyBorder="1" applyAlignment="1">
      <alignment horizontal="center" vertical="center"/>
    </xf>
    <xf numFmtId="165" fontId="18" fillId="16" borderId="1" xfId="1" applyNumberFormat="1" applyFont="1" applyFill="1" applyBorder="1" applyAlignment="1">
      <alignment horizontal="right" vertical="center"/>
    </xf>
    <xf numFmtId="0" fontId="43" fillId="0" borderId="0" xfId="0" applyFont="1" applyAlignment="1">
      <alignment vertical="center" wrapText="1"/>
    </xf>
    <xf numFmtId="165" fontId="17" fillId="17" borderId="1" xfId="1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5" fontId="18" fillId="5" borderId="1" xfId="1" applyNumberFormat="1" applyFont="1" applyFill="1" applyBorder="1" applyAlignment="1">
      <alignment vertical="center"/>
    </xf>
    <xf numFmtId="0" fontId="36" fillId="0" borderId="0" xfId="0" applyFont="1"/>
    <xf numFmtId="165" fontId="36" fillId="0" borderId="1" xfId="1" applyNumberFormat="1" applyFont="1" applyBorder="1" applyAlignment="1">
      <alignment vertical="center"/>
    </xf>
    <xf numFmtId="0" fontId="3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0" fillId="0" borderId="3" xfId="0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165" fontId="7" fillId="0" borderId="3" xfId="1" applyNumberFormat="1" applyFont="1" applyBorder="1" applyAlignment="1">
      <alignment vertical="center"/>
    </xf>
    <xf numFmtId="165" fontId="10" fillId="0" borderId="0" xfId="0" applyNumberFormat="1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165" fontId="0" fillId="0" borderId="4" xfId="1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165" fontId="0" fillId="0" borderId="3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32" fillId="0" borderId="4" xfId="0" applyFont="1" applyBorder="1" applyAlignment="1">
      <alignment vertical="center"/>
    </xf>
    <xf numFmtId="165" fontId="4" fillId="0" borderId="4" xfId="1" applyNumberFormat="1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166" fontId="7" fillId="0" borderId="4" xfId="1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65" fontId="6" fillId="0" borderId="1" xfId="1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5" fontId="6" fillId="0" borderId="0" xfId="1" applyNumberFormat="1" applyFont="1" applyAlignment="1">
      <alignment vertical="center"/>
    </xf>
    <xf numFmtId="0" fontId="0" fillId="7" borderId="0" xfId="0" applyFill="1" applyAlignment="1">
      <alignment vertical="center" wrapText="1"/>
    </xf>
    <xf numFmtId="165" fontId="0" fillId="3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3" fontId="18" fillId="0" borderId="0" xfId="1" applyNumberFormat="1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65" fontId="10" fillId="0" borderId="0" xfId="1" applyNumberFormat="1" applyFont="1" applyAlignment="1">
      <alignment vertical="center"/>
    </xf>
    <xf numFmtId="3" fontId="41" fillId="0" borderId="0" xfId="1" applyNumberFormat="1" applyFont="1" applyAlignment="1">
      <alignment vertical="center" wrapText="1"/>
    </xf>
    <xf numFmtId="0" fontId="17" fillId="0" borderId="0" xfId="0" applyFont="1" applyAlignment="1">
      <alignment vertical="center" wrapText="1"/>
    </xf>
    <xf numFmtId="165" fontId="41" fillId="0" borderId="0" xfId="1" applyNumberFormat="1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165" fontId="4" fillId="0" borderId="0" xfId="0" applyNumberFormat="1" applyFont="1"/>
    <xf numFmtId="0" fontId="0" fillId="0" borderId="8" xfId="0" applyBorder="1" applyAlignment="1">
      <alignment wrapText="1"/>
    </xf>
    <xf numFmtId="0" fontId="12" fillId="0" borderId="0" xfId="0" applyFont="1" applyAlignment="1">
      <alignment horizontal="center" vertical="center"/>
    </xf>
    <xf numFmtId="165" fontId="44" fillId="13" borderId="8" xfId="8" applyNumberFormat="1" applyFont="1" applyFill="1" applyBorder="1" applyAlignment="1">
      <alignment vertical="center" wrapText="1"/>
    </xf>
    <xf numFmtId="165" fontId="9" fillId="13" borderId="8" xfId="8" applyNumberFormat="1" applyFont="1" applyFill="1" applyBorder="1" applyAlignment="1">
      <alignment vertical="center" wrapText="1"/>
    </xf>
    <xf numFmtId="0" fontId="2" fillId="18" borderId="8" xfId="0" applyFont="1" applyFill="1" applyBorder="1" applyAlignment="1">
      <alignment horizontal="center" vertical="center"/>
    </xf>
    <xf numFmtId="0" fontId="2" fillId="18" borderId="8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165" fontId="17" fillId="0" borderId="8" xfId="1" applyNumberFormat="1" applyFont="1" applyFill="1" applyBorder="1" applyAlignment="1">
      <alignment vertical="center"/>
    </xf>
    <xf numFmtId="0" fontId="44" fillId="13" borderId="8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165" fontId="9" fillId="3" borderId="3" xfId="8" applyNumberFormat="1" applyFont="1" applyFill="1" applyBorder="1" applyAlignment="1">
      <alignment vertical="center" wrapText="1"/>
    </xf>
    <xf numFmtId="0" fontId="9" fillId="3" borderId="0" xfId="0" applyFont="1" applyFill="1" applyAlignment="1">
      <alignment vertical="center" wrapText="1"/>
    </xf>
    <xf numFmtId="165" fontId="9" fillId="3" borderId="0" xfId="8" applyNumberFormat="1" applyFont="1" applyFill="1" applyAlignment="1">
      <alignment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13" xfId="0" applyFont="1" applyFill="1" applyBorder="1" applyAlignment="1">
      <alignment horizontal="center" vertical="center" wrapText="1"/>
    </xf>
    <xf numFmtId="0" fontId="2" fillId="18" borderId="10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9" fillId="13" borderId="8" xfId="0" applyFont="1" applyFill="1" applyBorder="1" applyAlignment="1">
      <alignment vertical="center" wrapText="1"/>
    </xf>
    <xf numFmtId="165" fontId="9" fillId="13" borderId="8" xfId="8" applyNumberFormat="1" applyFont="1" applyFill="1" applyBorder="1" applyAlignment="1">
      <alignment horizontal="right" vertical="center" wrapText="1"/>
    </xf>
    <xf numFmtId="49" fontId="17" fillId="0" borderId="8" xfId="8" applyNumberFormat="1" applyFont="1" applyBorder="1" applyAlignment="1">
      <alignment horizontal="center"/>
    </xf>
    <xf numFmtId="0" fontId="17" fillId="3" borderId="8" xfId="0" applyFont="1" applyFill="1" applyBorder="1" applyAlignment="1">
      <alignment horizontal="center" vertical="center" wrapText="1"/>
    </xf>
    <xf numFmtId="49" fontId="17" fillId="0" borderId="8" xfId="1" applyNumberFormat="1" applyFont="1" applyBorder="1" applyAlignment="1">
      <alignment horizontal="center" vertical="center"/>
    </xf>
    <xf numFmtId="165" fontId="17" fillId="0" borderId="0" xfId="1" applyNumberFormat="1" applyFont="1" applyFill="1" applyBorder="1" applyAlignment="1">
      <alignment vertical="center"/>
    </xf>
    <xf numFmtId="165" fontId="17" fillId="0" borderId="10" xfId="8" applyNumberFormat="1" applyFont="1" applyFill="1" applyBorder="1" applyAlignment="1">
      <alignment horizontal="left"/>
    </xf>
    <xf numFmtId="165" fontId="17" fillId="0" borderId="10" xfId="1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165" fontId="9" fillId="0" borderId="0" xfId="8" applyNumberFormat="1" applyFont="1" applyAlignment="1">
      <alignment vertical="center" wrapText="1"/>
    </xf>
    <xf numFmtId="0" fontId="0" fillId="3" borderId="0" xfId="0" applyFill="1"/>
    <xf numFmtId="0" fontId="4" fillId="3" borderId="0" xfId="0" applyFont="1" applyFill="1"/>
    <xf numFmtId="0" fontId="8" fillId="5" borderId="0" xfId="0" applyFont="1" applyFill="1" applyAlignment="1">
      <alignment vertical="center"/>
    </xf>
    <xf numFmtId="0" fontId="0" fillId="5" borderId="0" xfId="0" applyFill="1" applyAlignment="1">
      <alignment vertical="center" wrapText="1"/>
    </xf>
    <xf numFmtId="0" fontId="8" fillId="5" borderId="0" xfId="0" applyFont="1" applyFill="1" applyAlignment="1">
      <alignment vertical="center" wrapText="1"/>
    </xf>
    <xf numFmtId="0" fontId="10" fillId="5" borderId="0" xfId="0" applyFont="1" applyFill="1" applyAlignment="1">
      <alignment vertical="center"/>
    </xf>
    <xf numFmtId="0" fontId="17" fillId="0" borderId="0" xfId="0" applyFont="1"/>
    <xf numFmtId="0" fontId="18" fillId="0" borderId="0" xfId="0" applyFont="1"/>
    <xf numFmtId="0" fontId="18" fillId="0" borderId="1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165" fontId="23" fillId="0" borderId="1" xfId="1" applyNumberFormat="1" applyFont="1" applyBorder="1" applyAlignment="1">
      <alignment horizontal="center" vertical="center"/>
    </xf>
    <xf numFmtId="165" fontId="45" fillId="0" borderId="1" xfId="1" applyNumberFormat="1" applyFont="1" applyBorder="1" applyAlignment="1">
      <alignment vertical="center"/>
    </xf>
    <xf numFmtId="165" fontId="18" fillId="0" borderId="0" xfId="1" applyNumberFormat="1" applyFont="1" applyBorder="1" applyAlignment="1">
      <alignment horizontal="right" vertical="center"/>
    </xf>
    <xf numFmtId="165" fontId="18" fillId="0" borderId="0" xfId="1" applyNumberFormat="1" applyFont="1" applyAlignment="1">
      <alignment vertical="center"/>
    </xf>
    <xf numFmtId="0" fontId="10" fillId="0" borderId="8" xfId="0" applyFont="1" applyBorder="1" applyAlignment="1">
      <alignment vertical="center"/>
    </xf>
    <xf numFmtId="3" fontId="18" fillId="0" borderId="12" xfId="4" applyNumberFormat="1" applyFont="1" applyBorder="1" applyAlignment="1">
      <alignment vertical="center" wrapText="1"/>
    </xf>
    <xf numFmtId="0" fontId="46" fillId="0" borderId="1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3" fontId="47" fillId="0" borderId="0" xfId="1" applyNumberFormat="1" applyFont="1" applyAlignment="1">
      <alignment vertical="center" wrapText="1"/>
    </xf>
    <xf numFmtId="165" fontId="47" fillId="0" borderId="1" xfId="1" applyNumberFormat="1" applyFont="1" applyBorder="1" applyAlignment="1">
      <alignment horizontal="right" vertical="center"/>
    </xf>
    <xf numFmtId="165" fontId="17" fillId="0" borderId="0" xfId="1" applyNumberFormat="1" applyFont="1" applyFill="1" applyAlignment="1">
      <alignment vertical="center"/>
    </xf>
    <xf numFmtId="165" fontId="18" fillId="0" borderId="0" xfId="1" applyNumberFormat="1" applyFont="1" applyFill="1" applyBorder="1" applyAlignment="1">
      <alignment horizontal="right" vertical="center"/>
    </xf>
    <xf numFmtId="0" fontId="23" fillId="5" borderId="0" xfId="0" applyFont="1" applyFill="1" applyAlignment="1">
      <alignment horizontal="center" vertical="center"/>
    </xf>
    <xf numFmtId="0" fontId="46" fillId="5" borderId="2" xfId="0" applyFont="1" applyFill="1" applyBorder="1" applyAlignment="1">
      <alignment horizontal="center" vertical="center"/>
    </xf>
    <xf numFmtId="165" fontId="23" fillId="0" borderId="1" xfId="1" applyNumberFormat="1" applyFont="1" applyBorder="1" applyAlignment="1">
      <alignment vertical="center"/>
    </xf>
    <xf numFmtId="165" fontId="12" fillId="0" borderId="1" xfId="1" applyNumberFormat="1" applyFont="1" applyBorder="1" applyAlignment="1">
      <alignment vertical="center"/>
    </xf>
    <xf numFmtId="168" fontId="10" fillId="0" borderId="1" xfId="1" applyNumberFormat="1" applyFont="1" applyBorder="1" applyAlignment="1">
      <alignment vertical="center"/>
    </xf>
    <xf numFmtId="165" fontId="48" fillId="0" borderId="1" xfId="1" applyNumberFormat="1" applyFont="1" applyBorder="1" applyAlignment="1">
      <alignment vertical="center"/>
    </xf>
    <xf numFmtId="165" fontId="10" fillId="0" borderId="1" xfId="1" applyNumberFormat="1" applyFont="1" applyBorder="1" applyAlignment="1">
      <alignment vertical="center" wrapText="1"/>
    </xf>
    <xf numFmtId="165" fontId="49" fillId="0" borderId="1" xfId="1" applyNumberFormat="1" applyFont="1" applyBorder="1" applyAlignment="1">
      <alignment vertical="center"/>
    </xf>
    <xf numFmtId="0" fontId="23" fillId="0" borderId="0" xfId="0" applyFont="1"/>
    <xf numFmtId="165" fontId="49" fillId="0" borderId="1" xfId="1" applyNumberFormat="1" applyFont="1" applyBorder="1" applyAlignment="1">
      <alignment vertical="center" wrapText="1"/>
    </xf>
    <xf numFmtId="165" fontId="49" fillId="0" borderId="1" xfId="1" applyNumberFormat="1" applyFont="1" applyFill="1" applyBorder="1" applyAlignment="1">
      <alignment vertical="center"/>
    </xf>
    <xf numFmtId="165" fontId="49" fillId="5" borderId="1" xfId="1" applyNumberFormat="1" applyFont="1" applyFill="1" applyBorder="1" applyAlignment="1">
      <alignment vertical="center" wrapText="1"/>
    </xf>
    <xf numFmtId="165" fontId="50" fillId="0" borderId="1" xfId="1" applyNumberFormat="1" applyFont="1" applyBorder="1" applyAlignment="1">
      <alignment vertical="center"/>
    </xf>
    <xf numFmtId="165" fontId="18" fillId="5" borderId="1" xfId="1" applyNumberFormat="1" applyFont="1" applyFill="1" applyBorder="1" applyAlignment="1">
      <alignment horizontal="right" vertical="center"/>
    </xf>
    <xf numFmtId="0" fontId="23" fillId="17" borderId="2" xfId="0" applyFont="1" applyFill="1" applyBorder="1" applyAlignment="1">
      <alignment horizontal="center" vertical="center"/>
    </xf>
    <xf numFmtId="165" fontId="18" fillId="17" borderId="1" xfId="1" applyNumberFormat="1" applyFont="1" applyFill="1" applyBorder="1" applyAlignment="1">
      <alignment vertical="center"/>
    </xf>
    <xf numFmtId="0" fontId="17" fillId="5" borderId="1" xfId="0" applyFont="1" applyFill="1" applyBorder="1" applyAlignment="1">
      <alignment vertical="center" wrapText="1"/>
    </xf>
    <xf numFmtId="165" fontId="50" fillId="0" borderId="1" xfId="1" applyNumberFormat="1" applyFont="1" applyBorder="1" applyAlignment="1">
      <alignment vertical="center" wrapText="1"/>
    </xf>
    <xf numFmtId="165" fontId="17" fillId="0" borderId="1" xfId="1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165" fontId="10" fillId="0" borderId="1" xfId="1" applyNumberFormat="1" applyFont="1" applyFill="1" applyBorder="1" applyAlignment="1">
      <alignment horizontal="left"/>
    </xf>
    <xf numFmtId="165" fontId="17" fillId="0" borderId="1" xfId="1" applyNumberFormat="1" applyFont="1" applyFill="1" applyBorder="1" applyAlignment="1">
      <alignment vertical="center"/>
    </xf>
    <xf numFmtId="165" fontId="10" fillId="0" borderId="1" xfId="1" applyNumberFormat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left" vertical="center"/>
    </xf>
    <xf numFmtId="3" fontId="51" fillId="0" borderId="0" xfId="1" applyNumberFormat="1" applyFont="1" applyAlignment="1">
      <alignment vertical="center" wrapText="1"/>
    </xf>
    <xf numFmtId="0" fontId="52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5" fontId="53" fillId="0" borderId="1" xfId="1" applyNumberFormat="1" applyFont="1" applyBorder="1" applyAlignment="1">
      <alignment vertical="center"/>
    </xf>
    <xf numFmtId="165" fontId="47" fillId="0" borderId="1" xfId="1" applyNumberFormat="1" applyFont="1" applyFill="1" applyBorder="1" applyAlignment="1">
      <alignment horizontal="right" vertical="center"/>
    </xf>
    <xf numFmtId="3" fontId="18" fillId="5" borderId="0" xfId="1" applyNumberFormat="1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165" fontId="0" fillId="8" borderId="0" xfId="0" applyNumberFormat="1" applyFill="1"/>
    <xf numFmtId="165" fontId="17" fillId="5" borderId="0" xfId="1" applyNumberFormat="1" applyFont="1" applyFill="1" applyBorder="1" applyAlignment="1">
      <alignment vertical="center"/>
    </xf>
    <xf numFmtId="0" fontId="10" fillId="19" borderId="1" xfId="0" applyFont="1" applyFill="1" applyBorder="1" applyAlignment="1">
      <alignment horizontal="center" vertical="center" wrapText="1"/>
    </xf>
    <xf numFmtId="0" fontId="17" fillId="19" borderId="5" xfId="0" applyFont="1" applyFill="1" applyBorder="1" applyAlignment="1">
      <alignment horizontal="left" vertical="center"/>
    </xf>
    <xf numFmtId="0" fontId="23" fillId="19" borderId="1" xfId="0" applyFont="1" applyFill="1" applyBorder="1" applyAlignment="1">
      <alignment horizontal="center" vertical="center"/>
    </xf>
    <xf numFmtId="0" fontId="10" fillId="19" borderId="1" xfId="0" applyFont="1" applyFill="1" applyBorder="1" applyAlignment="1">
      <alignment horizontal="center" vertical="center"/>
    </xf>
    <xf numFmtId="165" fontId="0" fillId="19" borderId="1" xfId="1" applyNumberFormat="1" applyFont="1" applyFill="1" applyBorder="1" applyAlignment="1">
      <alignment horizontal="right" vertical="center"/>
    </xf>
    <xf numFmtId="165" fontId="17" fillId="19" borderId="1" xfId="1" applyNumberFormat="1" applyFont="1" applyFill="1" applyBorder="1" applyAlignment="1">
      <alignment horizontal="right" vertical="center"/>
    </xf>
    <xf numFmtId="165" fontId="17" fillId="19" borderId="1" xfId="1" applyNumberFormat="1" applyFont="1" applyFill="1" applyBorder="1" applyAlignment="1">
      <alignment vertical="center"/>
    </xf>
    <xf numFmtId="0" fontId="0" fillId="19" borderId="8" xfId="0" applyFill="1" applyBorder="1"/>
    <xf numFmtId="165" fontId="17" fillId="19" borderId="8" xfId="1" applyNumberFormat="1" applyFont="1" applyFill="1" applyBorder="1" applyAlignment="1">
      <alignment vertical="center"/>
    </xf>
    <xf numFmtId="165" fontId="0" fillId="19" borderId="8" xfId="0" applyNumberFormat="1" applyFill="1" applyBorder="1"/>
    <xf numFmtId="165" fontId="0" fillId="19" borderId="0" xfId="0" applyNumberFormat="1" applyFill="1"/>
    <xf numFmtId="0" fontId="0" fillId="19" borderId="0" xfId="0" applyFill="1" applyAlignment="1">
      <alignment vertical="center"/>
    </xf>
    <xf numFmtId="0" fontId="10" fillId="19" borderId="8" xfId="0" applyFont="1" applyFill="1" applyBorder="1" applyAlignment="1">
      <alignment vertical="center"/>
    </xf>
    <xf numFmtId="0" fontId="10" fillId="19" borderId="8" xfId="0" applyFont="1" applyFill="1" applyBorder="1" applyAlignment="1">
      <alignment horizontal="center" vertical="center"/>
    </xf>
    <xf numFmtId="0" fontId="23" fillId="19" borderId="0" xfId="0" applyFont="1" applyFill="1" applyAlignment="1">
      <alignment horizontal="center" vertical="center"/>
    </xf>
    <xf numFmtId="0" fontId="0" fillId="19" borderId="0" xfId="0" applyFill="1"/>
    <xf numFmtId="165" fontId="42" fillId="19" borderId="8" xfId="8" applyNumberFormat="1" applyFont="1" applyFill="1" applyBorder="1" applyAlignment="1">
      <alignment horizontal="right" vertical="center"/>
    </xf>
    <xf numFmtId="0" fontId="23" fillId="19" borderId="2" xfId="0" applyFont="1" applyFill="1" applyBorder="1" applyAlignment="1">
      <alignment horizontal="center" vertical="center"/>
    </xf>
    <xf numFmtId="165" fontId="0" fillId="19" borderId="1" xfId="1" applyNumberFormat="1" applyFont="1" applyFill="1" applyBorder="1" applyAlignment="1">
      <alignment vertical="center"/>
    </xf>
    <xf numFmtId="165" fontId="17" fillId="19" borderId="0" xfId="1" applyNumberFormat="1" applyFont="1" applyFill="1" applyBorder="1" applyAlignment="1">
      <alignment vertical="center"/>
    </xf>
    <xf numFmtId="0" fontId="0" fillId="19" borderId="8" xfId="0" applyFill="1" applyBorder="1" applyAlignment="1">
      <alignment vertical="center"/>
    </xf>
    <xf numFmtId="0" fontId="10" fillId="19" borderId="2" xfId="0" applyFont="1" applyFill="1" applyBorder="1" applyAlignment="1">
      <alignment horizontal="center" vertical="center" wrapText="1"/>
    </xf>
    <xf numFmtId="0" fontId="17" fillId="19" borderId="6" xfId="0" applyFont="1" applyFill="1" applyBorder="1" applyAlignment="1">
      <alignment vertical="center" wrapText="1"/>
    </xf>
    <xf numFmtId="165" fontId="0" fillId="0" borderId="1" xfId="1" applyNumberFormat="1" applyFont="1" applyFill="1" applyBorder="1" applyAlignment="1">
      <alignment vertical="center"/>
    </xf>
    <xf numFmtId="165" fontId="0" fillId="0" borderId="1" xfId="1" applyNumberFormat="1" applyFont="1" applyFill="1" applyBorder="1" applyAlignment="1">
      <alignment horizontal="right" vertical="center"/>
    </xf>
    <xf numFmtId="0" fontId="0" fillId="0" borderId="8" xfId="0" applyBorder="1" applyAlignment="1">
      <alignment vertical="center"/>
    </xf>
    <xf numFmtId="165" fontId="18" fillId="19" borderId="1" xfId="1" applyNumberFormat="1" applyFont="1" applyFill="1" applyBorder="1" applyAlignment="1">
      <alignment vertical="center"/>
    </xf>
    <xf numFmtId="165" fontId="18" fillId="19" borderId="0" xfId="1" applyNumberFormat="1" applyFont="1" applyFill="1" applyBorder="1" applyAlignment="1">
      <alignment vertical="center"/>
    </xf>
    <xf numFmtId="0" fontId="3" fillId="19" borderId="0" xfId="0" applyFont="1" applyFill="1" applyAlignment="1">
      <alignment vertical="center"/>
    </xf>
    <xf numFmtId="0" fontId="41" fillId="0" borderId="0" xfId="0" applyFont="1" applyAlignment="1">
      <alignment vertical="center" wrapText="1"/>
    </xf>
    <xf numFmtId="165" fontId="41" fillId="0" borderId="0" xfId="1" applyNumberFormat="1" applyFont="1" applyFill="1" applyBorder="1" applyAlignment="1">
      <alignment horizontal="right" vertical="center"/>
    </xf>
    <xf numFmtId="165" fontId="10" fillId="0" borderId="1" xfId="1" applyNumberFormat="1" applyFont="1" applyBorder="1" applyAlignment="1">
      <alignment horizontal="left" vertical="center"/>
    </xf>
    <xf numFmtId="49" fontId="10" fillId="0" borderId="1" xfId="1" applyNumberFormat="1" applyFont="1" applyBorder="1" applyAlignment="1">
      <alignment horizontal="left" vertical="top" wrapText="1"/>
    </xf>
    <xf numFmtId="165" fontId="12" fillId="0" borderId="1" xfId="1" applyNumberFormat="1" applyFont="1" applyBorder="1" applyAlignment="1">
      <alignment vertical="center" wrapText="1"/>
    </xf>
    <xf numFmtId="165" fontId="12" fillId="0" borderId="1" xfId="1" applyNumberFormat="1" applyFont="1" applyFill="1" applyBorder="1" applyAlignment="1">
      <alignment horizontal="left" vertical="center"/>
    </xf>
    <xf numFmtId="49" fontId="49" fillId="0" borderId="1" xfId="1" applyNumberFormat="1" applyFont="1" applyBorder="1" applyAlignment="1">
      <alignment vertical="center" wrapText="1"/>
    </xf>
    <xf numFmtId="0" fontId="46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 wrapText="1"/>
    </xf>
    <xf numFmtId="0" fontId="18" fillId="0" borderId="14" xfId="0" applyFont="1" applyBorder="1"/>
    <xf numFmtId="3" fontId="18" fillId="0" borderId="14" xfId="0" applyNumberFormat="1" applyFont="1" applyBorder="1"/>
    <xf numFmtId="0" fontId="18" fillId="0" borderId="15" xfId="0" applyFont="1" applyBorder="1"/>
    <xf numFmtId="3" fontId="18" fillId="0" borderId="15" xfId="0" applyNumberFormat="1" applyFont="1" applyBorder="1"/>
    <xf numFmtId="0" fontId="55" fillId="0" borderId="0" xfId="0" applyFont="1"/>
    <xf numFmtId="0" fontId="50" fillId="0" borderId="14" xfId="0" applyFont="1" applyBorder="1"/>
    <xf numFmtId="3" fontId="47" fillId="0" borderId="15" xfId="0" applyNumberFormat="1" applyFont="1" applyBorder="1"/>
    <xf numFmtId="0" fontId="50" fillId="0" borderId="15" xfId="0" applyFont="1" applyBorder="1"/>
    <xf numFmtId="3" fontId="18" fillId="0" borderId="0" xfId="1" applyNumberFormat="1" applyFont="1" applyFill="1" applyAlignment="1">
      <alignment vertical="center" wrapText="1"/>
    </xf>
    <xf numFmtId="165" fontId="18" fillId="0" borderId="1" xfId="1" applyNumberFormat="1" applyFont="1" applyFill="1" applyBorder="1" applyAlignment="1">
      <alignment horizontal="right" vertical="center"/>
    </xf>
    <xf numFmtId="165" fontId="41" fillId="0" borderId="0" xfId="1" applyNumberFormat="1" applyFont="1" applyAlignment="1">
      <alignment horizontal="right" vertical="center"/>
    </xf>
    <xf numFmtId="0" fontId="10" fillId="6" borderId="0" xfId="0" applyFont="1" applyFill="1" applyAlignment="1">
      <alignment vertical="center"/>
    </xf>
    <xf numFmtId="3" fontId="18" fillId="0" borderId="14" xfId="0" applyNumberFormat="1" applyFont="1" applyBorder="1" applyAlignment="1">
      <alignment horizontal="right" vertical="center"/>
    </xf>
    <xf numFmtId="0" fontId="18" fillId="0" borderId="14" xfId="0" applyFont="1" applyBorder="1" applyAlignment="1">
      <alignment horizontal="right" vertical="center"/>
    </xf>
    <xf numFmtId="0" fontId="50" fillId="0" borderId="14" xfId="0" applyFont="1" applyBorder="1" applyAlignment="1">
      <alignment vertical="center"/>
    </xf>
    <xf numFmtId="3" fontId="47" fillId="0" borderId="14" xfId="0" applyNumberFormat="1" applyFont="1" applyBorder="1" applyAlignment="1">
      <alignment horizontal="right" vertical="center"/>
    </xf>
    <xf numFmtId="0" fontId="56" fillId="0" borderId="14" xfId="0" applyFont="1" applyBorder="1" applyAlignment="1">
      <alignment vertical="center" wrapText="1"/>
    </xf>
    <xf numFmtId="3" fontId="18" fillId="5" borderId="14" xfId="0" applyNumberFormat="1" applyFont="1" applyFill="1" applyBorder="1" applyAlignment="1">
      <alignment vertical="center"/>
    </xf>
    <xf numFmtId="0" fontId="18" fillId="20" borderId="14" xfId="0" applyFont="1" applyFill="1" applyBorder="1" applyAlignment="1">
      <alignment vertical="center"/>
    </xf>
    <xf numFmtId="10" fontId="0" fillId="0" borderId="3" xfId="7" applyNumberFormat="1" applyFont="1" applyBorder="1" applyAlignment="1">
      <alignment vertical="center"/>
    </xf>
    <xf numFmtId="165" fontId="49" fillId="3" borderId="1" xfId="1" applyNumberFormat="1" applyFont="1" applyFill="1" applyBorder="1" applyAlignment="1">
      <alignment vertical="center" wrapText="1"/>
    </xf>
    <xf numFmtId="0" fontId="46" fillId="8" borderId="1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0" fontId="10" fillId="8" borderId="1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3" fontId="47" fillId="5" borderId="0" xfId="1" applyNumberFormat="1" applyFont="1" applyFill="1" applyAlignment="1">
      <alignment vertical="center" wrapText="1"/>
    </xf>
    <xf numFmtId="3" fontId="47" fillId="8" borderId="0" xfId="1" applyNumberFormat="1" applyFont="1" applyFill="1" applyAlignment="1">
      <alignment vertical="center" wrapText="1"/>
    </xf>
    <xf numFmtId="165" fontId="47" fillId="8" borderId="1" xfId="1" applyNumberFormat="1" applyFont="1" applyFill="1" applyBorder="1" applyAlignment="1">
      <alignment horizontal="right" vertical="center"/>
    </xf>
    <xf numFmtId="3" fontId="18" fillId="8" borderId="0" xfId="1" applyNumberFormat="1" applyFont="1" applyFill="1" applyAlignment="1">
      <alignment vertical="center" wrapText="1"/>
    </xf>
    <xf numFmtId="0" fontId="17" fillId="8" borderId="1" xfId="0" applyFont="1" applyFill="1" applyBorder="1" applyAlignment="1">
      <alignment vertical="center" wrapText="1"/>
    </xf>
    <xf numFmtId="0" fontId="18" fillId="0" borderId="14" xfId="0" applyFont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3" fontId="18" fillId="0" borderId="12" xfId="4" applyNumberFormat="1" applyFont="1" applyFill="1" applyBorder="1" applyAlignment="1">
      <alignment vertical="center" wrapText="1"/>
    </xf>
    <xf numFmtId="0" fontId="0" fillId="5" borderId="0" xfId="0" applyFill="1"/>
    <xf numFmtId="0" fontId="10" fillId="12" borderId="1" xfId="0" applyFont="1" applyFill="1" applyBorder="1" applyAlignment="1">
      <alignment horizontal="center" vertical="center"/>
    </xf>
    <xf numFmtId="0" fontId="23" fillId="12" borderId="1" xfId="0" applyFont="1" applyFill="1" applyBorder="1" applyAlignment="1">
      <alignment horizontal="center" vertical="center"/>
    </xf>
    <xf numFmtId="0" fontId="23" fillId="12" borderId="2" xfId="0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3" fillId="12" borderId="0" xfId="0" applyFont="1" applyFill="1" applyAlignment="1">
      <alignment horizontal="center" vertical="center"/>
    </xf>
    <xf numFmtId="0" fontId="10" fillId="12" borderId="1" xfId="0" applyFont="1" applyFill="1" applyBorder="1" applyAlignment="1">
      <alignment horizontal="center" vertical="center" wrapText="1"/>
    </xf>
    <xf numFmtId="0" fontId="36" fillId="12" borderId="0" xfId="0" applyFont="1" applyFill="1" applyAlignment="1">
      <alignment vertical="center"/>
    </xf>
    <xf numFmtId="0" fontId="0" fillId="21" borderId="0" xfId="0" applyFill="1" applyAlignment="1">
      <alignment horizontal="left" vertical="top" wrapText="1"/>
    </xf>
    <xf numFmtId="0" fontId="10" fillId="21" borderId="1" xfId="0" applyFont="1" applyFill="1" applyBorder="1" applyAlignment="1">
      <alignment horizontal="center" vertical="center"/>
    </xf>
    <xf numFmtId="0" fontId="23" fillId="21" borderId="2" xfId="0" applyFont="1" applyFill="1" applyBorder="1" applyAlignment="1">
      <alignment horizontal="center" vertical="center"/>
    </xf>
    <xf numFmtId="0" fontId="10" fillId="22" borderId="1" xfId="0" applyFont="1" applyFill="1" applyBorder="1" applyAlignment="1">
      <alignment horizontal="center" vertical="center"/>
    </xf>
    <xf numFmtId="0" fontId="23" fillId="22" borderId="2" xfId="0" applyFont="1" applyFill="1" applyBorder="1" applyAlignment="1">
      <alignment horizontal="center" vertical="center"/>
    </xf>
    <xf numFmtId="0" fontId="10" fillId="21" borderId="0" xfId="0" applyFont="1" applyFill="1" applyAlignment="1">
      <alignment horizontal="center" vertical="center"/>
    </xf>
    <xf numFmtId="165" fontId="23" fillId="0" borderId="0" xfId="1" applyNumberFormat="1" applyFont="1" applyBorder="1" applyAlignment="1">
      <alignment vertical="center"/>
    </xf>
    <xf numFmtId="0" fontId="46" fillId="5" borderId="1" xfId="0" applyFont="1" applyFill="1" applyBorder="1" applyAlignment="1">
      <alignment horizontal="center" vertical="center"/>
    </xf>
    <xf numFmtId="0" fontId="23" fillId="21" borderId="1" xfId="0" applyFont="1" applyFill="1" applyBorder="1" applyAlignment="1">
      <alignment horizontal="center" vertical="center"/>
    </xf>
    <xf numFmtId="3" fontId="18" fillId="12" borderId="0" xfId="1" applyNumberFormat="1" applyFont="1" applyFill="1" applyAlignment="1">
      <alignment vertical="center" wrapText="1"/>
    </xf>
    <xf numFmtId="0" fontId="57" fillId="0" borderId="0" xfId="0" applyFont="1" applyAlignment="1">
      <alignment horizontal="center" vertical="center"/>
    </xf>
    <xf numFmtId="3" fontId="18" fillId="0" borderId="5" xfId="1" applyNumberFormat="1" applyFont="1" applyFill="1" applyBorder="1" applyAlignment="1">
      <alignment vertical="center" wrapText="1"/>
    </xf>
    <xf numFmtId="3" fontId="47" fillId="0" borderId="0" xfId="1" applyNumberFormat="1" applyFont="1" applyFill="1" applyAlignment="1">
      <alignment vertical="center" wrapText="1"/>
    </xf>
    <xf numFmtId="3" fontId="18" fillId="0" borderId="14" xfId="0" applyNumberFormat="1" applyFont="1" applyBorder="1" applyAlignment="1">
      <alignment vertical="center"/>
    </xf>
    <xf numFmtId="3" fontId="18" fillId="12" borderId="5" xfId="1" applyNumberFormat="1" applyFont="1" applyFill="1" applyBorder="1" applyAlignment="1">
      <alignment vertical="center" wrapText="1"/>
    </xf>
    <xf numFmtId="165" fontId="18" fillId="12" borderId="1" xfId="1" applyNumberFormat="1" applyFont="1" applyFill="1" applyBorder="1" applyAlignment="1">
      <alignment horizontal="right" vertical="center"/>
    </xf>
    <xf numFmtId="165" fontId="18" fillId="12" borderId="0" xfId="1" applyNumberFormat="1" applyFont="1" applyFill="1" applyAlignment="1">
      <alignment horizontal="right" vertical="center"/>
    </xf>
    <xf numFmtId="3" fontId="18" fillId="21" borderId="0" xfId="1" applyNumberFormat="1" applyFont="1" applyFill="1" applyAlignment="1">
      <alignment vertical="center" wrapText="1"/>
    </xf>
    <xf numFmtId="165" fontId="18" fillId="21" borderId="1" xfId="1" applyNumberFormat="1" applyFont="1" applyFill="1" applyBorder="1" applyAlignment="1">
      <alignment horizontal="right" vertical="center"/>
    </xf>
    <xf numFmtId="165" fontId="47" fillId="5" borderId="1" xfId="1" applyNumberFormat="1" applyFont="1" applyFill="1" applyBorder="1" applyAlignment="1">
      <alignment horizontal="right" vertical="center"/>
    </xf>
    <xf numFmtId="3" fontId="47" fillId="12" borderId="0" xfId="1" applyNumberFormat="1" applyFont="1" applyFill="1" applyAlignment="1">
      <alignment vertical="center" wrapText="1"/>
    </xf>
    <xf numFmtId="165" fontId="17" fillId="12" borderId="0" xfId="1" applyNumberFormat="1" applyFont="1" applyFill="1" applyAlignment="1">
      <alignment vertical="center"/>
    </xf>
    <xf numFmtId="0" fontId="18" fillId="22" borderId="7" xfId="0" applyFont="1" applyFill="1" applyBorder="1" applyAlignment="1">
      <alignment vertical="center" wrapText="1"/>
    </xf>
    <xf numFmtId="165" fontId="18" fillId="22" borderId="1" xfId="1" applyNumberFormat="1" applyFont="1" applyFill="1" applyBorder="1" applyAlignment="1">
      <alignment horizontal="right" vertical="center"/>
    </xf>
    <xf numFmtId="165" fontId="17" fillId="21" borderId="1" xfId="1" applyNumberFormat="1" applyFont="1" applyFill="1" applyBorder="1" applyAlignment="1">
      <alignment vertical="center"/>
    </xf>
    <xf numFmtId="165" fontId="18" fillId="12" borderId="1" xfId="1" applyNumberFormat="1" applyFont="1" applyFill="1" applyBorder="1" applyAlignment="1">
      <alignment vertical="center"/>
    </xf>
    <xf numFmtId="165" fontId="17" fillId="5" borderId="0" xfId="1" applyNumberFormat="1" applyFont="1" applyFill="1" applyAlignment="1">
      <alignment vertical="center"/>
    </xf>
    <xf numFmtId="165" fontId="18" fillId="12" borderId="0" xfId="1" applyNumberFormat="1" applyFont="1" applyFill="1" applyBorder="1" applyAlignment="1">
      <alignment horizontal="right" vertical="center"/>
    </xf>
    <xf numFmtId="165" fontId="17" fillId="12" borderId="0" xfId="1" applyNumberFormat="1" applyFont="1" applyFill="1" applyBorder="1" applyAlignment="1">
      <alignment vertical="center"/>
    </xf>
    <xf numFmtId="165" fontId="49" fillId="0" borderId="0" xfId="1" applyNumberFormat="1" applyFont="1" applyBorder="1" applyAlignment="1">
      <alignment vertical="center" wrapText="1"/>
    </xf>
    <xf numFmtId="3" fontId="18" fillId="5" borderId="14" xfId="0" applyNumberFormat="1" applyFont="1" applyFill="1" applyBorder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169" fontId="0" fillId="0" borderId="0" xfId="1" applyNumberFormat="1" applyFont="1" applyFill="1" applyAlignment="1">
      <alignment horizontal="right"/>
    </xf>
    <xf numFmtId="3" fontId="47" fillId="5" borderId="14" xfId="0" applyNumberFormat="1" applyFont="1" applyFill="1" applyBorder="1" applyAlignment="1">
      <alignment horizontal="right" vertical="center"/>
    </xf>
    <xf numFmtId="0" fontId="30" fillId="0" borderId="0" xfId="0" applyFont="1" applyAlignment="1">
      <alignment vertical="center"/>
    </xf>
    <xf numFmtId="165" fontId="6" fillId="0" borderId="0" xfId="1" applyNumberFormat="1" applyFont="1" applyFill="1" applyAlignment="1">
      <alignment vertical="center"/>
    </xf>
    <xf numFmtId="0" fontId="30" fillId="0" borderId="1" xfId="0" applyFont="1" applyBorder="1" applyAlignment="1">
      <alignment vertical="center"/>
    </xf>
    <xf numFmtId="165" fontId="29" fillId="0" borderId="1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165" fontId="18" fillId="0" borderId="0" xfId="1" applyNumberFormat="1" applyFont="1" applyFill="1" applyBorder="1" applyAlignment="1">
      <alignment vertical="center"/>
    </xf>
    <xf numFmtId="0" fontId="18" fillId="5" borderId="0" xfId="0" applyFont="1" applyFill="1" applyAlignment="1">
      <alignment vertical="center" wrapText="1"/>
    </xf>
    <xf numFmtId="165" fontId="7" fillId="0" borderId="3" xfId="1" applyNumberFormat="1" applyFont="1" applyFill="1" applyBorder="1" applyAlignment="1">
      <alignment vertical="center"/>
    </xf>
    <xf numFmtId="3" fontId="18" fillId="23" borderId="0" xfId="1" applyNumberFormat="1" applyFont="1" applyFill="1" applyAlignment="1">
      <alignment vertical="center" wrapText="1"/>
    </xf>
    <xf numFmtId="0" fontId="23" fillId="24" borderId="1" xfId="0" applyFont="1" applyFill="1" applyBorder="1" applyAlignment="1">
      <alignment horizontal="center" vertical="center"/>
    </xf>
    <xf numFmtId="3" fontId="18" fillId="24" borderId="0" xfId="1" applyNumberFormat="1" applyFont="1" applyFill="1" applyAlignment="1">
      <alignment vertical="center" wrapText="1"/>
    </xf>
    <xf numFmtId="0" fontId="10" fillId="24" borderId="1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0" fillId="24" borderId="0" xfId="0" applyFill="1" applyAlignment="1">
      <alignment vertical="center"/>
    </xf>
    <xf numFmtId="0" fontId="23" fillId="24" borderId="2" xfId="0" applyFont="1" applyFill="1" applyBorder="1" applyAlignment="1">
      <alignment horizontal="center" vertical="center"/>
    </xf>
    <xf numFmtId="165" fontId="17" fillId="24" borderId="0" xfId="1" applyNumberFormat="1" applyFont="1" applyFill="1" applyBorder="1" applyAlignment="1">
      <alignment vertical="center"/>
    </xf>
    <xf numFmtId="165" fontId="17" fillId="24" borderId="0" xfId="1" applyNumberFormat="1" applyFont="1" applyFill="1" applyAlignment="1">
      <alignment vertical="center"/>
    </xf>
    <xf numFmtId="165" fontId="18" fillId="25" borderId="1" xfId="1" applyNumberFormat="1" applyFont="1" applyFill="1" applyBorder="1" applyAlignment="1">
      <alignment horizontal="right" vertical="center"/>
    </xf>
    <xf numFmtId="0" fontId="10" fillId="24" borderId="0" xfId="0" applyFont="1" applyFill="1" applyAlignment="1">
      <alignment horizontal="center" vertical="center"/>
    </xf>
    <xf numFmtId="3" fontId="18" fillId="17" borderId="5" xfId="1" applyNumberFormat="1" applyFont="1" applyFill="1" applyBorder="1" applyAlignment="1">
      <alignment vertical="center" wrapText="1"/>
    </xf>
    <xf numFmtId="0" fontId="23" fillId="17" borderId="1" xfId="0" applyFont="1" applyFill="1" applyBorder="1" applyAlignment="1">
      <alignment horizontal="center" vertical="center"/>
    </xf>
    <xf numFmtId="0" fontId="58" fillId="0" borderId="0" xfId="0" applyFont="1" applyAlignment="1">
      <alignment vertical="center"/>
    </xf>
    <xf numFmtId="3" fontId="18" fillId="26" borderId="0" xfId="1" applyNumberFormat="1" applyFont="1" applyFill="1" applyAlignment="1">
      <alignment vertical="center" wrapText="1"/>
    </xf>
    <xf numFmtId="3" fontId="47" fillId="19" borderId="0" xfId="1" applyNumberFormat="1" applyFont="1" applyFill="1" applyAlignment="1">
      <alignment vertical="center" wrapText="1"/>
    </xf>
    <xf numFmtId="0" fontId="0" fillId="5" borderId="0" xfId="0" applyFill="1" applyAlignment="1">
      <alignment horizontal="left" vertical="center"/>
    </xf>
    <xf numFmtId="3" fontId="18" fillId="19" borderId="0" xfId="1" applyNumberFormat="1" applyFont="1" applyFill="1" applyAlignment="1">
      <alignment vertical="center" wrapText="1"/>
    </xf>
    <xf numFmtId="0" fontId="0" fillId="27" borderId="0" xfId="0" applyFill="1" applyAlignment="1">
      <alignment vertical="center"/>
    </xf>
    <xf numFmtId="0" fontId="0" fillId="28" borderId="0" xfId="0" applyFill="1" applyAlignment="1">
      <alignment vertical="center"/>
    </xf>
    <xf numFmtId="3" fontId="18" fillId="29" borderId="5" xfId="1" applyNumberFormat="1" applyFont="1" applyFill="1" applyBorder="1" applyAlignment="1">
      <alignment vertical="center" wrapText="1"/>
    </xf>
    <xf numFmtId="0" fontId="23" fillId="29" borderId="1" xfId="0" applyFont="1" applyFill="1" applyBorder="1" applyAlignment="1">
      <alignment horizontal="center" vertical="center"/>
    </xf>
    <xf numFmtId="165" fontId="18" fillId="29" borderId="1" xfId="1" applyNumberFormat="1" applyFont="1" applyFill="1" applyBorder="1" applyAlignment="1">
      <alignment horizontal="right" vertical="center"/>
    </xf>
    <xf numFmtId="0" fontId="10" fillId="29" borderId="1" xfId="0" applyFont="1" applyFill="1" applyBorder="1" applyAlignment="1">
      <alignment horizontal="center" vertical="center" wrapText="1"/>
    </xf>
    <xf numFmtId="0" fontId="0" fillId="29" borderId="0" xfId="0" applyFill="1" applyAlignment="1">
      <alignment vertical="center"/>
    </xf>
    <xf numFmtId="165" fontId="18" fillId="10" borderId="1" xfId="1" applyNumberFormat="1" applyFont="1" applyFill="1" applyBorder="1" applyAlignment="1">
      <alignment horizontal="right" vertical="center"/>
    </xf>
    <xf numFmtId="3" fontId="18" fillId="30" borderId="5" xfId="1" applyNumberFormat="1" applyFont="1" applyFill="1" applyBorder="1" applyAlignment="1">
      <alignment vertical="center" wrapText="1"/>
    </xf>
    <xf numFmtId="0" fontId="23" fillId="30" borderId="1" xfId="0" applyFont="1" applyFill="1" applyBorder="1" applyAlignment="1">
      <alignment horizontal="center" vertical="center"/>
    </xf>
    <xf numFmtId="165" fontId="18" fillId="30" borderId="1" xfId="1" applyNumberFormat="1" applyFont="1" applyFill="1" applyBorder="1" applyAlignment="1">
      <alignment horizontal="right" vertical="center"/>
    </xf>
    <xf numFmtId="0" fontId="10" fillId="30" borderId="1" xfId="0" applyFont="1" applyFill="1" applyBorder="1" applyAlignment="1">
      <alignment horizontal="center" vertical="center"/>
    </xf>
    <xf numFmtId="0" fontId="23" fillId="30" borderId="2" xfId="0" applyFont="1" applyFill="1" applyBorder="1" applyAlignment="1">
      <alignment horizontal="center" vertical="center"/>
    </xf>
    <xf numFmtId="0" fontId="18" fillId="30" borderId="0" xfId="0" applyFont="1" applyFill="1" applyAlignment="1">
      <alignment vertical="center" wrapText="1"/>
    </xf>
    <xf numFmtId="0" fontId="17" fillId="30" borderId="0" xfId="0" applyFont="1" applyFill="1" applyAlignment="1">
      <alignment vertical="center" wrapText="1"/>
    </xf>
    <xf numFmtId="0" fontId="23" fillId="30" borderId="0" xfId="0" applyFont="1" applyFill="1" applyAlignment="1">
      <alignment horizontal="center" vertical="center"/>
    </xf>
    <xf numFmtId="165" fontId="17" fillId="30" borderId="0" xfId="1" applyNumberFormat="1" applyFont="1" applyFill="1" applyBorder="1" applyAlignment="1">
      <alignment vertical="center"/>
    </xf>
    <xf numFmtId="3" fontId="18" fillId="30" borderId="0" xfId="1" applyNumberFormat="1" applyFont="1" applyFill="1" applyAlignment="1">
      <alignment vertical="center" wrapText="1"/>
    </xf>
    <xf numFmtId="0" fontId="0" fillId="30" borderId="0" xfId="0" applyFill="1" applyAlignment="1">
      <alignment horizontal="left" vertical="top" wrapText="1"/>
    </xf>
    <xf numFmtId="3" fontId="18" fillId="0" borderId="0" xfId="4" applyNumberFormat="1" applyFont="1" applyFill="1" applyBorder="1" applyAlignment="1">
      <alignment vertical="center" wrapText="1"/>
    </xf>
    <xf numFmtId="165" fontId="41" fillId="0" borderId="1" xfId="1" applyNumberFormat="1" applyFont="1" applyBorder="1" applyAlignment="1">
      <alignment vertical="center"/>
    </xf>
    <xf numFmtId="165" fontId="41" fillId="0" borderId="1" xfId="1" applyNumberFormat="1" applyFont="1" applyFill="1" applyBorder="1" applyAlignment="1">
      <alignment vertical="center"/>
    </xf>
    <xf numFmtId="165" fontId="17" fillId="21" borderId="0" xfId="1" applyNumberFormat="1" applyFont="1" applyFill="1" applyAlignment="1">
      <alignment vertical="center"/>
    </xf>
    <xf numFmtId="165" fontId="18" fillId="3" borderId="1" xfId="1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165" fontId="17" fillId="30" borderId="0" xfId="1" applyNumberFormat="1" applyFont="1" applyFill="1" applyAlignment="1">
      <alignment vertical="center"/>
    </xf>
    <xf numFmtId="0" fontId="3" fillId="0" borderId="0" xfId="0" quotePrefix="1" applyFont="1" applyAlignment="1">
      <alignment vertical="center"/>
    </xf>
    <xf numFmtId="165" fontId="47" fillId="0" borderId="1" xfId="1" applyNumberFormat="1" applyFont="1" applyBorder="1" applyAlignment="1">
      <alignment vertical="center"/>
    </xf>
    <xf numFmtId="165" fontId="47" fillId="0" borderId="1" xfId="1" applyNumberFormat="1" applyFont="1" applyFill="1" applyBorder="1" applyAlignment="1">
      <alignment vertical="center"/>
    </xf>
    <xf numFmtId="3" fontId="41" fillId="0" borderId="0" xfId="4" applyNumberFormat="1" applyFont="1" applyFill="1" applyBorder="1" applyAlignment="1">
      <alignment vertical="center" wrapText="1"/>
    </xf>
    <xf numFmtId="165" fontId="47" fillId="5" borderId="1" xfId="1" applyNumberFormat="1" applyFont="1" applyFill="1" applyBorder="1" applyAlignment="1">
      <alignment vertical="center"/>
    </xf>
    <xf numFmtId="0" fontId="59" fillId="0" borderId="0" xfId="0" applyFont="1"/>
    <xf numFmtId="3" fontId="0" fillId="0" borderId="0" xfId="0" applyNumberFormat="1" applyAlignment="1">
      <alignment vertical="center" wrapText="1"/>
    </xf>
    <xf numFmtId="10" fontId="0" fillId="0" borderId="0" xfId="0" applyNumberFormat="1" applyAlignment="1">
      <alignment vertical="center" wrapText="1"/>
    </xf>
    <xf numFmtId="3" fontId="0" fillId="5" borderId="0" xfId="0" applyNumberFormat="1" applyFill="1" applyAlignment="1">
      <alignment vertical="center" wrapText="1"/>
    </xf>
    <xf numFmtId="2" fontId="0" fillId="0" borderId="0" xfId="0" applyNumberFormat="1" applyAlignment="1">
      <alignment vertical="center"/>
    </xf>
    <xf numFmtId="170" fontId="0" fillId="0" borderId="0" xfId="7" applyNumberFormat="1" applyFont="1" applyAlignment="1">
      <alignment vertical="center"/>
    </xf>
    <xf numFmtId="0" fontId="58" fillId="5" borderId="0" xfId="0" applyFont="1" applyFill="1" applyAlignment="1">
      <alignment vertical="center"/>
    </xf>
    <xf numFmtId="0" fontId="17" fillId="0" borderId="0" xfId="0" applyFont="1" applyAlignment="1">
      <alignment wrapText="1"/>
    </xf>
    <xf numFmtId="165" fontId="58" fillId="0" borderId="0" xfId="1" applyNumberFormat="1" applyFont="1" applyFill="1" applyAlignment="1">
      <alignment vertical="center"/>
    </xf>
    <xf numFmtId="165" fontId="29" fillId="0" borderId="1" xfId="1" applyNumberFormat="1" applyFont="1" applyBorder="1" applyAlignment="1">
      <alignment vertical="center"/>
    </xf>
    <xf numFmtId="169" fontId="0" fillId="0" borderId="0" xfId="1" applyNumberFormat="1" applyFont="1" applyAlignment="1">
      <alignment horizontal="right"/>
    </xf>
    <xf numFmtId="3" fontId="18" fillId="0" borderId="0" xfId="4" applyNumberFormat="1" applyFont="1" applyAlignment="1">
      <alignment vertical="center" wrapText="1"/>
    </xf>
    <xf numFmtId="165" fontId="18" fillId="5" borderId="0" xfId="1" applyNumberFormat="1" applyFont="1" applyFill="1" applyBorder="1" applyAlignment="1">
      <alignment vertical="center"/>
    </xf>
    <xf numFmtId="0" fontId="61" fillId="32" borderId="16" xfId="11" applyFont="1" applyFill="1" applyBorder="1" applyAlignment="1">
      <alignment horizontal="center" vertical="center"/>
    </xf>
    <xf numFmtId="165" fontId="61" fillId="32" borderId="17" xfId="11" applyNumberFormat="1" applyFont="1" applyFill="1" applyBorder="1"/>
    <xf numFmtId="165" fontId="47" fillId="17" borderId="1" xfId="1" applyNumberFormat="1" applyFont="1" applyFill="1" applyBorder="1" applyAlignment="1">
      <alignment vertical="center"/>
    </xf>
    <xf numFmtId="169" fontId="0" fillId="0" borderId="0" xfId="0" applyNumberFormat="1" applyAlignment="1">
      <alignment vertical="center"/>
    </xf>
    <xf numFmtId="165" fontId="18" fillId="0" borderId="0" xfId="1" applyNumberFormat="1" applyFont="1" applyFill="1" applyAlignment="1">
      <alignment horizontal="right" vertical="center"/>
    </xf>
    <xf numFmtId="165" fontId="18" fillId="0" borderId="0" xfId="1" applyNumberFormat="1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18" fillId="0" borderId="14" xfId="0" applyNumberFormat="1" applyFont="1" applyFill="1" applyBorder="1" applyAlignment="1">
      <alignment horizontal="right" vertical="center"/>
    </xf>
    <xf numFmtId="3" fontId="18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wrapText="1"/>
    </xf>
    <xf numFmtId="0" fontId="18" fillId="0" borderId="0" xfId="0" applyFont="1" applyFill="1" applyAlignment="1">
      <alignment vertical="center" wrapText="1"/>
    </xf>
    <xf numFmtId="3" fontId="18" fillId="0" borderId="0" xfId="4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65" fontId="17" fillId="0" borderId="3" xfId="1" applyNumberFormat="1" applyFont="1" applyFill="1" applyBorder="1" applyAlignment="1">
      <alignment vertical="center"/>
    </xf>
    <xf numFmtId="165" fontId="18" fillId="0" borderId="3" xfId="1" applyNumberFormat="1" applyFont="1" applyFill="1" applyBorder="1" applyAlignment="1">
      <alignment vertical="center"/>
    </xf>
    <xf numFmtId="0" fontId="61" fillId="32" borderId="16" xfId="11" applyFont="1" applyFill="1" applyBorder="1" applyAlignment="1">
      <alignment horizontal="right" vertical="center"/>
    </xf>
  </cellXfs>
  <cellStyles count="12">
    <cellStyle name="Komma" xfId="1" builtinId="3"/>
    <cellStyle name="Komma 2" xfId="8" xr:uid="{00000000-0005-0000-0000-000001000000}"/>
    <cellStyle name="Komma 2 2" xfId="10" xr:uid="{B4E66F90-2F46-4539-B0D3-A60FEB9346C3}"/>
    <cellStyle name="Normal" xfId="0" builtinId="0"/>
    <cellStyle name="Normal 2" xfId="3" xr:uid="{00000000-0005-0000-0000-000003000000}"/>
    <cellStyle name="Normal 2 2" xfId="9" xr:uid="{00000000-0005-0000-0000-000004000000}"/>
    <cellStyle name="Normal 3" xfId="2" xr:uid="{00000000-0005-0000-0000-000005000000}"/>
    <cellStyle name="Normal 4" xfId="5" xr:uid="{00000000-0005-0000-0000-000006000000}"/>
    <cellStyle name="Prosent" xfId="7" builtinId="5"/>
    <cellStyle name="Tusenskille 2" xfId="4" xr:uid="{00000000-0005-0000-0000-000008000000}"/>
    <cellStyle name="Tusenskille 3" xfId="6" xr:uid="{00000000-0005-0000-0000-000009000000}"/>
    <cellStyle name="Uthevingsfarge1" xfId="11" builtinId="29"/>
  </cellStyles>
  <dxfs count="24"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DABE7"/>
      <color rgb="FFFFFF99"/>
      <color rgb="FF0062AB"/>
      <color rgb="FF0061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ndneskommune.sharepoint.com/Budsjett%20og%20analyse/Guri/&#216;konomiplan%202018-2021/Driftskostnader%20for%20nye%20bygg%20-%20tiltaksliste%202018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ncbak\Desktop\Kopi%20av%20Driftskostnader%20for%20nye%20bygg%20-%20tiltaksliste%202018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jeldende"/>
      <sheetName val="Ark2"/>
      <sheetName val="Div"/>
    </sheetNames>
    <sheetDataSet>
      <sheetData sheetId="0"/>
      <sheetData sheetId="1"/>
      <sheetData sheetId="2">
        <row r="3">
          <cell r="D3" t="str">
            <v>INTERNHUSLEIE</v>
          </cell>
        </row>
        <row r="4">
          <cell r="D4" t="str">
            <v>RENHOLD</v>
          </cell>
        </row>
        <row r="5">
          <cell r="D5" t="str">
            <v>ENERGI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nhusleie"/>
      <sheetName val="Ark2"/>
      <sheetName val="Div"/>
    </sheetNames>
    <sheetDataSet>
      <sheetData sheetId="0"/>
      <sheetData sheetId="1"/>
      <sheetData sheetId="2">
        <row r="3">
          <cell r="D3" t="str">
            <v>INTERNHUSLEIE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Oseland, Sigmund" id="{6974AB4B-BEA8-4D65-8975-140509D2B9EF}" userId="S::sigmund.oseland@sandnes.kommune.no::958c31c7-61fa-4e8d-b7ef-8cb97892c98f" providerId="AD"/>
  <person displayName="Askeland, Mathilde" id="{EB277BCA-C6F2-43D8-AAA3-CF207A7DF76C}" userId="S::mathilde.askeland@sandnes.kommune.no::bc24f3bb-4252-4ddc-bd29-4e7cd689631c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11" dT="2022-07-08T13:19:32.27" personId="{6974AB4B-BEA8-4D65-8975-140509D2B9EF}" id="{24C2CC10-CD2A-4A6A-961A-890D1CC536D0}">
    <text>Legges inn som 8 og flytter de påfølgende?</text>
  </threadedComment>
  <threadedComment ref="F211" dT="2022-07-08T13:22:51.02" personId="{6974AB4B-BEA8-4D65-8975-140509D2B9EF}" id="{9337A08D-1ECB-4DDE-B19A-9E934CFB5951}">
    <text>Legge over 2 år?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201" dT="2022-07-08T13:19:32.27" personId="{6974AB4B-BEA8-4D65-8975-140509D2B9EF}" id="{1FD5894E-2625-4151-BCCD-99E95F3F9C98}">
    <text>Legges inn som 8 og flytter de påfølgende?</text>
  </threadedComment>
  <threadedComment ref="F201" dT="2022-07-08T13:22:51.02" personId="{6974AB4B-BEA8-4D65-8975-140509D2B9EF}" id="{3AE10BC0-A5AF-4D0B-8C13-3D9B32F6969E}">
    <text>Legge over 2 år?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F248" dT="2021-06-09T12:21:07.77" personId="{EB277BCA-C6F2-43D8-AAA3-CF207A7DF76C}" id="{415FB03B-0B31-4CFC-935E-D782934D5ED4}">
    <text>Redusert med 7591 for å få budsjett til å samsvare med Eiendoms budsjett for total internhusleie - avvik stammer fra 2021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F329" dT="2021-06-09T12:21:07.77" personId="{EB277BCA-C6F2-43D8-AAA3-CF207A7DF76C}" id="{325C9A48-C7D7-4D66-92EC-9409E87DC0A9}">
    <text>Redusert med 7591 for å få budsjett til å samsvare med Eiendoms budsjett for total internhusleie - avvik stammer fra 2021</text>
  </threadedComment>
  <threadedComment ref="F329" dT="2021-09-02T10:58:34.02" personId="{EB277BCA-C6F2-43D8-AAA3-CF207A7DF76C}" id="{8C5D3744-1E8D-474F-A956-A82CA573E88F}" parentId="{325C9A48-C7D7-4D66-92EC-9409E87DC0A9}">
    <text>Alle helårsvirkninger + reduksjon pga gamle bygg, Hentet fra internhusleie oppsummert2022 rad 128-129</text>
  </threadedComment>
  <threadedComment ref="F333" dT="2021-06-09T12:18:52.68" personId="{EB277BCA-C6F2-43D8-AAA3-CF207A7DF76C}" id="{9F6D2EC8-0F05-4709-911F-1ADA9B64BF1A}">
    <text>Redusert med 2600 som gjelder reduksjon rentekostnad "eldre bygg" - rentekostnader som reduseres på grunn av mindre restgjeld sammenlignet med fjoråret</text>
  </threadedComment>
  <threadedComment ref="F334" dT="2021-06-09T12:18:56.45" personId="{EB277BCA-C6F2-43D8-AAA3-CF207A7DF76C}" id="{928B281F-DEB7-4D6B-9251-50132AC6DE76}">
    <text>Redusert med 2600 som gjelder reduksjon rentekostnad "eldre bygg" - rentekostnader som reduseres på grunn av mindre restgjeld sammenlignet med fjoråret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F343" dT="2021-06-09T12:21:07.77" personId="{EB277BCA-C6F2-43D8-AAA3-CF207A7DF76C}" id="{6CC89C8C-5D26-4954-B83E-804F713E4780}">
    <text>Redusert med 7591 for å få budsjett til å samsvare med Eiendoms budsjett for total internhusleie - avvik stammer fra 2021</text>
  </threadedComment>
  <threadedComment ref="F343" dT="2021-06-21T10:07:44.13" personId="{EB277BCA-C6F2-43D8-AAA3-CF207A7DF76C}" id="{F0A81204-1A9B-40D5-ADE7-3D53C9768E66}" parentId="{6CC89C8C-5D26-4954-B83E-804F713E4780}">
    <text>Reduserer internhusleien med 2600 ref F42 og F43; reduksjon i rentekostnad</text>
  </threadedComment>
  <threadedComment ref="F347" dT="2021-06-09T12:18:52.68" personId="{EB277BCA-C6F2-43D8-AAA3-CF207A7DF76C}" id="{69371F34-0864-47CD-8E16-0E11306110A9}">
    <text>Redusert med 2600 som gjelder reduksjon rentekostnad "eldre bygg" - rentekostnader som reduseres på grunn av mindre restgjeld sammenlignet med fjoråret</text>
  </threadedComment>
  <threadedComment ref="F348" dT="2021-06-09T12:18:56.45" personId="{EB277BCA-C6F2-43D8-AAA3-CF207A7DF76C}" id="{FF298CB5-A7CF-452D-BD78-B361BB91B5DE}">
    <text>Redusert med 2600 som gjelder reduksjon rentekostnad "eldre bygg" - rentekostnader som reduseres på grunn av mindre restgjeld sammenlignet med fjoråret</text>
  </threadedComment>
</ThreadedComment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5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D5560-6936-440E-9D5C-B525DF6F1362}">
  <dimension ref="A1:O270"/>
  <sheetViews>
    <sheetView tabSelected="1" workbookViewId="0">
      <selection activeCell="K13" sqref="K13"/>
    </sheetView>
  </sheetViews>
  <sheetFormatPr baseColWidth="10" defaultColWidth="11.42578125" defaultRowHeight="15" x14ac:dyDescent="0.25"/>
  <cols>
    <col min="1" max="1" width="7.28515625" style="563" customWidth="1"/>
    <col min="2" max="2" width="48.7109375" customWidth="1"/>
    <col min="4" max="6" width="12.140625" bestFit="1" customWidth="1"/>
  </cols>
  <sheetData>
    <row r="1" spans="1:9" s="28" customFormat="1" ht="23.25" x14ac:dyDescent="0.25">
      <c r="A1" s="294" t="s">
        <v>0</v>
      </c>
      <c r="B1" s="296"/>
      <c r="C1" s="294"/>
      <c r="D1" s="294"/>
      <c r="E1" s="294"/>
      <c r="F1" s="294"/>
    </row>
    <row r="2" spans="1:9" s="38" customFormat="1" x14ac:dyDescent="0.25">
      <c r="A2" s="637"/>
      <c r="B2" s="298"/>
      <c r="C2" s="300">
        <v>2020</v>
      </c>
      <c r="D2" s="300">
        <v>46210</v>
      </c>
      <c r="E2" s="300">
        <v>2022</v>
      </c>
      <c r="F2" s="300"/>
    </row>
    <row r="3" spans="1:9" s="38" customFormat="1" x14ac:dyDescent="0.25">
      <c r="A3" s="4" t="s">
        <v>16</v>
      </c>
      <c r="B3" s="3" t="s">
        <v>17</v>
      </c>
      <c r="C3" s="4">
        <v>2023</v>
      </c>
      <c r="D3" s="4">
        <v>2024</v>
      </c>
      <c r="E3" s="4">
        <v>2025</v>
      </c>
      <c r="F3" s="4">
        <v>2026</v>
      </c>
    </row>
    <row r="4" spans="1:9" s="38" customFormat="1" x14ac:dyDescent="0.25">
      <c r="A4" s="637"/>
      <c r="B4" s="17"/>
      <c r="C4" s="334"/>
      <c r="D4" s="334"/>
      <c r="E4" s="334"/>
      <c r="F4" s="235"/>
    </row>
    <row r="5" spans="1:9" s="38" customFormat="1" x14ac:dyDescent="0.25">
      <c r="A5" s="637"/>
      <c r="B5" s="16" t="s">
        <v>21</v>
      </c>
      <c r="C5" s="625"/>
      <c r="D5" s="625"/>
      <c r="E5" s="625"/>
      <c r="F5" s="85"/>
    </row>
    <row r="6" spans="1:9" s="38" customFormat="1" x14ac:dyDescent="0.25">
      <c r="A6" s="639" t="s">
        <v>1096</v>
      </c>
      <c r="B6" s="526" t="s">
        <v>23</v>
      </c>
      <c r="C6" s="481">
        <v>-2998000</v>
      </c>
      <c r="D6" s="481">
        <v>-3044000</v>
      </c>
      <c r="E6" s="481">
        <v>-3073000</v>
      </c>
      <c r="F6" s="481">
        <v>-3097000</v>
      </c>
      <c r="G6" s="1"/>
      <c r="H6" s="1"/>
      <c r="I6" s="1"/>
    </row>
    <row r="7" spans="1:9" s="38" customFormat="1" x14ac:dyDescent="0.25">
      <c r="A7" s="639" t="s">
        <v>26</v>
      </c>
      <c r="B7" s="480" t="s">
        <v>27</v>
      </c>
      <c r="C7" s="398"/>
      <c r="D7" s="398">
        <v>-15000</v>
      </c>
      <c r="E7" s="398">
        <v>-20000</v>
      </c>
      <c r="F7" s="398">
        <v>-20000</v>
      </c>
    </row>
    <row r="8" spans="1:9" s="38" customFormat="1" x14ac:dyDescent="0.25">
      <c r="A8" s="639" t="s">
        <v>1099</v>
      </c>
      <c r="B8" s="526" t="s">
        <v>29</v>
      </c>
      <c r="C8" s="481">
        <v>-2291000</v>
      </c>
      <c r="D8" s="481">
        <v>-2330000</v>
      </c>
      <c r="E8" s="481">
        <v>-2343000</v>
      </c>
      <c r="F8" s="481">
        <v>-2359000</v>
      </c>
      <c r="G8" s="620"/>
      <c r="H8" s="620"/>
      <c r="I8" s="620"/>
    </row>
    <row r="9" spans="1:9" s="38" customFormat="1" x14ac:dyDescent="0.25">
      <c r="A9" s="639" t="s">
        <v>1101</v>
      </c>
      <c r="B9" s="526" t="s">
        <v>30</v>
      </c>
      <c r="C9" s="481">
        <v>50000</v>
      </c>
      <c r="D9" s="481"/>
      <c r="E9" s="481"/>
      <c r="F9" s="481"/>
      <c r="G9" s="620"/>
      <c r="H9" s="620"/>
      <c r="I9" s="620"/>
    </row>
    <row r="10" spans="1:9" s="38" customFormat="1" x14ac:dyDescent="0.25">
      <c r="A10" s="639" t="s">
        <v>1104</v>
      </c>
      <c r="B10" s="526" t="s">
        <v>32</v>
      </c>
      <c r="C10" s="481">
        <v>-55000</v>
      </c>
      <c r="D10" s="481">
        <v>-57000</v>
      </c>
      <c r="E10" s="481">
        <v>-59000</v>
      </c>
      <c r="F10" s="481">
        <v>-61000</v>
      </c>
    </row>
    <row r="11" spans="1:9" s="38" customFormat="1" x14ac:dyDescent="0.25">
      <c r="A11" s="639" t="s">
        <v>1265</v>
      </c>
      <c r="B11" s="526" t="s">
        <v>34</v>
      </c>
      <c r="C11" s="481">
        <v>-250000</v>
      </c>
      <c r="D11" s="481">
        <v>-150000</v>
      </c>
      <c r="E11" s="481">
        <v>-80000</v>
      </c>
      <c r="F11" s="481">
        <v>-64000</v>
      </c>
      <c r="G11" s="481"/>
      <c r="H11" s="481"/>
      <c r="I11" s="481"/>
    </row>
    <row r="12" spans="1:9" s="38" customFormat="1" x14ac:dyDescent="0.25">
      <c r="A12" s="639" t="s">
        <v>1266</v>
      </c>
      <c r="B12" s="526" t="s">
        <v>36</v>
      </c>
      <c r="C12" s="481">
        <v>-11000</v>
      </c>
      <c r="D12" s="481">
        <v>-11000</v>
      </c>
      <c r="E12" s="481">
        <v>-11000</v>
      </c>
      <c r="F12" s="481">
        <v>-11000</v>
      </c>
      <c r="G12" s="617"/>
      <c r="H12" s="617"/>
      <c r="I12" s="617"/>
    </row>
    <row r="13" spans="1:9" s="38" customFormat="1" x14ac:dyDescent="0.25">
      <c r="A13" s="639" t="s">
        <v>1267</v>
      </c>
      <c r="B13" s="526" t="s">
        <v>38</v>
      </c>
      <c r="C13" s="481">
        <v>11000</v>
      </c>
      <c r="D13" s="481">
        <v>11000</v>
      </c>
      <c r="E13" s="481">
        <v>11000</v>
      </c>
      <c r="F13" s="481">
        <v>11000</v>
      </c>
      <c r="G13" s="617"/>
      <c r="H13" s="617"/>
      <c r="I13" s="617"/>
    </row>
    <row r="14" spans="1:9" s="38" customFormat="1" ht="25.5" x14ac:dyDescent="0.25">
      <c r="A14" s="639" t="s">
        <v>1268</v>
      </c>
      <c r="B14" s="526" t="s">
        <v>39</v>
      </c>
      <c r="C14" s="481">
        <v>-12300</v>
      </c>
      <c r="D14" s="481">
        <v>-11200</v>
      </c>
      <c r="E14" s="481">
        <v>-10100</v>
      </c>
      <c r="F14" s="481">
        <v>-9400</v>
      </c>
      <c r="G14" s="618"/>
      <c r="H14" s="618"/>
      <c r="I14" s="618"/>
    </row>
    <row r="15" spans="1:9" s="38" customFormat="1" x14ac:dyDescent="0.25">
      <c r="A15" s="639" t="s">
        <v>1269</v>
      </c>
      <c r="B15" s="526" t="s">
        <v>41</v>
      </c>
      <c r="C15" s="481">
        <v>-116222</v>
      </c>
      <c r="D15" s="481">
        <v>-95707</v>
      </c>
      <c r="E15" s="481">
        <v>-71318</v>
      </c>
      <c r="F15" s="481">
        <v>-66738</v>
      </c>
    </row>
    <row r="16" spans="1:9" s="38" customFormat="1" x14ac:dyDescent="0.25">
      <c r="A16" s="639" t="s">
        <v>1270</v>
      </c>
      <c r="B16" s="526" t="s">
        <v>43</v>
      </c>
      <c r="C16" s="481">
        <v>161000</v>
      </c>
      <c r="D16" s="481">
        <v>174000</v>
      </c>
      <c r="E16" s="481">
        <v>187000</v>
      </c>
      <c r="F16" s="481">
        <v>217000</v>
      </c>
    </row>
    <row r="17" spans="1:15" s="38" customFormat="1" x14ac:dyDescent="0.25">
      <c r="A17" s="639" t="s">
        <v>45</v>
      </c>
      <c r="B17" s="480" t="s">
        <v>46</v>
      </c>
      <c r="C17" s="398">
        <v>-395</v>
      </c>
      <c r="D17" s="398">
        <v>-1507</v>
      </c>
      <c r="E17" s="398">
        <v>-4156</v>
      </c>
      <c r="F17" s="398">
        <v>-7258</v>
      </c>
    </row>
    <row r="18" spans="1:15" s="38" customFormat="1" x14ac:dyDescent="0.25">
      <c r="A18" s="639" t="s">
        <v>1271</v>
      </c>
      <c r="B18" s="526" t="s">
        <v>47</v>
      </c>
      <c r="C18" s="481">
        <v>285000</v>
      </c>
      <c r="D18" s="481">
        <v>311000</v>
      </c>
      <c r="E18" s="481">
        <v>339000</v>
      </c>
      <c r="F18" s="481">
        <v>361000</v>
      </c>
      <c r="G18" s="1"/>
      <c r="H18" s="1"/>
      <c r="I18" s="1"/>
    </row>
    <row r="19" spans="1:15" s="38" customFormat="1" x14ac:dyDescent="0.25">
      <c r="A19" s="639" t="s">
        <v>48</v>
      </c>
      <c r="B19" s="526" t="s">
        <v>49</v>
      </c>
      <c r="C19" s="481">
        <v>-366</v>
      </c>
      <c r="D19" s="481">
        <v>-1404</v>
      </c>
      <c r="E19" s="481">
        <v>-4195</v>
      </c>
      <c r="F19" s="481">
        <v>-7422</v>
      </c>
    </row>
    <row r="20" spans="1:15" s="38" customFormat="1" x14ac:dyDescent="0.25">
      <c r="A20" s="639" t="s">
        <v>1393</v>
      </c>
      <c r="B20" s="526" t="s">
        <v>50</v>
      </c>
      <c r="C20" s="481">
        <v>-59000</v>
      </c>
      <c r="D20" s="481">
        <v>-59000</v>
      </c>
      <c r="E20" s="481">
        <v>-55000</v>
      </c>
      <c r="F20" s="481">
        <v>-55000</v>
      </c>
      <c r="G20" s="481"/>
      <c r="H20" s="481"/>
      <c r="I20" s="481"/>
    </row>
    <row r="21" spans="1:15" s="38" customFormat="1" x14ac:dyDescent="0.25">
      <c r="A21" s="639" t="s">
        <v>1272</v>
      </c>
      <c r="B21" s="526" t="s">
        <v>51</v>
      </c>
      <c r="C21" s="481">
        <v>-83200</v>
      </c>
      <c r="D21" s="481">
        <v>-87900</v>
      </c>
      <c r="E21" s="481">
        <v>-86100</v>
      </c>
      <c r="F21" s="481">
        <v>-89300</v>
      </c>
      <c r="G21" s="617"/>
      <c r="H21" s="617"/>
      <c r="I21" s="617"/>
    </row>
    <row r="22" spans="1:15" s="38" customFormat="1" x14ac:dyDescent="0.25">
      <c r="A22" s="639" t="s">
        <v>1394</v>
      </c>
      <c r="B22" s="526" t="s">
        <v>52</v>
      </c>
      <c r="C22" s="481">
        <v>83200</v>
      </c>
      <c r="D22" s="481">
        <v>87900</v>
      </c>
      <c r="E22" s="481">
        <v>86100</v>
      </c>
      <c r="F22" s="481">
        <v>89300</v>
      </c>
      <c r="G22" s="617"/>
      <c r="H22" s="617"/>
      <c r="I22" s="617"/>
    </row>
    <row r="23" spans="1:15" s="38" customFormat="1" x14ac:dyDescent="0.25">
      <c r="A23" s="639" t="s">
        <v>1273</v>
      </c>
      <c r="B23" s="526" t="s">
        <v>53</v>
      </c>
      <c r="C23" s="481">
        <v>-16400</v>
      </c>
      <c r="D23" s="481">
        <v>-15400</v>
      </c>
      <c r="E23" s="481">
        <v>-13700</v>
      </c>
      <c r="F23" s="481">
        <v>-12700</v>
      </c>
      <c r="G23" s="339"/>
      <c r="H23" s="339"/>
      <c r="I23" s="339"/>
    </row>
    <row r="24" spans="1:15" s="38" customFormat="1" x14ac:dyDescent="0.25">
      <c r="A24" s="639" t="s">
        <v>1274</v>
      </c>
      <c r="B24" s="526" t="s">
        <v>54</v>
      </c>
      <c r="C24" s="481">
        <v>-136700</v>
      </c>
      <c r="D24" s="481">
        <v>-140600</v>
      </c>
      <c r="E24" s="481">
        <v>-144500</v>
      </c>
      <c r="F24" s="481">
        <v>-148400</v>
      </c>
      <c r="G24" s="617"/>
      <c r="H24" s="617"/>
      <c r="I24" s="617"/>
    </row>
    <row r="25" spans="1:15" s="38" customFormat="1" x14ac:dyDescent="0.25">
      <c r="A25" s="639" t="s">
        <v>1275</v>
      </c>
      <c r="B25" s="526" t="s">
        <v>55</v>
      </c>
      <c r="C25" s="481">
        <v>-715</v>
      </c>
      <c r="D25" s="481">
        <v>-1070</v>
      </c>
      <c r="E25" s="481">
        <v>-1070</v>
      </c>
      <c r="F25" s="481">
        <v>-1070</v>
      </c>
      <c r="G25" s="617"/>
      <c r="H25" s="617"/>
      <c r="I25" s="617"/>
    </row>
    <row r="26" spans="1:15" s="38" customFormat="1" x14ac:dyDescent="0.25">
      <c r="A26" s="639" t="s">
        <v>1276</v>
      </c>
      <c r="B26" s="526" t="s">
        <v>57</v>
      </c>
      <c r="C26" s="481">
        <v>-2000</v>
      </c>
      <c r="D26" s="481">
        <v>-2000</v>
      </c>
      <c r="E26" s="481">
        <v>-2000</v>
      </c>
      <c r="F26" s="481">
        <v>-2000</v>
      </c>
      <c r="G26" s="618"/>
      <c r="H26" s="618"/>
      <c r="I26" s="618"/>
    </row>
    <row r="27" spans="1:15" s="38" customFormat="1" x14ac:dyDescent="0.25">
      <c r="A27" s="639" t="s">
        <v>1277</v>
      </c>
      <c r="B27" s="526" t="s">
        <v>59</v>
      </c>
      <c r="C27" s="481">
        <v>-5200</v>
      </c>
      <c r="D27" s="481">
        <v>-5000</v>
      </c>
      <c r="E27" s="481">
        <v>-4500</v>
      </c>
      <c r="F27" s="481">
        <v>-4200</v>
      </c>
    </row>
    <row r="28" spans="1:15" s="38" customFormat="1" x14ac:dyDescent="0.25">
      <c r="A28" s="639" t="s">
        <v>1278</v>
      </c>
      <c r="B28" s="526" t="s">
        <v>62</v>
      </c>
      <c r="C28" s="481">
        <v>-500</v>
      </c>
      <c r="D28" s="481">
        <v>-500</v>
      </c>
      <c r="E28" s="481">
        <v>-500</v>
      </c>
      <c r="F28" s="481">
        <v>-500</v>
      </c>
    </row>
    <row r="29" spans="1:15" s="38" customFormat="1" x14ac:dyDescent="0.25">
      <c r="A29" s="639" t="s">
        <v>1279</v>
      </c>
      <c r="B29" s="526" t="s">
        <v>64</v>
      </c>
      <c r="C29" s="481">
        <v>119722</v>
      </c>
      <c r="D29" s="481">
        <v>148223</v>
      </c>
      <c r="E29" s="481">
        <v>90904</v>
      </c>
      <c r="F29" s="481">
        <v>68921</v>
      </c>
    </row>
    <row r="30" spans="1:15" s="38" customFormat="1" x14ac:dyDescent="0.25">
      <c r="A30" s="639" t="s">
        <v>66</v>
      </c>
      <c r="B30" s="526" t="s">
        <v>64</v>
      </c>
      <c r="C30" s="481"/>
      <c r="D30" s="481"/>
      <c r="E30" s="481">
        <v>-1109</v>
      </c>
      <c r="F30" s="481">
        <v>4220</v>
      </c>
    </row>
    <row r="31" spans="1:15" s="38" customFormat="1" x14ac:dyDescent="0.25">
      <c r="A31" s="639" t="s">
        <v>67</v>
      </c>
      <c r="B31" s="526" t="s">
        <v>68</v>
      </c>
      <c r="C31" s="481">
        <v>-18499</v>
      </c>
      <c r="D31" s="481">
        <v>-2549</v>
      </c>
      <c r="E31" s="481"/>
      <c r="F31" s="481"/>
    </row>
    <row r="32" spans="1:15" s="38" customFormat="1" x14ac:dyDescent="0.25">
      <c r="A32" s="639" t="s">
        <v>1280</v>
      </c>
      <c r="B32" s="526" t="s">
        <v>69</v>
      </c>
      <c r="C32" s="481">
        <v>340000</v>
      </c>
      <c r="D32" s="481">
        <v>350000</v>
      </c>
      <c r="E32" s="481">
        <v>360000</v>
      </c>
      <c r="F32" s="481">
        <v>370000</v>
      </c>
      <c r="L32" s="339"/>
      <c r="M32" s="339"/>
      <c r="N32" s="339"/>
      <c r="O32" s="339"/>
    </row>
    <row r="33" spans="1:15" s="38" customFormat="1" x14ac:dyDescent="0.25">
      <c r="A33" s="639" t="s">
        <v>1281</v>
      </c>
      <c r="B33" s="526" t="s">
        <v>71</v>
      </c>
      <c r="C33" s="481">
        <v>-340000</v>
      </c>
      <c r="D33" s="481">
        <v>-350000</v>
      </c>
      <c r="E33" s="481">
        <v>-360000</v>
      </c>
      <c r="F33" s="481">
        <v>-370000</v>
      </c>
      <c r="L33" s="621"/>
      <c r="M33" s="621"/>
      <c r="N33" s="621"/>
      <c r="O33" s="621"/>
    </row>
    <row r="34" spans="1:15" s="38" customFormat="1" x14ac:dyDescent="0.25">
      <c r="A34" s="639" t="s">
        <v>1282</v>
      </c>
      <c r="B34" s="526" t="s">
        <v>72</v>
      </c>
      <c r="C34" s="481">
        <v>-27043</v>
      </c>
      <c r="D34" s="481">
        <v>-27162</v>
      </c>
      <c r="E34" s="481">
        <v>-28274</v>
      </c>
      <c r="F34" s="481">
        <v>-30191</v>
      </c>
    </row>
    <row r="35" spans="1:15" s="38" customFormat="1" x14ac:dyDescent="0.25">
      <c r="A35" s="637" t="s">
        <v>1395</v>
      </c>
      <c r="B35" s="98" t="s">
        <v>74</v>
      </c>
      <c r="C35" s="90">
        <v>-54620</v>
      </c>
      <c r="D35" s="90">
        <v>-59551</v>
      </c>
      <c r="E35" s="90">
        <v>-65379</v>
      </c>
      <c r="F35" s="90">
        <v>-71940</v>
      </c>
    </row>
    <row r="36" spans="1:15" s="38" customFormat="1" x14ac:dyDescent="0.25">
      <c r="A36" s="637" t="s">
        <v>1396</v>
      </c>
      <c r="B36" s="98" t="s">
        <v>75</v>
      </c>
      <c r="C36" s="90">
        <v>-759</v>
      </c>
      <c r="D36" s="90">
        <v>-1311</v>
      </c>
      <c r="E36" s="90">
        <v>-2837</v>
      </c>
      <c r="F36" s="90">
        <v>-3574</v>
      </c>
    </row>
    <row r="37" spans="1:15" s="38" customFormat="1" x14ac:dyDescent="0.25">
      <c r="A37" s="637"/>
      <c r="B37" s="98"/>
      <c r="C37" s="90"/>
      <c r="D37" s="90"/>
      <c r="E37" s="90"/>
      <c r="F37" s="90"/>
    </row>
    <row r="38" spans="1:15" s="38" customFormat="1" x14ac:dyDescent="0.25">
      <c r="A38" s="637"/>
      <c r="B38" s="98"/>
      <c r="C38" s="90"/>
      <c r="D38" s="90"/>
      <c r="E38" s="90"/>
      <c r="F38" s="90"/>
    </row>
    <row r="39" spans="1:15" s="38" customFormat="1" x14ac:dyDescent="0.25">
      <c r="A39" s="43"/>
      <c r="B39" s="3" t="s">
        <v>76</v>
      </c>
      <c r="C39" s="9">
        <v>-5428997</v>
      </c>
      <c r="D39" s="9">
        <v>-5386738</v>
      </c>
      <c r="E39" s="9">
        <v>-5366734</v>
      </c>
      <c r="F39" s="9">
        <v>-5370252</v>
      </c>
    </row>
    <row r="40" spans="1:15" s="38" customFormat="1" x14ac:dyDescent="0.25">
      <c r="A40" s="43"/>
      <c r="B40" s="3" t="s">
        <v>77</v>
      </c>
      <c r="C40" s="9">
        <v>4902782</v>
      </c>
      <c r="D40" s="9">
        <v>4902782</v>
      </c>
      <c r="E40" s="9">
        <v>4902782</v>
      </c>
      <c r="F40" s="9">
        <v>4902782</v>
      </c>
    </row>
    <row r="41" spans="1:15" s="38" customFormat="1" x14ac:dyDescent="0.25">
      <c r="A41" s="43"/>
      <c r="B41" s="3" t="s">
        <v>78</v>
      </c>
      <c r="C41" s="9">
        <v>-526215</v>
      </c>
      <c r="D41" s="9">
        <v>-483956</v>
      </c>
      <c r="E41" s="9">
        <v>-463952</v>
      </c>
      <c r="F41" s="9">
        <v>-467470</v>
      </c>
    </row>
    <row r="42" spans="1:15" s="38" customFormat="1" x14ac:dyDescent="0.25">
      <c r="A42" s="637"/>
      <c r="B42" s="11"/>
      <c r="C42" s="12"/>
      <c r="D42" s="12"/>
      <c r="E42" s="12"/>
      <c r="F42" s="12"/>
    </row>
    <row r="43" spans="1:15" s="1" customFormat="1" x14ac:dyDescent="0.25">
      <c r="A43" s="638"/>
      <c r="B43" s="13" t="s">
        <v>79</v>
      </c>
      <c r="C43" s="14"/>
      <c r="D43" s="14"/>
      <c r="E43" s="14"/>
      <c r="F43" s="14"/>
    </row>
    <row r="44" spans="1:15" s="38" customFormat="1" x14ac:dyDescent="0.25">
      <c r="A44" s="637"/>
      <c r="B44" s="246" t="s">
        <v>80</v>
      </c>
      <c r="C44" s="4">
        <v>2023</v>
      </c>
      <c r="D44" s="4">
        <v>2024</v>
      </c>
      <c r="E44" s="4">
        <f>D44+1</f>
        <v>2025</v>
      </c>
      <c r="F44" s="4">
        <f>E44+1</f>
        <v>2026</v>
      </c>
    </row>
    <row r="45" spans="1:15" s="38" customFormat="1" x14ac:dyDescent="0.25">
      <c r="A45" s="637" t="s">
        <v>1283</v>
      </c>
      <c r="B45" s="245" t="s">
        <v>82</v>
      </c>
      <c r="C45" s="217">
        <v>9023</v>
      </c>
      <c r="D45" s="217">
        <v>12060</v>
      </c>
      <c r="E45" s="217">
        <v>12626</v>
      </c>
      <c r="F45" s="217">
        <v>11906</v>
      </c>
    </row>
    <row r="46" spans="1:15" s="38" customFormat="1" x14ac:dyDescent="0.25">
      <c r="A46" s="637" t="s">
        <v>1284</v>
      </c>
      <c r="B46" s="245" t="s">
        <v>85</v>
      </c>
      <c r="C46" s="217">
        <v>877</v>
      </c>
      <c r="D46" s="217">
        <v>877</v>
      </c>
      <c r="E46" s="217">
        <v>877</v>
      </c>
      <c r="F46" s="217">
        <v>877</v>
      </c>
    </row>
    <row r="47" spans="1:15" s="38" customFormat="1" x14ac:dyDescent="0.25">
      <c r="A47" s="637" t="s">
        <v>1285</v>
      </c>
      <c r="B47" s="245" t="s">
        <v>86</v>
      </c>
      <c r="C47" s="217">
        <v>1456</v>
      </c>
      <c r="D47" s="217">
        <v>1946</v>
      </c>
      <c r="E47" s="217">
        <v>2038</v>
      </c>
      <c r="F47" s="217">
        <v>1922</v>
      </c>
    </row>
    <row r="48" spans="1:15" s="38" customFormat="1" x14ac:dyDescent="0.25">
      <c r="A48" s="637" t="s">
        <v>1286</v>
      </c>
      <c r="B48" s="245" t="s">
        <v>87</v>
      </c>
      <c r="C48" s="217">
        <v>142</v>
      </c>
      <c r="D48" s="217">
        <v>142</v>
      </c>
      <c r="E48" s="217">
        <v>142</v>
      </c>
      <c r="F48" s="217">
        <v>142</v>
      </c>
    </row>
    <row r="49" spans="1:6" s="38" customFormat="1" x14ac:dyDescent="0.25">
      <c r="A49" s="637" t="s">
        <v>1287</v>
      </c>
      <c r="B49" s="480" t="s">
        <v>88</v>
      </c>
      <c r="C49" s="398">
        <v>0</v>
      </c>
      <c r="D49" s="398">
        <v>-852</v>
      </c>
      <c r="E49" s="398">
        <v>-852</v>
      </c>
      <c r="F49" s="398">
        <v>-852</v>
      </c>
    </row>
    <row r="50" spans="1:6" s="38" customFormat="1" x14ac:dyDescent="0.25">
      <c r="A50" s="637" t="s">
        <v>1288</v>
      </c>
      <c r="B50" s="480" t="s">
        <v>90</v>
      </c>
      <c r="C50" s="398">
        <v>7400</v>
      </c>
      <c r="D50" s="398">
        <v>7400</v>
      </c>
      <c r="E50" s="398">
        <v>7400</v>
      </c>
      <c r="F50" s="398">
        <v>7400</v>
      </c>
    </row>
    <row r="51" spans="1:6" s="38" customFormat="1" x14ac:dyDescent="0.25">
      <c r="A51" s="637" t="s">
        <v>1289</v>
      </c>
      <c r="B51" s="480" t="s">
        <v>92</v>
      </c>
      <c r="C51" s="398">
        <v>6000</v>
      </c>
      <c r="D51" s="398">
        <v>6000</v>
      </c>
      <c r="E51" s="398"/>
      <c r="F51" s="398"/>
    </row>
    <row r="52" spans="1:6" s="38" customFormat="1" x14ac:dyDescent="0.25">
      <c r="A52" s="637" t="s">
        <v>1290</v>
      </c>
      <c r="B52" s="480" t="s">
        <v>93</v>
      </c>
      <c r="C52" s="398">
        <v>157</v>
      </c>
      <c r="D52" s="398">
        <v>210</v>
      </c>
      <c r="E52" s="398">
        <v>220</v>
      </c>
      <c r="F52" s="398">
        <v>208</v>
      </c>
    </row>
    <row r="53" spans="1:6" s="38" customFormat="1" x14ac:dyDescent="0.25">
      <c r="A53" s="637" t="s">
        <v>1291</v>
      </c>
      <c r="B53" s="480" t="s">
        <v>94</v>
      </c>
      <c r="C53" s="398">
        <v>15</v>
      </c>
      <c r="D53" s="398">
        <v>15</v>
      </c>
      <c r="E53" s="398">
        <v>15</v>
      </c>
      <c r="F53" s="398">
        <v>15</v>
      </c>
    </row>
    <row r="54" spans="1:6" s="38" customFormat="1" x14ac:dyDescent="0.25">
      <c r="A54" s="637" t="s">
        <v>1292</v>
      </c>
      <c r="B54" s="480" t="s">
        <v>95</v>
      </c>
      <c r="C54" s="398">
        <v>12348</v>
      </c>
      <c r="D54" s="398">
        <v>12348</v>
      </c>
      <c r="E54" s="398">
        <v>12348</v>
      </c>
      <c r="F54" s="398">
        <v>12348</v>
      </c>
    </row>
    <row r="55" spans="1:6" s="38" customFormat="1" x14ac:dyDescent="0.25">
      <c r="A55" s="637" t="s">
        <v>1293</v>
      </c>
      <c r="B55" s="480" t="s">
        <v>96</v>
      </c>
      <c r="C55" s="398">
        <v>-12348</v>
      </c>
      <c r="D55" s="398">
        <v>-12348</v>
      </c>
      <c r="E55" s="398">
        <v>-12348</v>
      </c>
      <c r="F55" s="398">
        <v>-12348</v>
      </c>
    </row>
    <row r="56" spans="1:6" s="38" customFormat="1" x14ac:dyDescent="0.25">
      <c r="A56" s="637" t="s">
        <v>97</v>
      </c>
      <c r="B56" s="480" t="s">
        <v>98</v>
      </c>
      <c r="C56" s="398">
        <v>700</v>
      </c>
      <c r="D56" s="398">
        <v>700</v>
      </c>
      <c r="E56" s="398">
        <v>700</v>
      </c>
      <c r="F56" s="398">
        <v>700</v>
      </c>
    </row>
    <row r="57" spans="1:6" s="38" customFormat="1" x14ac:dyDescent="0.25">
      <c r="A57" s="637" t="s">
        <v>99</v>
      </c>
      <c r="B57" s="480" t="s">
        <v>100</v>
      </c>
      <c r="C57" s="398">
        <v>500</v>
      </c>
      <c r="D57" s="398"/>
      <c r="E57" s="398"/>
      <c r="F57" s="398"/>
    </row>
    <row r="58" spans="1:6" s="38" customFormat="1" x14ac:dyDescent="0.25">
      <c r="A58" s="637" t="s">
        <v>1397</v>
      </c>
      <c r="B58" s="480" t="s">
        <v>101</v>
      </c>
      <c r="C58" s="398">
        <v>400</v>
      </c>
      <c r="D58" s="398">
        <v>400</v>
      </c>
      <c r="E58" s="398">
        <v>400</v>
      </c>
      <c r="F58" s="398">
        <v>400</v>
      </c>
    </row>
    <row r="59" spans="1:6" s="38" customFormat="1" x14ac:dyDescent="0.25">
      <c r="A59" s="637" t="s">
        <v>1398</v>
      </c>
      <c r="B59" s="480" t="s">
        <v>102</v>
      </c>
      <c r="C59" s="398">
        <v>1000</v>
      </c>
      <c r="D59" s="398">
        <v>1000</v>
      </c>
      <c r="E59" s="398">
        <v>1000</v>
      </c>
      <c r="F59" s="398">
        <v>1000</v>
      </c>
    </row>
    <row r="60" spans="1:6" s="38" customFormat="1" x14ac:dyDescent="0.25">
      <c r="A60" s="637" t="s">
        <v>1294</v>
      </c>
      <c r="B60" s="480" t="s">
        <v>103</v>
      </c>
      <c r="C60" s="398">
        <v>0</v>
      </c>
      <c r="D60" s="398">
        <v>0</v>
      </c>
      <c r="E60" s="398"/>
      <c r="F60" s="398"/>
    </row>
    <row r="61" spans="1:6" x14ac:dyDescent="0.25">
      <c r="A61" s="637" t="s">
        <v>1295</v>
      </c>
      <c r="B61" s="480" t="s">
        <v>104</v>
      </c>
      <c r="C61" s="398">
        <v>6000</v>
      </c>
      <c r="D61" s="398">
        <v>6000</v>
      </c>
      <c r="E61" s="398">
        <v>6000</v>
      </c>
      <c r="F61" s="398">
        <v>6000</v>
      </c>
    </row>
    <row r="62" spans="1:6" s="38" customFormat="1" x14ac:dyDescent="0.25">
      <c r="A62" s="637" t="s">
        <v>1296</v>
      </c>
      <c r="B62" s="480" t="s">
        <v>105</v>
      </c>
      <c r="C62" s="641">
        <v>18500</v>
      </c>
      <c r="D62" s="641">
        <v>18500</v>
      </c>
      <c r="E62" s="641">
        <v>18500</v>
      </c>
      <c r="F62" s="641">
        <v>18500</v>
      </c>
    </row>
    <row r="63" spans="1:6" s="38" customFormat="1" x14ac:dyDescent="0.25">
      <c r="A63" s="637" t="s">
        <v>106</v>
      </c>
      <c r="B63" s="480" t="s">
        <v>107</v>
      </c>
      <c r="C63" s="642">
        <v>3000</v>
      </c>
      <c r="D63" s="642">
        <v>6000</v>
      </c>
      <c r="E63" s="642">
        <v>6000</v>
      </c>
      <c r="F63" s="642">
        <v>6000</v>
      </c>
    </row>
    <row r="64" spans="1:6" s="38" customFormat="1" x14ac:dyDescent="0.25">
      <c r="A64" s="637" t="s">
        <v>108</v>
      </c>
      <c r="B64" s="527" t="s">
        <v>109</v>
      </c>
      <c r="C64" s="398">
        <v>20</v>
      </c>
      <c r="D64" s="398">
        <v>20</v>
      </c>
      <c r="E64" s="398">
        <v>20</v>
      </c>
      <c r="F64" s="398">
        <v>20</v>
      </c>
    </row>
    <row r="65" spans="1:6" s="38" customFormat="1" x14ac:dyDescent="0.25">
      <c r="A65" s="637" t="s">
        <v>110</v>
      </c>
      <c r="B65" s="480" t="s">
        <v>111</v>
      </c>
      <c r="C65" s="642">
        <v>90</v>
      </c>
      <c r="D65" s="642">
        <v>90</v>
      </c>
      <c r="E65" s="642">
        <v>90</v>
      </c>
      <c r="F65" s="642">
        <v>90</v>
      </c>
    </row>
    <row r="66" spans="1:6" s="38" customFormat="1" x14ac:dyDescent="0.25">
      <c r="A66" s="637"/>
      <c r="B66" s="480"/>
      <c r="C66" s="642"/>
      <c r="D66" s="642"/>
      <c r="E66" s="642"/>
      <c r="F66" s="642"/>
    </row>
    <row r="67" spans="1:6" s="1" customFormat="1" x14ac:dyDescent="0.25">
      <c r="A67" s="638" t="s">
        <v>1190</v>
      </c>
      <c r="B67" s="16" t="s">
        <v>112</v>
      </c>
      <c r="C67" s="4">
        <f>C44</f>
        <v>2023</v>
      </c>
      <c r="D67" s="4">
        <f>C67+1</f>
        <v>2024</v>
      </c>
      <c r="E67" s="4">
        <f>D67+1</f>
        <v>2025</v>
      </c>
      <c r="F67" s="4">
        <f>E67+1</f>
        <v>2026</v>
      </c>
    </row>
    <row r="68" spans="1:6" s="38" customFormat="1" ht="14.25" customHeight="1" x14ac:dyDescent="0.25">
      <c r="A68" s="637" t="s">
        <v>1297</v>
      </c>
      <c r="B68" s="480" t="s">
        <v>113</v>
      </c>
      <c r="C68" s="481">
        <v>44600</v>
      </c>
      <c r="D68" s="481">
        <v>44600</v>
      </c>
      <c r="E68" s="481">
        <v>44600</v>
      </c>
      <c r="F68" s="481">
        <v>44600</v>
      </c>
    </row>
    <row r="69" spans="1:6" s="38" customFormat="1" x14ac:dyDescent="0.25">
      <c r="A69" s="637" t="s">
        <v>1298</v>
      </c>
      <c r="B69" s="480" t="s">
        <v>114</v>
      </c>
      <c r="C69" s="481">
        <v>2600</v>
      </c>
      <c r="D69" s="481">
        <v>5200</v>
      </c>
      <c r="E69" s="481">
        <v>5200</v>
      </c>
      <c r="F69" s="481">
        <v>5200</v>
      </c>
    </row>
    <row r="70" spans="1:6" s="38" customFormat="1" x14ac:dyDescent="0.25">
      <c r="A70" s="637" t="s">
        <v>1399</v>
      </c>
      <c r="B70" s="480" t="s">
        <v>115</v>
      </c>
      <c r="C70" s="633">
        <v>1567</v>
      </c>
      <c r="D70" s="633">
        <v>1567</v>
      </c>
      <c r="E70" s="633">
        <v>1567</v>
      </c>
      <c r="F70" s="633">
        <v>1567</v>
      </c>
    </row>
    <row r="71" spans="1:6" s="38" customFormat="1" x14ac:dyDescent="0.25">
      <c r="A71" s="637" t="s">
        <v>1400</v>
      </c>
      <c r="B71" s="480" t="s">
        <v>116</v>
      </c>
      <c r="C71" s="640">
        <v>1600</v>
      </c>
      <c r="D71" s="640">
        <v>1600</v>
      </c>
      <c r="E71" s="640"/>
      <c r="F71" s="640"/>
    </row>
    <row r="72" spans="1:6" s="38" customFormat="1" x14ac:dyDescent="0.25">
      <c r="A72" s="637"/>
      <c r="B72" s="480"/>
      <c r="C72" s="640"/>
      <c r="D72" s="640"/>
      <c r="E72" s="640"/>
      <c r="F72" s="640"/>
    </row>
    <row r="73" spans="1:6" s="38" customFormat="1" ht="18.75" customHeight="1" x14ac:dyDescent="0.25">
      <c r="A73" s="637" t="s">
        <v>1190</v>
      </c>
      <c r="B73" s="82" t="s">
        <v>117</v>
      </c>
      <c r="C73" s="4">
        <f>C67</f>
        <v>2023</v>
      </c>
      <c r="D73" s="4">
        <f>C73+1</f>
        <v>2024</v>
      </c>
      <c r="E73" s="4">
        <f>D73+1</f>
        <v>2025</v>
      </c>
      <c r="F73" s="4">
        <f>E73+1</f>
        <v>2026</v>
      </c>
    </row>
    <row r="74" spans="1:6" s="38" customFormat="1" x14ac:dyDescent="0.25">
      <c r="A74" s="637" t="s">
        <v>1401</v>
      </c>
      <c r="B74" s="480" t="s">
        <v>118</v>
      </c>
      <c r="C74" s="398">
        <v>5500</v>
      </c>
      <c r="D74" s="398">
        <v>0</v>
      </c>
      <c r="E74" s="398">
        <v>0</v>
      </c>
      <c r="F74" s="398">
        <v>0</v>
      </c>
    </row>
    <row r="75" spans="1:6" s="38" customFormat="1" ht="25.5" x14ac:dyDescent="0.25">
      <c r="A75" s="637" t="s">
        <v>1299</v>
      </c>
      <c r="B75" s="480" t="s">
        <v>119</v>
      </c>
      <c r="C75" s="398">
        <v>5500</v>
      </c>
      <c r="D75" s="398">
        <v>0</v>
      </c>
      <c r="E75" s="398">
        <v>0</v>
      </c>
      <c r="F75" s="398">
        <v>0</v>
      </c>
    </row>
    <row r="76" spans="1:6" s="38" customFormat="1" x14ac:dyDescent="0.25">
      <c r="A76" s="637" t="s">
        <v>1300</v>
      </c>
      <c r="B76" s="480" t="s">
        <v>120</v>
      </c>
      <c r="C76" s="398">
        <v>0</v>
      </c>
      <c r="D76" s="398">
        <v>4000</v>
      </c>
      <c r="E76" s="398">
        <v>4000</v>
      </c>
      <c r="F76" s="398">
        <v>4000</v>
      </c>
    </row>
    <row r="77" spans="1:6" s="38" customFormat="1" x14ac:dyDescent="0.25">
      <c r="A77" s="637" t="s">
        <v>1301</v>
      </c>
      <c r="B77" s="480" t="s">
        <v>121</v>
      </c>
      <c r="C77" s="398">
        <v>-11000</v>
      </c>
      <c r="D77" s="398">
        <v>0</v>
      </c>
      <c r="E77" s="398">
        <v>0</v>
      </c>
      <c r="F77" s="398">
        <v>0</v>
      </c>
    </row>
    <row r="78" spans="1:6" s="38" customFormat="1" x14ac:dyDescent="0.25">
      <c r="A78" s="637" t="s">
        <v>1302</v>
      </c>
      <c r="B78" s="480" t="s">
        <v>122</v>
      </c>
      <c r="C78" s="398">
        <v>3200</v>
      </c>
      <c r="D78" s="398">
        <v>3200</v>
      </c>
      <c r="E78" s="398">
        <v>3200</v>
      </c>
      <c r="F78" s="398">
        <v>3200</v>
      </c>
    </row>
    <row r="79" spans="1:6" s="38" customFormat="1" x14ac:dyDescent="0.25">
      <c r="A79" s="637" t="s">
        <v>1303</v>
      </c>
      <c r="B79" s="480" t="s">
        <v>123</v>
      </c>
      <c r="C79" s="398">
        <v>3700</v>
      </c>
      <c r="D79" s="398">
        <v>3700</v>
      </c>
      <c r="E79" s="398">
        <v>3700</v>
      </c>
      <c r="F79" s="398">
        <v>3700</v>
      </c>
    </row>
    <row r="80" spans="1:6" s="38" customFormat="1" x14ac:dyDescent="0.25">
      <c r="A80" s="637" t="s">
        <v>1304</v>
      </c>
      <c r="B80" s="480" t="s">
        <v>124</v>
      </c>
      <c r="C80" s="398">
        <v>300</v>
      </c>
      <c r="D80" s="398">
        <v>300</v>
      </c>
      <c r="E80" s="398"/>
      <c r="F80" s="398"/>
    </row>
    <row r="81" spans="1:6" s="38" customFormat="1" x14ac:dyDescent="0.25">
      <c r="A81" s="637" t="s">
        <v>1305</v>
      </c>
      <c r="B81" s="480" t="s">
        <v>125</v>
      </c>
      <c r="C81" s="398">
        <v>3200</v>
      </c>
      <c r="D81" s="398">
        <v>3200</v>
      </c>
      <c r="E81" s="398"/>
      <c r="F81" s="398"/>
    </row>
    <row r="82" spans="1:6" s="38" customFormat="1" x14ac:dyDescent="0.25">
      <c r="A82" s="637" t="s">
        <v>1306</v>
      </c>
      <c r="B82" s="480" t="s">
        <v>126</v>
      </c>
      <c r="C82" s="398">
        <v>2400</v>
      </c>
      <c r="D82" s="398">
        <v>2400</v>
      </c>
      <c r="E82" s="398"/>
      <c r="F82" s="398"/>
    </row>
    <row r="83" spans="1:6" s="38" customFormat="1" x14ac:dyDescent="0.25">
      <c r="A83" s="637"/>
      <c r="B83" s="480"/>
      <c r="C83" s="398"/>
      <c r="D83" s="398"/>
      <c r="E83" s="398"/>
      <c r="F83" s="398"/>
    </row>
    <row r="84" spans="1:6" s="38" customFormat="1" x14ac:dyDescent="0.25">
      <c r="A84" s="43"/>
      <c r="B84" s="3" t="s">
        <v>128</v>
      </c>
      <c r="C84" s="56">
        <v>118447</v>
      </c>
      <c r="D84" s="56">
        <v>130275</v>
      </c>
      <c r="E84" s="56">
        <v>117443</v>
      </c>
      <c r="F84" s="56">
        <v>116595</v>
      </c>
    </row>
    <row r="85" spans="1:6" s="38" customFormat="1" x14ac:dyDescent="0.25">
      <c r="A85" s="637"/>
      <c r="B85" s="11"/>
      <c r="C85" s="57"/>
      <c r="D85" s="57"/>
      <c r="E85" s="57"/>
      <c r="F85" s="57"/>
    </row>
    <row r="86" spans="1:6" s="38" customFormat="1" x14ac:dyDescent="0.25">
      <c r="A86" s="637"/>
      <c r="B86" s="13" t="s">
        <v>129</v>
      </c>
      <c r="C86" s="58"/>
      <c r="D86" s="58"/>
      <c r="E86" s="58"/>
      <c r="F86" s="58"/>
    </row>
    <row r="87" spans="1:6" s="38" customFormat="1" x14ac:dyDescent="0.25">
      <c r="A87" s="637"/>
      <c r="B87" s="82" t="s">
        <v>130</v>
      </c>
      <c r="C87" s="4">
        <v>2023</v>
      </c>
      <c r="D87" s="4">
        <v>2024</v>
      </c>
      <c r="E87" s="4">
        <v>2025</v>
      </c>
      <c r="F87" s="4">
        <v>2026</v>
      </c>
    </row>
    <row r="88" spans="1:6" s="38" customFormat="1" x14ac:dyDescent="0.25">
      <c r="A88" s="637" t="s">
        <v>132</v>
      </c>
      <c r="B88" s="480" t="s">
        <v>133</v>
      </c>
      <c r="C88" s="398"/>
      <c r="D88" s="398"/>
      <c r="E88" s="398">
        <v>9000</v>
      </c>
      <c r="F88" s="398">
        <v>9000</v>
      </c>
    </row>
    <row r="89" spans="1:6" s="38" customFormat="1" ht="21.75" customHeight="1" x14ac:dyDescent="0.25">
      <c r="A89" s="637" t="s">
        <v>134</v>
      </c>
      <c r="B89" s="480" t="s">
        <v>135</v>
      </c>
      <c r="C89" s="398">
        <v>500</v>
      </c>
      <c r="D89" s="398">
        <v>500</v>
      </c>
      <c r="E89" s="398">
        <v>500</v>
      </c>
      <c r="F89" s="398">
        <v>500</v>
      </c>
    </row>
    <row r="90" spans="1:6" s="38" customFormat="1" ht="21.75" customHeight="1" x14ac:dyDescent="0.25">
      <c r="A90" s="637"/>
      <c r="B90" s="480"/>
      <c r="C90" s="398"/>
      <c r="D90" s="398"/>
      <c r="E90" s="398"/>
      <c r="F90" s="398"/>
    </row>
    <row r="91" spans="1:6" s="38" customFormat="1" x14ac:dyDescent="0.25">
      <c r="A91" s="637" t="s">
        <v>1190</v>
      </c>
      <c r="B91" s="82" t="s">
        <v>136</v>
      </c>
      <c r="C91" s="4">
        <f>C73</f>
        <v>2023</v>
      </c>
      <c r="D91" s="4">
        <f>C91+1</f>
        <v>2024</v>
      </c>
      <c r="E91" s="4">
        <f>D91+1</f>
        <v>2025</v>
      </c>
      <c r="F91" s="4">
        <f>E91+1</f>
        <v>2026</v>
      </c>
    </row>
    <row r="92" spans="1:6" s="38" customFormat="1" x14ac:dyDescent="0.25">
      <c r="A92" s="637" t="s">
        <v>1307</v>
      </c>
      <c r="B92" s="245" t="s">
        <v>137</v>
      </c>
      <c r="C92" s="70">
        <v>2500</v>
      </c>
      <c r="D92" s="70">
        <v>5000</v>
      </c>
      <c r="E92" s="70">
        <v>7500</v>
      </c>
      <c r="F92" s="70">
        <v>10000</v>
      </c>
    </row>
    <row r="93" spans="1:6" s="38" customFormat="1" x14ac:dyDescent="0.25">
      <c r="A93" s="637" t="s">
        <v>138</v>
      </c>
      <c r="B93" s="480" t="s">
        <v>139</v>
      </c>
      <c r="C93" s="398">
        <v>1000</v>
      </c>
      <c r="D93" s="398">
        <v>2000</v>
      </c>
      <c r="E93" s="398">
        <v>2000</v>
      </c>
      <c r="F93" s="398">
        <v>3000</v>
      </c>
    </row>
    <row r="94" spans="1:6" s="38" customFormat="1" x14ac:dyDescent="0.25">
      <c r="A94" s="637" t="s">
        <v>140</v>
      </c>
      <c r="B94" s="527" t="s">
        <v>141</v>
      </c>
      <c r="C94" s="398">
        <v>1200</v>
      </c>
      <c r="D94" s="398">
        <v>1200</v>
      </c>
      <c r="E94" s="398">
        <v>1200</v>
      </c>
      <c r="F94" s="398">
        <v>1200</v>
      </c>
    </row>
    <row r="95" spans="1:6" s="38" customFormat="1" x14ac:dyDescent="0.25">
      <c r="A95" s="637"/>
      <c r="B95" s="527"/>
      <c r="C95" s="398"/>
      <c r="D95" s="398"/>
      <c r="E95" s="398"/>
      <c r="F95" s="398"/>
    </row>
    <row r="96" spans="1:6" s="38" customFormat="1" x14ac:dyDescent="0.25">
      <c r="A96" s="637" t="s">
        <v>1190</v>
      </c>
      <c r="B96" s="82" t="s">
        <v>142</v>
      </c>
      <c r="C96" s="4">
        <f>C91</f>
        <v>2023</v>
      </c>
      <c r="D96" s="4">
        <f>C96+1</f>
        <v>2024</v>
      </c>
      <c r="E96" s="4">
        <f>D96+1</f>
        <v>2025</v>
      </c>
      <c r="F96" s="4">
        <f>E96+1</f>
        <v>2026</v>
      </c>
    </row>
    <row r="97" spans="1:6" s="38" customFormat="1" x14ac:dyDescent="0.25">
      <c r="A97" s="637" t="s">
        <v>1402</v>
      </c>
      <c r="B97" s="245" t="s">
        <v>143</v>
      </c>
      <c r="C97" s="70">
        <v>-300</v>
      </c>
      <c r="D97" s="70">
        <v>-900</v>
      </c>
      <c r="E97" s="70">
        <v>-1500</v>
      </c>
      <c r="F97" s="70">
        <v>-1500</v>
      </c>
    </row>
    <row r="98" spans="1:6" s="38" customFormat="1" x14ac:dyDescent="0.25">
      <c r="A98" s="637" t="s">
        <v>1403</v>
      </c>
      <c r="B98" s="245" t="s">
        <v>144</v>
      </c>
      <c r="C98" s="217">
        <v>-27256</v>
      </c>
      <c r="D98" s="217">
        <v>-27256</v>
      </c>
      <c r="E98" s="217">
        <v>-27256</v>
      </c>
      <c r="F98" s="217">
        <v>-27256</v>
      </c>
    </row>
    <row r="99" spans="1:6" s="38" customFormat="1" x14ac:dyDescent="0.25">
      <c r="A99" s="637" t="s">
        <v>1308</v>
      </c>
      <c r="B99" s="245" t="s">
        <v>145</v>
      </c>
      <c r="C99" s="217">
        <v>27256</v>
      </c>
      <c r="D99" s="217">
        <v>27256</v>
      </c>
      <c r="E99" s="217">
        <v>27256</v>
      </c>
      <c r="F99" s="217">
        <v>27256</v>
      </c>
    </row>
    <row r="100" spans="1:6" s="38" customFormat="1" x14ac:dyDescent="0.25">
      <c r="A100" s="637" t="s">
        <v>1309</v>
      </c>
      <c r="B100" s="480" t="s">
        <v>146</v>
      </c>
      <c r="C100" s="398">
        <v>15000</v>
      </c>
      <c r="D100" s="398">
        <v>15000</v>
      </c>
      <c r="E100" s="398">
        <v>15000</v>
      </c>
      <c r="F100" s="398">
        <v>15000</v>
      </c>
    </row>
    <row r="101" spans="1:6" s="38" customFormat="1" x14ac:dyDescent="0.25">
      <c r="A101" s="637" t="s">
        <v>1310</v>
      </c>
      <c r="B101" s="480" t="s">
        <v>147</v>
      </c>
      <c r="C101" s="421">
        <v>5000</v>
      </c>
      <c r="D101" s="398">
        <f>C101</f>
        <v>5000</v>
      </c>
      <c r="E101" s="398">
        <f>D101</f>
        <v>5000</v>
      </c>
      <c r="F101" s="398">
        <f>E101</f>
        <v>5000</v>
      </c>
    </row>
    <row r="102" spans="1:6" s="38" customFormat="1" x14ac:dyDescent="0.25">
      <c r="A102" s="637" t="s">
        <v>1311</v>
      </c>
      <c r="B102" s="527" t="s">
        <v>148</v>
      </c>
      <c r="C102" s="398">
        <v>10000</v>
      </c>
      <c r="D102" s="398">
        <v>10000</v>
      </c>
      <c r="E102" s="398">
        <v>10000</v>
      </c>
      <c r="F102" s="398">
        <v>10000</v>
      </c>
    </row>
    <row r="103" spans="1:6" s="38" customFormat="1" x14ac:dyDescent="0.25">
      <c r="A103" s="637" t="s">
        <v>1312</v>
      </c>
      <c r="B103" s="527" t="s">
        <v>149</v>
      </c>
      <c r="C103" s="398">
        <v>700</v>
      </c>
      <c r="D103" s="398">
        <v>700</v>
      </c>
      <c r="E103" s="398">
        <v>700</v>
      </c>
      <c r="F103" s="398">
        <v>700</v>
      </c>
    </row>
    <row r="104" spans="1:6" s="38" customFormat="1" x14ac:dyDescent="0.25">
      <c r="A104" s="637" t="s">
        <v>1313</v>
      </c>
      <c r="B104" s="527" t="s">
        <v>150</v>
      </c>
      <c r="C104" s="398">
        <v>1000</v>
      </c>
      <c r="D104" s="398">
        <f>C104</f>
        <v>1000</v>
      </c>
      <c r="E104" s="398">
        <f>D104</f>
        <v>1000</v>
      </c>
      <c r="F104" s="398">
        <f>E104</f>
        <v>1000</v>
      </c>
    </row>
    <row r="105" spans="1:6" s="38" customFormat="1" x14ac:dyDescent="0.25">
      <c r="A105" s="637" t="s">
        <v>1314</v>
      </c>
      <c r="B105" s="480" t="s">
        <v>151</v>
      </c>
      <c r="C105" s="398">
        <v>1100</v>
      </c>
      <c r="D105" s="398">
        <v>1100</v>
      </c>
      <c r="E105" s="398">
        <v>1100</v>
      </c>
      <c r="F105" s="398">
        <v>1100</v>
      </c>
    </row>
    <row r="106" spans="1:6" s="38" customFormat="1" x14ac:dyDescent="0.25">
      <c r="A106" s="637" t="s">
        <v>1315</v>
      </c>
      <c r="B106" s="480" t="s">
        <v>152</v>
      </c>
      <c r="C106" s="398">
        <v>1200</v>
      </c>
      <c r="D106" s="398">
        <v>1200</v>
      </c>
      <c r="E106" s="398">
        <v>1200</v>
      </c>
      <c r="F106" s="398">
        <v>1200</v>
      </c>
    </row>
    <row r="107" spans="1:6" s="38" customFormat="1" ht="25.5" x14ac:dyDescent="0.25">
      <c r="A107" s="637" t="s">
        <v>1316</v>
      </c>
      <c r="B107" s="527" t="s">
        <v>153</v>
      </c>
      <c r="C107" s="398">
        <v>-4000</v>
      </c>
      <c r="D107" s="398">
        <v>-4000</v>
      </c>
      <c r="E107" s="398">
        <v>-4000</v>
      </c>
      <c r="F107" s="398">
        <v>-4000</v>
      </c>
    </row>
    <row r="108" spans="1:6" s="38" customFormat="1" x14ac:dyDescent="0.25">
      <c r="A108" s="637" t="s">
        <v>154</v>
      </c>
      <c r="B108" s="527" t="s">
        <v>155</v>
      </c>
      <c r="C108" s="398">
        <v>100</v>
      </c>
      <c r="D108" s="398">
        <v>100</v>
      </c>
      <c r="E108" s="398">
        <v>100</v>
      </c>
      <c r="F108" s="398">
        <v>100</v>
      </c>
    </row>
    <row r="109" spans="1:6" s="38" customFormat="1" x14ac:dyDescent="0.25">
      <c r="A109" s="637"/>
      <c r="B109" s="527"/>
      <c r="C109" s="398"/>
      <c r="D109" s="398"/>
      <c r="E109" s="398"/>
      <c r="F109" s="398"/>
    </row>
    <row r="110" spans="1:6" s="38" customFormat="1" x14ac:dyDescent="0.25">
      <c r="A110" s="637" t="s">
        <v>1190</v>
      </c>
      <c r="B110" s="82" t="s">
        <v>156</v>
      </c>
      <c r="C110" s="4">
        <f>C96</f>
        <v>2023</v>
      </c>
      <c r="D110" s="4">
        <f>C110+1</f>
        <v>2024</v>
      </c>
      <c r="E110" s="4">
        <f>D110+1</f>
        <v>2025</v>
      </c>
      <c r="F110" s="4">
        <f>E110+1</f>
        <v>2026</v>
      </c>
    </row>
    <row r="111" spans="1:6" s="38" customFormat="1" ht="25.5" x14ac:dyDescent="0.25">
      <c r="A111" s="637" t="s">
        <v>1317</v>
      </c>
      <c r="B111" s="245" t="s">
        <v>157</v>
      </c>
      <c r="C111" s="217">
        <v>1200</v>
      </c>
      <c r="D111" s="217">
        <v>1700</v>
      </c>
      <c r="E111" s="217">
        <v>2100</v>
      </c>
      <c r="F111" s="217">
        <v>2500</v>
      </c>
    </row>
    <row r="112" spans="1:6" s="38" customFormat="1" x14ac:dyDescent="0.25">
      <c r="A112" s="637" t="s">
        <v>1318</v>
      </c>
      <c r="B112" s="480" t="s">
        <v>158</v>
      </c>
      <c r="C112" s="398">
        <v>6550</v>
      </c>
      <c r="D112" s="398">
        <v>9800</v>
      </c>
      <c r="E112" s="398">
        <v>9800</v>
      </c>
      <c r="F112" s="398">
        <v>9800</v>
      </c>
    </row>
    <row r="113" spans="1:6" s="38" customFormat="1" x14ac:dyDescent="0.25">
      <c r="A113" s="637" t="s">
        <v>1404</v>
      </c>
      <c r="B113" s="245" t="s">
        <v>159</v>
      </c>
      <c r="C113" s="217">
        <v>600</v>
      </c>
      <c r="D113" s="217">
        <f>C113</f>
        <v>600</v>
      </c>
      <c r="E113" s="217">
        <f>D113</f>
        <v>600</v>
      </c>
      <c r="F113" s="217">
        <f>E113</f>
        <v>600</v>
      </c>
    </row>
    <row r="114" spans="1:6" s="38" customFormat="1" x14ac:dyDescent="0.25">
      <c r="A114" s="637" t="s">
        <v>1319</v>
      </c>
      <c r="B114" s="245" t="s">
        <v>160</v>
      </c>
      <c r="C114" s="70">
        <f>1530-609</f>
        <v>921</v>
      </c>
      <c r="D114" s="70">
        <f>1530-609</f>
        <v>921</v>
      </c>
      <c r="E114" s="70">
        <f>1530-609</f>
        <v>921</v>
      </c>
      <c r="F114" s="70">
        <f>1530-609</f>
        <v>921</v>
      </c>
    </row>
    <row r="115" spans="1:6" s="38" customFormat="1" x14ac:dyDescent="0.25">
      <c r="A115" s="637" t="s">
        <v>1320</v>
      </c>
      <c r="B115" s="480" t="s">
        <v>161</v>
      </c>
      <c r="C115" s="421">
        <v>1700</v>
      </c>
      <c r="D115" s="421">
        <v>1700</v>
      </c>
      <c r="E115" s="70">
        <v>1700</v>
      </c>
      <c r="F115" s="70">
        <v>1700</v>
      </c>
    </row>
    <row r="116" spans="1:6" s="38" customFormat="1" x14ac:dyDescent="0.25">
      <c r="A116" s="637" t="s">
        <v>1321</v>
      </c>
      <c r="B116" s="245" t="s">
        <v>162</v>
      </c>
      <c r="C116" s="217">
        <v>5000</v>
      </c>
      <c r="D116" s="217">
        <v>5000</v>
      </c>
      <c r="E116" s="217">
        <v>5000</v>
      </c>
      <c r="F116" s="217">
        <v>5000</v>
      </c>
    </row>
    <row r="117" spans="1:6" s="38" customFormat="1" x14ac:dyDescent="0.25">
      <c r="A117" s="637" t="s">
        <v>1322</v>
      </c>
      <c r="B117" s="480" t="s">
        <v>163</v>
      </c>
      <c r="C117" s="398">
        <v>3000</v>
      </c>
      <c r="D117" s="398">
        <v>3000</v>
      </c>
      <c r="E117" s="398">
        <v>3000</v>
      </c>
      <c r="F117" s="398">
        <v>3000</v>
      </c>
    </row>
    <row r="118" spans="1:6" s="38" customFormat="1" x14ac:dyDescent="0.25">
      <c r="A118" s="637" t="s">
        <v>1323</v>
      </c>
      <c r="B118" s="480" t="s">
        <v>164</v>
      </c>
      <c r="C118" s="398">
        <v>3000</v>
      </c>
      <c r="D118" s="398"/>
      <c r="E118" s="398"/>
      <c r="F118" s="398"/>
    </row>
    <row r="119" spans="1:6" s="38" customFormat="1" x14ac:dyDescent="0.25">
      <c r="A119" s="637" t="s">
        <v>1324</v>
      </c>
      <c r="B119" s="480" t="s">
        <v>165</v>
      </c>
      <c r="C119" s="398">
        <v>6100</v>
      </c>
      <c r="D119" s="398">
        <v>6100</v>
      </c>
      <c r="E119" s="398">
        <v>6100</v>
      </c>
      <c r="F119" s="398">
        <v>6100</v>
      </c>
    </row>
    <row r="120" spans="1:6" s="38" customFormat="1" x14ac:dyDescent="0.25">
      <c r="A120" s="637" t="s">
        <v>166</v>
      </c>
      <c r="B120" s="480" t="s">
        <v>167</v>
      </c>
      <c r="C120" s="398">
        <v>1000</v>
      </c>
      <c r="D120" s="398">
        <v>2000</v>
      </c>
      <c r="E120" s="398">
        <v>2000</v>
      </c>
      <c r="F120" s="398">
        <v>2000</v>
      </c>
    </row>
    <row r="121" spans="1:6" s="38" customFormat="1" x14ac:dyDescent="0.25">
      <c r="A121" s="637" t="s">
        <v>168</v>
      </c>
      <c r="B121" s="480" t="s">
        <v>169</v>
      </c>
      <c r="C121" s="398">
        <v>1800</v>
      </c>
      <c r="D121" s="398">
        <v>2700</v>
      </c>
      <c r="E121" s="398">
        <v>2700</v>
      </c>
      <c r="F121" s="398">
        <v>2700</v>
      </c>
    </row>
    <row r="122" spans="1:6" s="38" customFormat="1" x14ac:dyDescent="0.25">
      <c r="A122" s="637" t="s">
        <v>170</v>
      </c>
      <c r="B122" s="527" t="s">
        <v>171</v>
      </c>
      <c r="C122" s="398">
        <v>700</v>
      </c>
      <c r="D122" s="398">
        <v>700</v>
      </c>
      <c r="E122" s="398">
        <v>700</v>
      </c>
      <c r="F122" s="398">
        <v>700</v>
      </c>
    </row>
    <row r="123" spans="1:6" s="38" customFormat="1" x14ac:dyDescent="0.25">
      <c r="A123" s="637" t="s">
        <v>1190</v>
      </c>
      <c r="B123" s="640"/>
      <c r="C123" s="643">
        <f>C110</f>
        <v>2023</v>
      </c>
      <c r="D123" s="643">
        <f>C123+1</f>
        <v>2024</v>
      </c>
      <c r="E123" s="643">
        <f>D123+1</f>
        <v>2025</v>
      </c>
      <c r="F123" s="643">
        <f>E123+1</f>
        <v>2026</v>
      </c>
    </row>
    <row r="124" spans="1:6" s="38" customFormat="1" x14ac:dyDescent="0.25">
      <c r="A124" s="637"/>
      <c r="B124" s="82" t="s">
        <v>172</v>
      </c>
      <c r="C124" s="4">
        <v>2023</v>
      </c>
      <c r="D124" s="4">
        <v>2024</v>
      </c>
      <c r="E124" s="4">
        <v>2025</v>
      </c>
      <c r="F124" s="4">
        <v>2026</v>
      </c>
    </row>
    <row r="125" spans="1:6" s="38" customFormat="1" x14ac:dyDescent="0.25">
      <c r="A125" s="637" t="s">
        <v>1325</v>
      </c>
      <c r="B125" s="480" t="s">
        <v>173</v>
      </c>
      <c r="C125" s="398">
        <v>-6879</v>
      </c>
      <c r="D125" s="398">
        <v>-5056</v>
      </c>
      <c r="E125" s="398">
        <v>705</v>
      </c>
      <c r="F125" s="398">
        <v>2528</v>
      </c>
    </row>
    <row r="126" spans="1:6" s="38" customFormat="1" x14ac:dyDescent="0.25">
      <c r="A126" s="637" t="s">
        <v>1326</v>
      </c>
      <c r="B126" s="480" t="s">
        <v>174</v>
      </c>
      <c r="C126" s="398">
        <v>39000</v>
      </c>
      <c r="D126" s="398">
        <v>20000</v>
      </c>
      <c r="E126" s="398">
        <v>5000</v>
      </c>
      <c r="F126" s="398">
        <v>5000</v>
      </c>
    </row>
    <row r="127" spans="1:6" s="38" customFormat="1" x14ac:dyDescent="0.25">
      <c r="A127" s="637" t="s">
        <v>1327</v>
      </c>
      <c r="B127" s="480" t="s">
        <v>175</v>
      </c>
      <c r="C127" s="398">
        <v>18000</v>
      </c>
      <c r="D127" s="398">
        <v>18000</v>
      </c>
      <c r="E127" s="398">
        <v>18000</v>
      </c>
      <c r="F127" s="398">
        <v>18000</v>
      </c>
    </row>
    <row r="128" spans="1:6" s="38" customFormat="1" x14ac:dyDescent="0.25">
      <c r="A128" s="637" t="s">
        <v>1405</v>
      </c>
      <c r="B128" s="480" t="s">
        <v>176</v>
      </c>
      <c r="C128" s="398">
        <v>1400</v>
      </c>
      <c r="D128" s="398">
        <v>1400</v>
      </c>
      <c r="E128" s="398"/>
      <c r="F128" s="398"/>
    </row>
    <row r="129" spans="1:6" s="38" customFormat="1" x14ac:dyDescent="0.25">
      <c r="A129" s="637" t="s">
        <v>1406</v>
      </c>
      <c r="B129" s="480" t="s">
        <v>177</v>
      </c>
      <c r="C129" s="398">
        <v>2700</v>
      </c>
      <c r="D129" s="398">
        <v>2700</v>
      </c>
      <c r="E129" s="398"/>
      <c r="F129" s="398"/>
    </row>
    <row r="130" spans="1:6" s="38" customFormat="1" x14ac:dyDescent="0.25">
      <c r="A130" s="637" t="s">
        <v>1407</v>
      </c>
      <c r="B130" s="480" t="s">
        <v>178</v>
      </c>
      <c r="C130" s="398">
        <f>6400+1000-3200</f>
        <v>4200</v>
      </c>
      <c r="D130" s="398">
        <f>6400+1000-3200</f>
        <v>4200</v>
      </c>
      <c r="E130" s="398"/>
      <c r="F130" s="398"/>
    </row>
    <row r="131" spans="1:6" s="38" customFormat="1" x14ac:dyDescent="0.25">
      <c r="A131" s="637"/>
      <c r="B131" s="480"/>
      <c r="C131" s="398"/>
      <c r="D131" s="398"/>
      <c r="E131" s="398"/>
      <c r="F131" s="398"/>
    </row>
    <row r="132" spans="1:6" s="38" customFormat="1" x14ac:dyDescent="0.25">
      <c r="A132" s="637" t="s">
        <v>1190</v>
      </c>
      <c r="B132" s="82" t="s">
        <v>179</v>
      </c>
      <c r="C132" s="4">
        <f>C123</f>
        <v>2023</v>
      </c>
      <c r="D132" s="4">
        <f>C132+1</f>
        <v>2024</v>
      </c>
      <c r="E132" s="4">
        <f>D132+1</f>
        <v>2025</v>
      </c>
      <c r="F132" s="4">
        <f>E132+1</f>
        <v>2026</v>
      </c>
    </row>
    <row r="133" spans="1:6" s="38" customFormat="1" x14ac:dyDescent="0.25">
      <c r="A133" s="637" t="s">
        <v>1328</v>
      </c>
      <c r="B133" s="245" t="s">
        <v>180</v>
      </c>
      <c r="C133" s="70">
        <v>0</v>
      </c>
      <c r="D133" s="70">
        <v>1000</v>
      </c>
      <c r="E133" s="70">
        <v>12000</v>
      </c>
      <c r="F133" s="191">
        <v>12000</v>
      </c>
    </row>
    <row r="134" spans="1:6" s="38" customFormat="1" x14ac:dyDescent="0.25">
      <c r="A134" s="637" t="s">
        <v>1329</v>
      </c>
      <c r="B134" s="245" t="s">
        <v>181</v>
      </c>
      <c r="C134" s="191">
        <v>0</v>
      </c>
      <c r="D134" s="191">
        <v>-4000</v>
      </c>
      <c r="E134" s="191">
        <v>-6000</v>
      </c>
      <c r="F134" s="191">
        <v>-6000</v>
      </c>
    </row>
    <row r="135" spans="1:6" s="38" customFormat="1" x14ac:dyDescent="0.25">
      <c r="A135" s="637"/>
      <c r="B135" s="245"/>
      <c r="C135" s="282"/>
      <c r="D135" s="282"/>
      <c r="E135" s="282"/>
      <c r="F135" s="282"/>
    </row>
    <row r="136" spans="1:6" s="38" customFormat="1" x14ac:dyDescent="0.25">
      <c r="A136" s="43"/>
      <c r="B136" s="3" t="s">
        <v>182</v>
      </c>
      <c r="C136" s="56">
        <v>124992</v>
      </c>
      <c r="D136" s="56">
        <v>110365</v>
      </c>
      <c r="E136" s="56">
        <v>113126</v>
      </c>
      <c r="F136" s="56">
        <v>118849</v>
      </c>
    </row>
    <row r="137" spans="1:6" s="38" customFormat="1" x14ac:dyDescent="0.25">
      <c r="A137" s="637"/>
      <c r="B137" s="11"/>
      <c r="C137" s="57"/>
      <c r="D137" s="57"/>
      <c r="E137" s="57"/>
      <c r="F137" s="57"/>
    </row>
    <row r="138" spans="1:6" s="38" customFormat="1" x14ac:dyDescent="0.25">
      <c r="A138" s="637"/>
      <c r="B138" s="13" t="s">
        <v>183</v>
      </c>
      <c r="C138" s="58"/>
      <c r="D138" s="58"/>
      <c r="E138" s="58"/>
      <c r="F138" s="58"/>
    </row>
    <row r="139" spans="1:6" s="38" customFormat="1" x14ac:dyDescent="0.25">
      <c r="A139" s="637" t="s">
        <v>1190</v>
      </c>
      <c r="B139" s="82" t="s">
        <v>185</v>
      </c>
      <c r="C139" s="4">
        <v>2023</v>
      </c>
      <c r="D139" s="4">
        <v>2024</v>
      </c>
      <c r="E139" s="4">
        <v>2025</v>
      </c>
      <c r="F139" s="4">
        <v>2026</v>
      </c>
    </row>
    <row r="140" spans="1:6" s="38" customFormat="1" x14ac:dyDescent="0.25">
      <c r="A140" s="637" t="s">
        <v>1330</v>
      </c>
      <c r="B140" s="213" t="s">
        <v>187</v>
      </c>
      <c r="C140" s="70"/>
      <c r="D140" s="70">
        <v>-100</v>
      </c>
      <c r="E140" s="70">
        <v>-100</v>
      </c>
      <c r="F140" s="70">
        <v>-100</v>
      </c>
    </row>
    <row r="141" spans="1:6" s="38" customFormat="1" ht="25.5" x14ac:dyDescent="0.25">
      <c r="A141" s="637" t="s">
        <v>1331</v>
      </c>
      <c r="B141" s="212" t="s">
        <v>188</v>
      </c>
      <c r="C141" s="191">
        <v>750</v>
      </c>
      <c r="D141" s="191">
        <v>750</v>
      </c>
      <c r="E141" s="191">
        <v>750</v>
      </c>
      <c r="F141" s="191">
        <v>750</v>
      </c>
    </row>
    <row r="142" spans="1:6" s="38" customFormat="1" ht="25.5" x14ac:dyDescent="0.2">
      <c r="A142" s="637" t="s">
        <v>1332</v>
      </c>
      <c r="B142" s="623" t="s">
        <v>189</v>
      </c>
      <c r="C142" s="191">
        <v>-750</v>
      </c>
      <c r="D142" s="191">
        <v>-750</v>
      </c>
      <c r="E142" s="191"/>
      <c r="F142" s="191"/>
    </row>
    <row r="143" spans="1:6" s="38" customFormat="1" ht="25.5" x14ac:dyDescent="0.2">
      <c r="A143" s="637" t="s">
        <v>1333</v>
      </c>
      <c r="B143" s="644" t="s">
        <v>190</v>
      </c>
      <c r="C143" s="255">
        <v>136</v>
      </c>
      <c r="D143" s="255">
        <v>136</v>
      </c>
      <c r="E143" s="255">
        <v>136</v>
      </c>
      <c r="F143" s="255">
        <v>136</v>
      </c>
    </row>
    <row r="144" spans="1:6" s="38" customFormat="1" x14ac:dyDescent="0.25">
      <c r="A144" s="637" t="s">
        <v>191</v>
      </c>
      <c r="B144" s="527" t="s">
        <v>192</v>
      </c>
      <c r="C144" s="398">
        <v>500</v>
      </c>
      <c r="D144" s="398">
        <v>500</v>
      </c>
      <c r="E144" s="398">
        <v>500</v>
      </c>
      <c r="F144" s="398">
        <v>500</v>
      </c>
    </row>
    <row r="145" spans="1:6" s="38" customFormat="1" x14ac:dyDescent="0.25">
      <c r="A145" s="637" t="s">
        <v>193</v>
      </c>
      <c r="B145" s="527" t="s">
        <v>194</v>
      </c>
      <c r="C145" s="398">
        <v>500</v>
      </c>
      <c r="D145" s="398">
        <v>500</v>
      </c>
      <c r="E145" s="398">
        <v>500</v>
      </c>
      <c r="F145" s="398">
        <v>500</v>
      </c>
    </row>
    <row r="146" spans="1:6" s="38" customFormat="1" x14ac:dyDescent="0.25">
      <c r="A146" s="637" t="s">
        <v>195</v>
      </c>
      <c r="B146" s="527" t="s">
        <v>196</v>
      </c>
      <c r="C146" s="398">
        <v>10</v>
      </c>
      <c r="D146" s="398">
        <v>10</v>
      </c>
      <c r="E146" s="398">
        <v>10</v>
      </c>
      <c r="F146" s="398">
        <v>10</v>
      </c>
    </row>
    <row r="147" spans="1:6" s="38" customFormat="1" x14ac:dyDescent="0.25">
      <c r="A147" s="637" t="s">
        <v>197</v>
      </c>
      <c r="B147" s="527" t="s">
        <v>198</v>
      </c>
      <c r="C147" s="398">
        <v>40</v>
      </c>
      <c r="D147" s="398">
        <v>40</v>
      </c>
      <c r="E147" s="398">
        <v>40</v>
      </c>
      <c r="F147" s="398">
        <v>40</v>
      </c>
    </row>
    <row r="148" spans="1:6" s="38" customFormat="1" x14ac:dyDescent="0.25">
      <c r="A148" s="637" t="s">
        <v>199</v>
      </c>
      <c r="B148" s="527" t="s">
        <v>200</v>
      </c>
      <c r="C148" s="398">
        <v>50</v>
      </c>
      <c r="D148" s="398">
        <v>50</v>
      </c>
      <c r="E148" s="398">
        <v>50</v>
      </c>
      <c r="F148" s="398">
        <v>50</v>
      </c>
    </row>
    <row r="149" spans="1:6" s="38" customFormat="1" x14ac:dyDescent="0.25">
      <c r="A149" s="637" t="s">
        <v>201</v>
      </c>
      <c r="B149" s="527" t="s">
        <v>202</v>
      </c>
      <c r="C149" s="398">
        <v>200</v>
      </c>
      <c r="D149" s="398"/>
      <c r="E149" s="398"/>
      <c r="F149" s="398"/>
    </row>
    <row r="150" spans="1:6" s="38" customFormat="1" x14ac:dyDescent="0.25">
      <c r="A150" s="637"/>
      <c r="B150" s="527"/>
      <c r="C150" s="398"/>
      <c r="D150" s="398"/>
      <c r="E150" s="398"/>
      <c r="F150" s="398"/>
    </row>
    <row r="151" spans="1:6" s="38" customFormat="1" x14ac:dyDescent="0.25">
      <c r="A151" s="43"/>
      <c r="B151" s="3" t="s">
        <v>203</v>
      </c>
      <c r="C151" s="56">
        <v>1436</v>
      </c>
      <c r="D151" s="56">
        <v>1136</v>
      </c>
      <c r="E151" s="56">
        <v>1886</v>
      </c>
      <c r="F151" s="56">
        <v>1886</v>
      </c>
    </row>
    <row r="152" spans="1:6" s="38" customFormat="1" x14ac:dyDescent="0.25">
      <c r="A152" s="637"/>
      <c r="B152" s="11"/>
      <c r="C152" s="57"/>
      <c r="D152" s="57"/>
      <c r="E152" s="57"/>
      <c r="F152" s="57"/>
    </row>
    <row r="153" spans="1:6" s="38" customFormat="1" x14ac:dyDescent="0.25">
      <c r="A153" s="637"/>
      <c r="B153" s="13" t="s">
        <v>204</v>
      </c>
      <c r="C153" s="643"/>
      <c r="D153" s="643"/>
      <c r="E153" s="643"/>
      <c r="F153" s="643"/>
    </row>
    <row r="154" spans="1:6" s="38" customFormat="1" x14ac:dyDescent="0.25">
      <c r="A154" s="637"/>
      <c r="B154" s="82" t="s">
        <v>205</v>
      </c>
      <c r="C154" s="4">
        <v>2023</v>
      </c>
      <c r="D154" s="4">
        <v>2024</v>
      </c>
      <c r="E154" s="4">
        <v>2025</v>
      </c>
      <c r="F154" s="4">
        <v>2026</v>
      </c>
    </row>
    <row r="155" spans="1:6" s="38" customFormat="1" ht="25.5" x14ac:dyDescent="0.25">
      <c r="A155" s="637" t="s">
        <v>1334</v>
      </c>
      <c r="B155" s="212" t="s">
        <v>207</v>
      </c>
      <c r="C155" s="217"/>
      <c r="D155" s="217">
        <v>1000</v>
      </c>
      <c r="E155" s="217">
        <v>1000</v>
      </c>
      <c r="F155" s="217">
        <v>1000</v>
      </c>
    </row>
    <row r="156" spans="1:6" s="38" customFormat="1" x14ac:dyDescent="0.25">
      <c r="A156" s="637" t="s">
        <v>1335</v>
      </c>
      <c r="B156" s="212" t="s">
        <v>208</v>
      </c>
      <c r="C156" s="217">
        <v>150</v>
      </c>
      <c r="D156" s="217">
        <v>150</v>
      </c>
      <c r="E156" s="217">
        <v>150</v>
      </c>
      <c r="F156" s="217">
        <v>150</v>
      </c>
    </row>
    <row r="157" spans="1:6" s="38" customFormat="1" x14ac:dyDescent="0.25">
      <c r="A157" s="637"/>
      <c r="B157" s="212"/>
      <c r="C157" s="217"/>
      <c r="D157" s="217"/>
      <c r="E157" s="217"/>
      <c r="F157" s="217"/>
    </row>
    <row r="158" spans="1:6" s="38" customFormat="1" x14ac:dyDescent="0.25">
      <c r="A158" s="637" t="s">
        <v>1190</v>
      </c>
      <c r="B158" s="82" t="s">
        <v>209</v>
      </c>
      <c r="C158" s="4">
        <f>C154</f>
        <v>2023</v>
      </c>
      <c r="D158" s="4">
        <f>C158+1</f>
        <v>2024</v>
      </c>
      <c r="E158" s="4">
        <f>D158+1</f>
        <v>2025</v>
      </c>
      <c r="F158" s="4">
        <f>E158+1</f>
        <v>2026</v>
      </c>
    </row>
    <row r="159" spans="1:6" s="38" customFormat="1" x14ac:dyDescent="0.25">
      <c r="A159" s="637" t="s">
        <v>1336</v>
      </c>
      <c r="B159" s="344" t="s">
        <v>210</v>
      </c>
      <c r="C159" s="217">
        <v>15000</v>
      </c>
      <c r="D159" s="217">
        <v>6000</v>
      </c>
      <c r="E159" s="217"/>
      <c r="F159" s="217"/>
    </row>
    <row r="160" spans="1:6" s="38" customFormat="1" x14ac:dyDescent="0.25">
      <c r="A160" s="637" t="s">
        <v>1337</v>
      </c>
      <c r="B160" s="344" t="s">
        <v>211</v>
      </c>
      <c r="C160" s="217">
        <v>450</v>
      </c>
      <c r="D160" s="217"/>
      <c r="E160" s="217"/>
      <c r="F160" s="217"/>
    </row>
    <row r="161" spans="1:6" s="38" customFormat="1" x14ac:dyDescent="0.25">
      <c r="A161" s="637"/>
      <c r="B161" s="344"/>
      <c r="C161" s="217"/>
      <c r="D161" s="217"/>
      <c r="E161" s="217"/>
      <c r="F161" s="217"/>
    </row>
    <row r="162" spans="1:6" s="38" customFormat="1" x14ac:dyDescent="0.25">
      <c r="A162" s="637" t="s">
        <v>1190</v>
      </c>
      <c r="B162" s="82" t="s">
        <v>213</v>
      </c>
      <c r="C162" s="4">
        <f>C158</f>
        <v>2023</v>
      </c>
      <c r="D162" s="4">
        <f>C162+1</f>
        <v>2024</v>
      </c>
      <c r="E162" s="4">
        <f>D162+1</f>
        <v>2025</v>
      </c>
      <c r="F162" s="4">
        <f>E162+1</f>
        <v>2026</v>
      </c>
    </row>
    <row r="163" spans="1:6" s="38" customFormat="1" ht="25.5" x14ac:dyDescent="0.25">
      <c r="A163" s="637" t="s">
        <v>1338</v>
      </c>
      <c r="B163" s="212" t="s">
        <v>214</v>
      </c>
      <c r="C163" s="546">
        <v>75</v>
      </c>
      <c r="D163" s="546">
        <v>75</v>
      </c>
      <c r="E163" s="546">
        <v>75</v>
      </c>
      <c r="F163" s="546">
        <v>75</v>
      </c>
    </row>
    <row r="164" spans="1:6" s="38" customFormat="1" x14ac:dyDescent="0.25">
      <c r="A164" s="637" t="s">
        <v>1339</v>
      </c>
      <c r="B164" s="212" t="s">
        <v>215</v>
      </c>
      <c r="C164" s="546"/>
      <c r="D164" s="546">
        <v>-300</v>
      </c>
      <c r="E164" s="546">
        <v>-300</v>
      </c>
      <c r="F164" s="546">
        <v>-300</v>
      </c>
    </row>
    <row r="165" spans="1:6" s="38" customFormat="1" x14ac:dyDescent="0.25">
      <c r="A165" s="637" t="s">
        <v>1340</v>
      </c>
      <c r="B165" s="212" t="s">
        <v>216</v>
      </c>
      <c r="C165" s="546"/>
      <c r="D165" s="546">
        <v>-500</v>
      </c>
      <c r="E165" s="546">
        <v>-500</v>
      </c>
      <c r="F165" s="546">
        <v>-500</v>
      </c>
    </row>
    <row r="166" spans="1:6" s="38" customFormat="1" x14ac:dyDescent="0.25">
      <c r="A166" s="637" t="s">
        <v>1341</v>
      </c>
      <c r="B166" s="212" t="s">
        <v>217</v>
      </c>
      <c r="C166" s="546">
        <v>-1437</v>
      </c>
      <c r="D166" s="546">
        <v>-1437</v>
      </c>
      <c r="E166" s="546">
        <v>-1437</v>
      </c>
      <c r="F166" s="546">
        <v>-1437</v>
      </c>
    </row>
    <row r="167" spans="1:6" s="38" customFormat="1" x14ac:dyDescent="0.25">
      <c r="A167" s="637" t="s">
        <v>1342</v>
      </c>
      <c r="B167" s="645" t="s">
        <v>218</v>
      </c>
      <c r="C167" s="642">
        <v>1300</v>
      </c>
      <c r="D167" s="642">
        <v>1300</v>
      </c>
      <c r="E167" s="642">
        <v>1300</v>
      </c>
      <c r="F167" s="642">
        <v>1300</v>
      </c>
    </row>
    <row r="168" spans="1:6" s="38" customFormat="1" x14ac:dyDescent="0.25">
      <c r="A168" s="637" t="s">
        <v>1408</v>
      </c>
      <c r="B168" s="527" t="s">
        <v>219</v>
      </c>
      <c r="C168" s="398">
        <v>500</v>
      </c>
      <c r="D168" s="398">
        <v>500</v>
      </c>
      <c r="E168" s="398">
        <v>500</v>
      </c>
      <c r="F168" s="398">
        <v>500</v>
      </c>
    </row>
    <row r="169" spans="1:6" s="38" customFormat="1" x14ac:dyDescent="0.25">
      <c r="A169" s="637" t="s">
        <v>220</v>
      </c>
      <c r="B169" s="527" t="s">
        <v>221</v>
      </c>
      <c r="C169" s="398">
        <v>350</v>
      </c>
      <c r="D169" s="398">
        <v>350</v>
      </c>
      <c r="E169" s="398">
        <v>350</v>
      </c>
      <c r="F169" s="398">
        <v>350</v>
      </c>
    </row>
    <row r="170" spans="1:6" s="38" customFormat="1" x14ac:dyDescent="0.25">
      <c r="A170" s="637" t="s">
        <v>222</v>
      </c>
      <c r="B170" s="527" t="s">
        <v>223</v>
      </c>
      <c r="C170" s="398">
        <v>4000</v>
      </c>
      <c r="D170" s="398"/>
      <c r="E170" s="398"/>
      <c r="F170" s="398"/>
    </row>
    <row r="171" spans="1:6" s="640" customFormat="1" x14ac:dyDescent="0.25">
      <c r="A171" s="639"/>
      <c r="B171" s="527"/>
      <c r="C171" s="398"/>
      <c r="D171" s="398"/>
      <c r="E171" s="398"/>
      <c r="F171" s="398"/>
    </row>
    <row r="172" spans="1:6" s="38" customFormat="1" x14ac:dyDescent="0.25">
      <c r="A172" s="637" t="s">
        <v>1190</v>
      </c>
      <c r="B172" s="82" t="s">
        <v>224</v>
      </c>
      <c r="C172" s="4">
        <f>+C162</f>
        <v>2023</v>
      </c>
      <c r="D172" s="4">
        <f>C172+1</f>
        <v>2024</v>
      </c>
      <c r="E172" s="4">
        <f>D172+1</f>
        <v>2025</v>
      </c>
      <c r="F172" s="4">
        <f>E172+1</f>
        <v>2026</v>
      </c>
    </row>
    <row r="173" spans="1:6" s="38" customFormat="1" x14ac:dyDescent="0.25">
      <c r="A173" s="637" t="s">
        <v>1409</v>
      </c>
      <c r="B173" s="212" t="s">
        <v>225</v>
      </c>
      <c r="C173" s="546">
        <v>1300</v>
      </c>
      <c r="D173" s="546">
        <v>1300</v>
      </c>
      <c r="E173" s="546">
        <v>600</v>
      </c>
      <c r="F173" s="546">
        <v>500</v>
      </c>
    </row>
    <row r="174" spans="1:6" s="38" customFormat="1" x14ac:dyDescent="0.25">
      <c r="A174" s="637" t="s">
        <v>1410</v>
      </c>
      <c r="B174" s="212" t="s">
        <v>226</v>
      </c>
      <c r="C174" s="546">
        <v>250</v>
      </c>
      <c r="D174" s="546">
        <v>250</v>
      </c>
      <c r="E174" s="546">
        <v>250</v>
      </c>
      <c r="F174" s="546">
        <v>250</v>
      </c>
    </row>
    <row r="175" spans="1:6" s="38" customFormat="1" x14ac:dyDescent="0.25">
      <c r="A175" s="637" t="s">
        <v>1411</v>
      </c>
      <c r="B175" s="212" t="s">
        <v>227</v>
      </c>
      <c r="C175" s="546">
        <v>150</v>
      </c>
      <c r="D175" s="546">
        <v>150</v>
      </c>
      <c r="E175" s="546">
        <v>150</v>
      </c>
      <c r="F175" s="546">
        <v>150</v>
      </c>
    </row>
    <row r="176" spans="1:6" s="38" customFormat="1" x14ac:dyDescent="0.25">
      <c r="A176" s="637"/>
      <c r="B176" s="212"/>
      <c r="C176" s="546"/>
      <c r="D176" s="546"/>
      <c r="E176" s="546"/>
      <c r="F176" s="546"/>
    </row>
    <row r="177" spans="1:6" s="38" customFormat="1" x14ac:dyDescent="0.25">
      <c r="A177" s="637" t="s">
        <v>1190</v>
      </c>
      <c r="B177" s="82" t="s">
        <v>228</v>
      </c>
      <c r="C177" s="4">
        <f>+C172</f>
        <v>2023</v>
      </c>
      <c r="D177" s="4">
        <f>C177+1</f>
        <v>2024</v>
      </c>
      <c r="E177" s="4">
        <f>D177+1</f>
        <v>2025</v>
      </c>
      <c r="F177" s="4">
        <f>E177+1</f>
        <v>2026</v>
      </c>
    </row>
    <row r="178" spans="1:6" s="38" customFormat="1" x14ac:dyDescent="0.25">
      <c r="A178" s="637" t="s">
        <v>1343</v>
      </c>
      <c r="B178" s="385" t="s">
        <v>229</v>
      </c>
      <c r="C178" s="626">
        <v>1000</v>
      </c>
      <c r="D178" s="626">
        <v>1000</v>
      </c>
      <c r="E178" s="626">
        <v>1000</v>
      </c>
      <c r="F178" s="626">
        <v>1000</v>
      </c>
    </row>
    <row r="179" spans="1:6" s="38" customFormat="1" x14ac:dyDescent="0.25">
      <c r="A179" s="637"/>
      <c r="B179" s="212"/>
      <c r="C179" s="217"/>
      <c r="D179" s="217"/>
      <c r="E179" s="217"/>
      <c r="F179" s="217"/>
    </row>
    <row r="180" spans="1:6" s="38" customFormat="1" x14ac:dyDescent="0.25">
      <c r="A180" s="43"/>
      <c r="B180" s="3" t="s">
        <v>230</v>
      </c>
      <c r="C180" s="56">
        <v>23088</v>
      </c>
      <c r="D180" s="56">
        <v>9838</v>
      </c>
      <c r="E180" s="56">
        <v>3138</v>
      </c>
      <c r="F180" s="56">
        <v>3038</v>
      </c>
    </row>
    <row r="181" spans="1:6" s="38" customFormat="1" x14ac:dyDescent="0.25">
      <c r="A181" s="637"/>
      <c r="B181"/>
      <c r="C181"/>
      <c r="D181"/>
      <c r="E181"/>
      <c r="F181"/>
    </row>
    <row r="182" spans="1:6" s="38" customFormat="1" x14ac:dyDescent="0.25">
      <c r="A182" s="637"/>
      <c r="B182" s="208" t="s">
        <v>231</v>
      </c>
      <c r="C182" s="4">
        <f>C162</f>
        <v>2023</v>
      </c>
      <c r="D182" s="4">
        <f>C182+1</f>
        <v>2024</v>
      </c>
      <c r="E182" s="4">
        <f>D182+1</f>
        <v>2025</v>
      </c>
      <c r="F182" s="4">
        <f>E182+1</f>
        <v>2026</v>
      </c>
    </row>
    <row r="183" spans="1:6" s="38" customFormat="1" x14ac:dyDescent="0.25">
      <c r="A183" s="637" t="s">
        <v>1344</v>
      </c>
      <c r="B183" s="84" t="s">
        <v>233</v>
      </c>
      <c r="C183" s="70"/>
      <c r="D183" s="70">
        <v>5000</v>
      </c>
      <c r="E183" s="70">
        <v>10000</v>
      </c>
      <c r="F183" s="70">
        <v>10000</v>
      </c>
    </row>
    <row r="184" spans="1:6" s="38" customFormat="1" x14ac:dyDescent="0.25">
      <c r="A184" s="637" t="s">
        <v>1345</v>
      </c>
      <c r="B184" s="84" t="s">
        <v>234</v>
      </c>
      <c r="C184" s="70"/>
      <c r="D184" s="70">
        <v>-6400</v>
      </c>
      <c r="E184" s="70">
        <v>-6400</v>
      </c>
      <c r="F184" s="70">
        <v>-6400</v>
      </c>
    </row>
    <row r="185" spans="1:6" s="38" customFormat="1" x14ac:dyDescent="0.25">
      <c r="A185" s="637" t="s">
        <v>1346</v>
      </c>
      <c r="B185" s="84" t="s">
        <v>235</v>
      </c>
      <c r="C185" s="70">
        <v>700</v>
      </c>
      <c r="D185" s="70">
        <v>700</v>
      </c>
      <c r="E185" s="70">
        <v>700</v>
      </c>
      <c r="F185" s="70">
        <v>700</v>
      </c>
    </row>
    <row r="186" spans="1:6" s="38" customFormat="1" ht="25.5" x14ac:dyDescent="0.25">
      <c r="A186" s="637" t="s">
        <v>1347</v>
      </c>
      <c r="B186" s="84" t="s">
        <v>236</v>
      </c>
      <c r="C186" s="70">
        <v>-700</v>
      </c>
      <c r="D186" s="70"/>
      <c r="E186" s="70"/>
      <c r="F186" s="70"/>
    </row>
    <row r="187" spans="1:6" s="38" customFormat="1" x14ac:dyDescent="0.25">
      <c r="A187" s="637" t="s">
        <v>1348</v>
      </c>
      <c r="B187" s="84" t="s">
        <v>237</v>
      </c>
      <c r="C187" s="70">
        <v>1200</v>
      </c>
      <c r="D187" s="70">
        <v>1200</v>
      </c>
      <c r="E187" s="70">
        <v>1200</v>
      </c>
      <c r="F187" s="70">
        <v>1200</v>
      </c>
    </row>
    <row r="188" spans="1:6" s="38" customFormat="1" x14ac:dyDescent="0.25">
      <c r="A188" s="637" t="s">
        <v>1349</v>
      </c>
      <c r="B188" s="344" t="s">
        <v>238</v>
      </c>
      <c r="C188" s="217">
        <v>1000</v>
      </c>
      <c r="D188" s="217">
        <v>1000</v>
      </c>
      <c r="E188" s="217"/>
      <c r="F188" s="217"/>
    </row>
    <row r="189" spans="1:6" s="38" customFormat="1" x14ac:dyDescent="0.25">
      <c r="A189" s="637" t="s">
        <v>1350</v>
      </c>
      <c r="B189" s="344" t="s">
        <v>239</v>
      </c>
      <c r="C189" s="217">
        <v>-1000</v>
      </c>
      <c r="D189" s="217">
        <v>-1000</v>
      </c>
      <c r="E189" s="217"/>
      <c r="F189" s="217"/>
    </row>
    <row r="190" spans="1:6" s="38" customFormat="1" x14ac:dyDescent="0.25">
      <c r="A190" s="637"/>
      <c r="B190" s="344"/>
      <c r="C190" s="217"/>
      <c r="D190" s="217"/>
      <c r="E190" s="217"/>
      <c r="F190" s="217"/>
    </row>
    <row r="191" spans="1:6" s="38" customFormat="1" x14ac:dyDescent="0.25">
      <c r="A191" s="43"/>
      <c r="B191" s="3" t="s">
        <v>240</v>
      </c>
      <c r="C191" s="56">
        <v>1200</v>
      </c>
      <c r="D191" s="56">
        <v>500</v>
      </c>
      <c r="E191" s="56">
        <v>5500</v>
      </c>
      <c r="F191" s="56">
        <v>5500</v>
      </c>
    </row>
    <row r="192" spans="1:6" s="38" customFormat="1" x14ac:dyDescent="0.25">
      <c r="A192" s="637"/>
      <c r="B192" s="11"/>
      <c r="C192" s="57"/>
      <c r="D192" s="57"/>
      <c r="E192" s="57"/>
      <c r="F192" s="57"/>
    </row>
    <row r="193" spans="1:6" s="38" customFormat="1" x14ac:dyDescent="0.25">
      <c r="A193" s="637"/>
      <c r="B193" s="13" t="s">
        <v>241</v>
      </c>
      <c r="C193" s="4">
        <f>C182</f>
        <v>2023</v>
      </c>
      <c r="D193" s="4">
        <f>C193+1</f>
        <v>2024</v>
      </c>
      <c r="E193" s="4">
        <f>D193+1</f>
        <v>2025</v>
      </c>
      <c r="F193" s="4">
        <f>E193+1</f>
        <v>2026</v>
      </c>
    </row>
    <row r="194" spans="1:6" s="38" customFormat="1" x14ac:dyDescent="0.25">
      <c r="A194" s="637" t="s">
        <v>1351</v>
      </c>
      <c r="B194" s="346" t="s">
        <v>243</v>
      </c>
      <c r="C194" s="70">
        <v>1400</v>
      </c>
      <c r="D194" s="70">
        <v>1400</v>
      </c>
      <c r="E194" s="70">
        <v>1400</v>
      </c>
      <c r="F194" s="70">
        <v>1400</v>
      </c>
    </row>
    <row r="195" spans="1:6" s="38" customFormat="1" x14ac:dyDescent="0.25">
      <c r="A195" s="637" t="s">
        <v>1352</v>
      </c>
      <c r="B195" s="346" t="s">
        <v>244</v>
      </c>
      <c r="C195" s="70">
        <v>-1400</v>
      </c>
      <c r="D195" s="70">
        <v>-1400</v>
      </c>
      <c r="E195" s="70"/>
      <c r="F195" s="70"/>
    </row>
    <row r="196" spans="1:6" s="38" customFormat="1" x14ac:dyDescent="0.25">
      <c r="A196" s="637" t="s">
        <v>1353</v>
      </c>
      <c r="B196" s="347" t="s">
        <v>245</v>
      </c>
      <c r="C196" s="70">
        <f>1600-1600</f>
        <v>0</v>
      </c>
      <c r="D196" s="70">
        <v>1600</v>
      </c>
      <c r="E196" s="70">
        <v>1600</v>
      </c>
      <c r="F196" s="70">
        <v>1600</v>
      </c>
    </row>
    <row r="197" spans="1:6" s="38" customFormat="1" x14ac:dyDescent="0.25">
      <c r="A197" s="637" t="s">
        <v>1354</v>
      </c>
      <c r="B197" s="347" t="s">
        <v>246</v>
      </c>
      <c r="C197" s="70">
        <v>800</v>
      </c>
      <c r="D197" s="70">
        <v>800</v>
      </c>
      <c r="E197" s="70">
        <v>800</v>
      </c>
      <c r="F197" s="70">
        <v>800</v>
      </c>
    </row>
    <row r="198" spans="1:6" s="38" customFormat="1" ht="30" x14ac:dyDescent="0.25">
      <c r="A198" s="637" t="s">
        <v>1355</v>
      </c>
      <c r="B198" s="347" t="s">
        <v>247</v>
      </c>
      <c r="C198" s="217">
        <v>-800</v>
      </c>
      <c r="D198" s="217"/>
      <c r="E198" s="217"/>
      <c r="F198" s="217"/>
    </row>
    <row r="199" spans="1:6" s="38" customFormat="1" x14ac:dyDescent="0.25">
      <c r="A199" s="637"/>
      <c r="B199" s="347"/>
      <c r="C199" s="217"/>
      <c r="D199" s="217"/>
      <c r="E199" s="217"/>
      <c r="F199" s="217"/>
    </row>
    <row r="200" spans="1:6" s="38" customFormat="1" x14ac:dyDescent="0.25">
      <c r="A200" s="43"/>
      <c r="B200" s="3" t="s">
        <v>248</v>
      </c>
      <c r="C200" s="56">
        <v>0</v>
      </c>
      <c r="D200" s="56">
        <v>2400</v>
      </c>
      <c r="E200" s="56">
        <v>3800</v>
      </c>
      <c r="F200" s="56">
        <v>3800</v>
      </c>
    </row>
    <row r="201" spans="1:6" s="38" customFormat="1" x14ac:dyDescent="0.25">
      <c r="A201" s="637"/>
      <c r="B201" s="11"/>
      <c r="C201" s="57"/>
      <c r="D201" s="57"/>
      <c r="E201" s="57"/>
      <c r="F201" s="57"/>
    </row>
    <row r="202" spans="1:6" s="38" customFormat="1" ht="30" x14ac:dyDescent="0.25">
      <c r="A202" s="637"/>
      <c r="B202" s="13" t="s">
        <v>249</v>
      </c>
      <c r="C202" s="58"/>
      <c r="D202" s="58"/>
      <c r="E202" s="58"/>
      <c r="F202" s="58"/>
    </row>
    <row r="203" spans="1:6" s="38" customFormat="1" x14ac:dyDescent="0.25">
      <c r="A203" s="637"/>
      <c r="B203" s="82" t="s">
        <v>250</v>
      </c>
      <c r="C203" s="4">
        <f>C193</f>
        <v>2023</v>
      </c>
      <c r="D203" s="4">
        <f>C203+1</f>
        <v>2024</v>
      </c>
      <c r="E203" s="4">
        <f>D203+1</f>
        <v>2025</v>
      </c>
      <c r="F203" s="4">
        <f>E203+1</f>
        <v>2026</v>
      </c>
    </row>
    <row r="204" spans="1:6" s="38" customFormat="1" x14ac:dyDescent="0.25">
      <c r="A204" s="637" t="s">
        <v>1356</v>
      </c>
      <c r="B204" s="245" t="s">
        <v>252</v>
      </c>
      <c r="C204" s="191">
        <v>150</v>
      </c>
      <c r="D204" s="191">
        <v>150</v>
      </c>
      <c r="E204" s="191">
        <v>150</v>
      </c>
      <c r="F204" s="191">
        <v>150</v>
      </c>
    </row>
    <row r="205" spans="1:6" s="38" customFormat="1" x14ac:dyDescent="0.25">
      <c r="A205" s="637" t="s">
        <v>1357</v>
      </c>
      <c r="B205" s="480" t="s">
        <v>253</v>
      </c>
      <c r="C205" s="634">
        <v>20000</v>
      </c>
      <c r="D205" s="634">
        <v>20000</v>
      </c>
      <c r="E205" s="634">
        <v>20000</v>
      </c>
      <c r="F205" s="634">
        <v>20000</v>
      </c>
    </row>
    <row r="206" spans="1:6" s="38" customFormat="1" x14ac:dyDescent="0.25">
      <c r="A206" s="637" t="s">
        <v>1358</v>
      </c>
      <c r="B206" s="480" t="s">
        <v>255</v>
      </c>
      <c r="C206" s="634">
        <v>-20000</v>
      </c>
      <c r="D206" s="634">
        <v>-20000</v>
      </c>
      <c r="E206" s="634">
        <v>-20000</v>
      </c>
      <c r="F206" s="634">
        <v>-20000</v>
      </c>
    </row>
    <row r="207" spans="1:6" s="38" customFormat="1" x14ac:dyDescent="0.25">
      <c r="A207" s="637" t="s">
        <v>1359</v>
      </c>
      <c r="B207" s="480" t="s">
        <v>256</v>
      </c>
      <c r="C207" s="634">
        <v>204</v>
      </c>
      <c r="D207" s="634">
        <v>204</v>
      </c>
      <c r="E207" s="634">
        <v>204</v>
      </c>
      <c r="F207" s="634">
        <v>204</v>
      </c>
    </row>
    <row r="208" spans="1:6" s="38" customFormat="1" x14ac:dyDescent="0.25">
      <c r="A208" s="637"/>
      <c r="B208" s="480"/>
      <c r="C208" s="634"/>
      <c r="D208" s="634"/>
      <c r="E208" s="634"/>
      <c r="F208" s="634"/>
    </row>
    <row r="209" spans="1:7" s="38" customFormat="1" x14ac:dyDescent="0.25">
      <c r="A209" s="637" t="s">
        <v>1190</v>
      </c>
      <c r="B209" s="82" t="s">
        <v>257</v>
      </c>
      <c r="C209" s="4">
        <v>2023</v>
      </c>
      <c r="D209" s="4">
        <v>2024</v>
      </c>
      <c r="E209" s="4">
        <v>2025</v>
      </c>
      <c r="F209" s="4">
        <v>2026</v>
      </c>
    </row>
    <row r="210" spans="1:7" s="38" customFormat="1" x14ac:dyDescent="0.25">
      <c r="A210" s="637" t="s">
        <v>1360</v>
      </c>
      <c r="B210" s="84" t="s">
        <v>258</v>
      </c>
      <c r="C210" s="631">
        <v>2500</v>
      </c>
      <c r="D210" s="631">
        <v>2300</v>
      </c>
      <c r="E210" s="631">
        <v>1700</v>
      </c>
      <c r="F210" s="631">
        <v>1300</v>
      </c>
    </row>
    <row r="211" spans="1:7" s="38" customFormat="1" x14ac:dyDescent="0.25">
      <c r="A211" s="637" t="s">
        <v>1361</v>
      </c>
      <c r="B211" s="84" t="s">
        <v>259</v>
      </c>
      <c r="C211" s="631">
        <v>1250</v>
      </c>
      <c r="D211" s="631">
        <v>1250</v>
      </c>
      <c r="E211" s="631">
        <v>1300</v>
      </c>
      <c r="F211" s="631">
        <v>1350</v>
      </c>
    </row>
    <row r="212" spans="1:7" s="38" customFormat="1" x14ac:dyDescent="0.25">
      <c r="A212" s="637" t="s">
        <v>1362</v>
      </c>
      <c r="B212" s="84" t="s">
        <v>260</v>
      </c>
      <c r="C212" s="391">
        <v>134000</v>
      </c>
      <c r="D212" s="391">
        <v>134000</v>
      </c>
      <c r="E212" s="391">
        <v>134000</v>
      </c>
      <c r="F212" s="391">
        <v>134000</v>
      </c>
    </row>
    <row r="213" spans="1:7" s="38" customFormat="1" x14ac:dyDescent="0.25">
      <c r="A213" s="637" t="s">
        <v>1363</v>
      </c>
      <c r="B213" s="84" t="s">
        <v>261</v>
      </c>
      <c r="C213" s="391">
        <v>20000</v>
      </c>
      <c r="D213" s="391">
        <v>20000</v>
      </c>
      <c r="E213" s="391">
        <v>20000</v>
      </c>
      <c r="F213" s="391">
        <v>20000</v>
      </c>
    </row>
    <row r="214" spans="1:7" s="38" customFormat="1" ht="25.5" x14ac:dyDescent="0.25">
      <c r="A214" s="637" t="s">
        <v>1364</v>
      </c>
      <c r="B214" s="84" t="s">
        <v>262</v>
      </c>
      <c r="C214" s="528"/>
      <c r="D214" s="528">
        <v>-575</v>
      </c>
      <c r="E214" s="528">
        <v>-575</v>
      </c>
      <c r="F214" s="528">
        <v>-575</v>
      </c>
    </row>
    <row r="215" spans="1:7" s="38" customFormat="1" ht="25.5" x14ac:dyDescent="0.25">
      <c r="A215" s="637" t="s">
        <v>1365</v>
      </c>
      <c r="B215" s="84" t="s">
        <v>263</v>
      </c>
      <c r="C215" s="191"/>
      <c r="D215" s="191"/>
      <c r="E215" s="191"/>
      <c r="F215" s="191">
        <v>-450</v>
      </c>
    </row>
    <row r="216" spans="1:7" s="38" customFormat="1" x14ac:dyDescent="0.25">
      <c r="A216" s="637" t="s">
        <v>1366</v>
      </c>
      <c r="B216" s="84" t="s">
        <v>264</v>
      </c>
      <c r="C216" s="255">
        <v>70</v>
      </c>
      <c r="D216" s="255">
        <v>70</v>
      </c>
      <c r="E216" s="255">
        <v>70</v>
      </c>
      <c r="F216" s="255">
        <v>70</v>
      </c>
    </row>
    <row r="217" spans="1:7" s="38" customFormat="1" x14ac:dyDescent="0.25">
      <c r="A217" s="637" t="s">
        <v>1367</v>
      </c>
      <c r="B217" s="627" t="s">
        <v>265</v>
      </c>
      <c r="C217" s="613">
        <v>700</v>
      </c>
      <c r="D217" s="613">
        <v>700</v>
      </c>
      <c r="E217" s="613">
        <v>800</v>
      </c>
      <c r="F217" s="613">
        <v>800</v>
      </c>
    </row>
    <row r="218" spans="1:7" s="38" customFormat="1" x14ac:dyDescent="0.25">
      <c r="A218" s="637" t="s">
        <v>1368</v>
      </c>
      <c r="B218" s="627" t="s">
        <v>266</v>
      </c>
      <c r="C218" s="613">
        <v>900</v>
      </c>
      <c r="D218" s="613">
        <v>900</v>
      </c>
      <c r="E218" s="613">
        <v>900</v>
      </c>
      <c r="F218" s="613">
        <v>900</v>
      </c>
    </row>
    <row r="219" spans="1:7" s="38" customFormat="1" x14ac:dyDescent="0.25">
      <c r="A219" s="637" t="s">
        <v>1369</v>
      </c>
      <c r="B219" s="627" t="s">
        <v>267</v>
      </c>
      <c r="C219" s="613">
        <v>365</v>
      </c>
      <c r="D219" s="613">
        <v>365</v>
      </c>
      <c r="E219" s="613">
        <v>365</v>
      </c>
      <c r="F219" s="613">
        <v>365</v>
      </c>
    </row>
    <row r="220" spans="1:7" s="38" customFormat="1" x14ac:dyDescent="0.25">
      <c r="A220" s="637" t="s">
        <v>1370</v>
      </c>
      <c r="B220" s="627" t="s">
        <v>268</v>
      </c>
      <c r="C220" s="613">
        <v>50</v>
      </c>
      <c r="D220" s="613">
        <v>50</v>
      </c>
      <c r="E220" s="613">
        <v>50</v>
      </c>
      <c r="F220" s="613">
        <v>50</v>
      </c>
    </row>
    <row r="221" spans="1:7" s="38" customFormat="1" x14ac:dyDescent="0.25">
      <c r="A221" s="637" t="s">
        <v>1371</v>
      </c>
      <c r="B221" s="646" t="s">
        <v>269</v>
      </c>
      <c r="C221" s="613">
        <v>62</v>
      </c>
      <c r="D221" s="613">
        <v>62</v>
      </c>
      <c r="E221" s="613">
        <v>62</v>
      </c>
      <c r="F221" s="613">
        <v>62</v>
      </c>
      <c r="G221" s="640"/>
    </row>
    <row r="222" spans="1:7" s="38" customFormat="1" x14ac:dyDescent="0.25">
      <c r="A222" s="637" t="s">
        <v>1372</v>
      </c>
      <c r="B222" s="646" t="s">
        <v>270</v>
      </c>
      <c r="C222" s="613">
        <v>500</v>
      </c>
      <c r="D222" s="613"/>
      <c r="E222" s="613"/>
      <c r="F222" s="613"/>
      <c r="G222" s="640"/>
    </row>
    <row r="223" spans="1:7" s="38" customFormat="1" x14ac:dyDescent="0.25">
      <c r="A223" s="637" t="s">
        <v>271</v>
      </c>
      <c r="B223" s="527" t="s">
        <v>270</v>
      </c>
      <c r="C223" s="398">
        <v>-500</v>
      </c>
      <c r="D223" s="398"/>
      <c r="E223" s="398"/>
      <c r="F223" s="398"/>
      <c r="G223" s="640"/>
    </row>
    <row r="224" spans="1:7" s="38" customFormat="1" x14ac:dyDescent="0.25">
      <c r="A224" s="637" t="s">
        <v>1412</v>
      </c>
      <c r="B224" s="646" t="s">
        <v>272</v>
      </c>
      <c r="C224" s="613">
        <v>-500</v>
      </c>
      <c r="D224" s="613"/>
      <c r="E224" s="613"/>
      <c r="F224" s="613"/>
      <c r="G224" s="640"/>
    </row>
    <row r="225" spans="1:7" s="38" customFormat="1" x14ac:dyDescent="0.25">
      <c r="A225" s="637" t="s">
        <v>273</v>
      </c>
      <c r="B225" s="527" t="s">
        <v>274</v>
      </c>
      <c r="C225" s="398">
        <v>500</v>
      </c>
      <c r="D225" s="398"/>
      <c r="E225" s="398"/>
      <c r="F225" s="398"/>
      <c r="G225" s="640"/>
    </row>
    <row r="226" spans="1:7" s="38" customFormat="1" x14ac:dyDescent="0.25">
      <c r="A226" s="637" t="s">
        <v>1373</v>
      </c>
      <c r="B226" s="646" t="s">
        <v>275</v>
      </c>
      <c r="C226" s="613">
        <v>773</v>
      </c>
      <c r="D226" s="613"/>
      <c r="E226" s="613"/>
      <c r="F226" s="613"/>
      <c r="G226" s="640"/>
    </row>
    <row r="227" spans="1:7" s="38" customFormat="1" x14ac:dyDescent="0.25">
      <c r="A227" s="637" t="s">
        <v>1413</v>
      </c>
      <c r="B227" s="627" t="s">
        <v>276</v>
      </c>
      <c r="C227" s="613">
        <v>550</v>
      </c>
      <c r="D227" s="613">
        <v>550</v>
      </c>
      <c r="E227" s="613">
        <v>550</v>
      </c>
      <c r="F227" s="613">
        <v>550</v>
      </c>
    </row>
    <row r="228" spans="1:7" s="38" customFormat="1" x14ac:dyDescent="0.25">
      <c r="A228" s="637" t="s">
        <v>1374</v>
      </c>
      <c r="B228" s="627" t="s">
        <v>277</v>
      </c>
      <c r="C228" s="613">
        <v>1900</v>
      </c>
      <c r="D228" s="613">
        <v>1900</v>
      </c>
      <c r="E228" s="613">
        <v>1900</v>
      </c>
      <c r="F228" s="613">
        <v>1900</v>
      </c>
    </row>
    <row r="229" spans="1:7" s="38" customFormat="1" x14ac:dyDescent="0.25">
      <c r="A229" s="637" t="s">
        <v>1375</v>
      </c>
      <c r="B229" s="627" t="s">
        <v>278</v>
      </c>
      <c r="C229" s="580">
        <v>650</v>
      </c>
      <c r="D229" s="580">
        <v>650</v>
      </c>
      <c r="E229" s="580">
        <v>650</v>
      </c>
      <c r="F229" s="580">
        <v>650</v>
      </c>
    </row>
    <row r="230" spans="1:7" s="38" customFormat="1" x14ac:dyDescent="0.25">
      <c r="A230" s="637" t="s">
        <v>1376</v>
      </c>
      <c r="B230" s="627" t="s">
        <v>279</v>
      </c>
      <c r="C230" s="580">
        <f>+C229*-1</f>
        <v>-650</v>
      </c>
      <c r="D230" s="580">
        <f>+D229*-1</f>
        <v>-650</v>
      </c>
      <c r="E230" s="580">
        <f>+E229*-1</f>
        <v>-650</v>
      </c>
      <c r="F230" s="580">
        <f>+F229*-1</f>
        <v>-650</v>
      </c>
    </row>
    <row r="231" spans="1:7" s="38" customFormat="1" x14ac:dyDescent="0.25">
      <c r="A231" s="637" t="s">
        <v>1377</v>
      </c>
      <c r="B231" s="627" t="s">
        <v>280</v>
      </c>
      <c r="C231" s="255">
        <v>4000</v>
      </c>
      <c r="D231" s="255"/>
      <c r="E231" s="255"/>
      <c r="F231" s="255"/>
    </row>
    <row r="232" spans="1:7" s="38" customFormat="1" x14ac:dyDescent="0.25">
      <c r="A232" s="637" t="s">
        <v>1378</v>
      </c>
      <c r="B232" s="627" t="s">
        <v>281</v>
      </c>
      <c r="C232" s="255">
        <v>470</v>
      </c>
      <c r="D232" s="255">
        <v>470</v>
      </c>
      <c r="E232" s="255">
        <v>470</v>
      </c>
      <c r="F232" s="255">
        <v>470</v>
      </c>
    </row>
    <row r="233" spans="1:7" s="38" customFormat="1" x14ac:dyDescent="0.25">
      <c r="A233" s="637"/>
      <c r="B233" s="627"/>
      <c r="C233" s="255"/>
      <c r="D233" s="255"/>
      <c r="E233" s="255"/>
      <c r="F233" s="255"/>
    </row>
    <row r="234" spans="1:7" s="38" customFormat="1" x14ac:dyDescent="0.25">
      <c r="A234" s="637" t="s">
        <v>1190</v>
      </c>
      <c r="B234" s="82" t="s">
        <v>282</v>
      </c>
      <c r="C234" s="4">
        <v>2023</v>
      </c>
      <c r="D234" s="4">
        <v>2024</v>
      </c>
      <c r="E234" s="4">
        <v>2025</v>
      </c>
      <c r="F234" s="4">
        <v>2026</v>
      </c>
    </row>
    <row r="235" spans="1:7" s="38" customFormat="1" x14ac:dyDescent="0.25">
      <c r="A235" s="637" t="s">
        <v>1379</v>
      </c>
      <c r="B235" s="84" t="s">
        <v>283</v>
      </c>
      <c r="C235" s="191">
        <v>2082</v>
      </c>
      <c r="D235" s="191">
        <v>3750</v>
      </c>
      <c r="E235" s="191">
        <v>4536</v>
      </c>
      <c r="F235" s="191">
        <v>6335</v>
      </c>
    </row>
    <row r="236" spans="1:7" s="38" customFormat="1" x14ac:dyDescent="0.25">
      <c r="A236" s="637" t="s">
        <v>1380</v>
      </c>
      <c r="B236" s="84" t="s">
        <v>284</v>
      </c>
      <c r="C236" s="191">
        <v>517</v>
      </c>
      <c r="D236" s="191">
        <v>517</v>
      </c>
      <c r="E236" s="191">
        <v>568</v>
      </c>
      <c r="F236" s="191">
        <v>1542</v>
      </c>
    </row>
    <row r="237" spans="1:7" s="38" customFormat="1" x14ac:dyDescent="0.25">
      <c r="A237" s="637" t="s">
        <v>1381</v>
      </c>
      <c r="B237" s="84" t="s">
        <v>285</v>
      </c>
      <c r="C237" s="191">
        <f>10854+1200</f>
        <v>12054</v>
      </c>
      <c r="D237" s="191">
        <f>10854+1200</f>
        <v>12054</v>
      </c>
      <c r="E237" s="191">
        <f>10854+1200</f>
        <v>12054</v>
      </c>
      <c r="F237" s="191">
        <f>10854+1200</f>
        <v>12054</v>
      </c>
    </row>
    <row r="238" spans="1:7" s="38" customFormat="1" x14ac:dyDescent="0.25">
      <c r="A238" s="637" t="s">
        <v>1382</v>
      </c>
      <c r="B238" s="84" t="s">
        <v>286</v>
      </c>
      <c r="C238" s="191">
        <v>35000</v>
      </c>
      <c r="D238" s="191">
        <v>14000</v>
      </c>
      <c r="E238" s="191">
        <v>1000</v>
      </c>
      <c r="F238" s="191">
        <v>1000</v>
      </c>
    </row>
    <row r="239" spans="1:7" s="38" customFormat="1" x14ac:dyDescent="0.25">
      <c r="A239" s="637" t="s">
        <v>1383</v>
      </c>
      <c r="B239" s="84" t="s">
        <v>287</v>
      </c>
      <c r="C239" s="191">
        <v>35000</v>
      </c>
      <c r="D239" s="191">
        <v>35000</v>
      </c>
      <c r="E239" s="191">
        <v>35000</v>
      </c>
      <c r="F239" s="191">
        <v>35000</v>
      </c>
    </row>
    <row r="240" spans="1:7" s="38" customFormat="1" x14ac:dyDescent="0.25">
      <c r="A240" s="637"/>
      <c r="B240" s="84"/>
      <c r="C240" s="282"/>
      <c r="D240" s="282"/>
      <c r="E240" s="282"/>
      <c r="F240" s="282"/>
    </row>
    <row r="241" spans="1:6" s="38" customFormat="1" x14ac:dyDescent="0.25">
      <c r="A241" s="637" t="s">
        <v>1190</v>
      </c>
      <c r="B241" s="82" t="s">
        <v>288</v>
      </c>
      <c r="C241" s="4">
        <f>C203</f>
        <v>2023</v>
      </c>
      <c r="D241" s="4">
        <f>C241+1</f>
        <v>2024</v>
      </c>
      <c r="E241" s="4">
        <f>D241+1</f>
        <v>2025</v>
      </c>
      <c r="F241" s="4">
        <f>E241+1</f>
        <v>2026</v>
      </c>
    </row>
    <row r="242" spans="1:6" s="38" customFormat="1" x14ac:dyDescent="0.25">
      <c r="A242" s="637" t="s">
        <v>1384</v>
      </c>
      <c r="B242" s="38" t="s">
        <v>289</v>
      </c>
      <c r="C242" s="217">
        <v>2430</v>
      </c>
      <c r="D242" s="391"/>
      <c r="E242" s="391">
        <v>2430</v>
      </c>
      <c r="F242" s="391"/>
    </row>
    <row r="243" spans="1:6" s="38" customFormat="1" x14ac:dyDescent="0.25">
      <c r="A243" s="637" t="s">
        <v>1385</v>
      </c>
      <c r="B243" s="295" t="s">
        <v>290</v>
      </c>
      <c r="C243" s="217">
        <v>400</v>
      </c>
      <c r="D243" s="391"/>
      <c r="E243" s="391">
        <v>400</v>
      </c>
      <c r="F243" s="391"/>
    </row>
    <row r="244" spans="1:6" s="38" customFormat="1" ht="30" x14ac:dyDescent="0.25">
      <c r="A244" s="637" t="s">
        <v>1386</v>
      </c>
      <c r="B244" s="295" t="s">
        <v>291</v>
      </c>
      <c r="C244" s="217">
        <v>300</v>
      </c>
      <c r="D244" s="391"/>
      <c r="E244" s="391"/>
      <c r="F244" s="391"/>
    </row>
    <row r="245" spans="1:6" s="38" customFormat="1" x14ac:dyDescent="0.25">
      <c r="A245" s="637" t="s">
        <v>1387</v>
      </c>
      <c r="B245" s="295" t="s">
        <v>292</v>
      </c>
      <c r="C245" s="217">
        <v>200</v>
      </c>
      <c r="D245" s="391"/>
      <c r="E245" s="391"/>
      <c r="F245" s="391"/>
    </row>
    <row r="246" spans="1:6" s="38" customFormat="1" x14ac:dyDescent="0.25">
      <c r="A246" s="637" t="s">
        <v>1388</v>
      </c>
      <c r="B246" s="647" t="s">
        <v>293</v>
      </c>
      <c r="C246" s="398">
        <v>-2000</v>
      </c>
      <c r="D246" s="634">
        <v>-2000</v>
      </c>
      <c r="E246" s="634">
        <v>-2000</v>
      </c>
      <c r="F246" s="634">
        <v>-2000</v>
      </c>
    </row>
    <row r="247" spans="1:6" s="38" customFormat="1" x14ac:dyDescent="0.25">
      <c r="A247" s="637" t="s">
        <v>294</v>
      </c>
      <c r="B247" s="527" t="s">
        <v>295</v>
      </c>
      <c r="C247" s="398">
        <v>2000</v>
      </c>
      <c r="D247" s="398">
        <v>2000</v>
      </c>
      <c r="E247" s="398">
        <v>2000</v>
      </c>
      <c r="F247" s="398">
        <v>2000</v>
      </c>
    </row>
    <row r="248" spans="1:6" s="38" customFormat="1" x14ac:dyDescent="0.25">
      <c r="A248" s="637" t="s">
        <v>1389</v>
      </c>
      <c r="B248" s="647" t="s">
        <v>296</v>
      </c>
      <c r="C248" s="398">
        <v>400</v>
      </c>
      <c r="D248" s="634"/>
      <c r="E248" s="634">
        <v>400</v>
      </c>
      <c r="F248" s="634"/>
    </row>
    <row r="249" spans="1:6" s="38" customFormat="1" x14ac:dyDescent="0.25">
      <c r="A249" s="637" t="s">
        <v>1390</v>
      </c>
      <c r="B249" s="647" t="s">
        <v>297</v>
      </c>
      <c r="C249" s="398"/>
      <c r="D249" s="634">
        <v>1000</v>
      </c>
      <c r="E249" s="634"/>
      <c r="F249" s="634"/>
    </row>
    <row r="250" spans="1:6" s="38" customFormat="1" x14ac:dyDescent="0.25">
      <c r="A250" s="637" t="s">
        <v>1414</v>
      </c>
      <c r="B250" s="647" t="s">
        <v>298</v>
      </c>
      <c r="C250" s="398">
        <v>225</v>
      </c>
      <c r="D250" s="398">
        <v>225</v>
      </c>
      <c r="E250" s="398">
        <v>225</v>
      </c>
      <c r="F250" s="398">
        <v>225</v>
      </c>
    </row>
    <row r="251" spans="1:6" s="38" customFormat="1" x14ac:dyDescent="0.25">
      <c r="A251" s="637" t="s">
        <v>1391</v>
      </c>
      <c r="B251" s="640" t="s">
        <v>299</v>
      </c>
      <c r="C251" s="648">
        <v>200</v>
      </c>
      <c r="D251" s="649"/>
      <c r="E251" s="649"/>
      <c r="F251" s="649"/>
    </row>
    <row r="252" spans="1:6" s="38" customFormat="1" x14ac:dyDescent="0.25">
      <c r="A252" s="637" t="s">
        <v>1392</v>
      </c>
      <c r="B252" s="640" t="s">
        <v>299</v>
      </c>
      <c r="C252" s="255">
        <v>-200</v>
      </c>
      <c r="D252" s="255"/>
      <c r="E252" s="255"/>
      <c r="F252" s="255"/>
    </row>
    <row r="253" spans="1:6" s="38" customFormat="1" ht="25.5" x14ac:dyDescent="0.25">
      <c r="A253" s="637" t="s">
        <v>300</v>
      </c>
      <c r="B253" s="527" t="s">
        <v>301</v>
      </c>
      <c r="C253" s="398">
        <v>300</v>
      </c>
      <c r="D253" s="398">
        <v>300</v>
      </c>
      <c r="E253" s="398">
        <v>300</v>
      </c>
      <c r="F253" s="398">
        <v>300</v>
      </c>
    </row>
    <row r="254" spans="1:6" s="38" customFormat="1" x14ac:dyDescent="0.25">
      <c r="A254" s="637" t="s">
        <v>302</v>
      </c>
      <c r="B254" s="527" t="s">
        <v>303</v>
      </c>
      <c r="C254" s="398">
        <v>200</v>
      </c>
      <c r="D254" s="398">
        <v>200</v>
      </c>
      <c r="E254" s="398">
        <v>200</v>
      </c>
      <c r="F254" s="398">
        <v>200</v>
      </c>
    </row>
    <row r="255" spans="1:6" s="640" customFormat="1" x14ac:dyDescent="0.25">
      <c r="A255" s="639"/>
      <c r="B255" s="527"/>
      <c r="C255" s="398"/>
      <c r="D255" s="398"/>
      <c r="E255" s="398"/>
      <c r="F255" s="398"/>
    </row>
    <row r="256" spans="1:6" s="38" customFormat="1" ht="30" x14ac:dyDescent="0.25">
      <c r="A256" s="43"/>
      <c r="B256" s="3" t="s">
        <v>304</v>
      </c>
      <c r="C256" s="56">
        <v>257052</v>
      </c>
      <c r="D256" s="56">
        <v>229442</v>
      </c>
      <c r="E256" s="56">
        <v>219059</v>
      </c>
      <c r="F256" s="56">
        <v>217802</v>
      </c>
    </row>
    <row r="257" spans="2:6" ht="15.75" thickBot="1" x14ac:dyDescent="0.3">
      <c r="B257" s="650" t="s">
        <v>305</v>
      </c>
      <c r="C257" s="630">
        <v>526215</v>
      </c>
      <c r="D257" s="630">
        <v>483956</v>
      </c>
      <c r="E257" s="630">
        <v>463952</v>
      </c>
      <c r="F257" s="630">
        <v>467470</v>
      </c>
    </row>
    <row r="258" spans="2:6" ht="15.75" thickTop="1" x14ac:dyDescent="0.25">
      <c r="C258" s="256"/>
    </row>
    <row r="262" spans="2:6" x14ac:dyDescent="0.25">
      <c r="C262" s="182"/>
      <c r="D262" s="182"/>
      <c r="E262" s="182"/>
      <c r="F262" s="182"/>
    </row>
    <row r="263" spans="2:6" x14ac:dyDescent="0.25">
      <c r="C263" s="256"/>
      <c r="D263" s="256"/>
      <c r="E263" s="256"/>
      <c r="F263" s="256"/>
    </row>
    <row r="264" spans="2:6" x14ac:dyDescent="0.25">
      <c r="C264" s="256"/>
      <c r="D264" s="256"/>
      <c r="E264" s="256"/>
      <c r="F264" s="256"/>
    </row>
    <row r="265" spans="2:6" x14ac:dyDescent="0.25">
      <c r="C265" s="256"/>
      <c r="D265" s="256"/>
      <c r="E265" s="256"/>
      <c r="F265" s="256"/>
    </row>
    <row r="266" spans="2:6" x14ac:dyDescent="0.25">
      <c r="C266" s="256"/>
      <c r="D266" s="256"/>
      <c r="E266" s="256"/>
      <c r="F266" s="256"/>
    </row>
    <row r="267" spans="2:6" x14ac:dyDescent="0.25">
      <c r="C267" s="256"/>
      <c r="D267" s="256"/>
      <c r="E267" s="256"/>
      <c r="F267" s="256"/>
    </row>
    <row r="268" spans="2:6" x14ac:dyDescent="0.25">
      <c r="C268" s="256"/>
      <c r="D268" s="256"/>
      <c r="E268" s="256"/>
      <c r="F268" s="256"/>
    </row>
    <row r="269" spans="2:6" x14ac:dyDescent="0.25">
      <c r="C269" s="256"/>
      <c r="D269" s="256"/>
      <c r="E269" s="256"/>
      <c r="F269" s="256"/>
    </row>
    <row r="270" spans="2:6" x14ac:dyDescent="0.25">
      <c r="C270" s="256"/>
      <c r="D270" s="256"/>
      <c r="E270" s="256"/>
      <c r="F270" s="256"/>
    </row>
  </sheetData>
  <phoneticPr fontId="2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67B3ED-FF4A-4D3E-B4B2-862CD8E543D6}">
          <x14:formula1>
            <xm:f>Div!$A$3:$A$11</xm:f>
          </x14:formula1>
          <xm:sqref>A256 A200 A191 A180 A151 A136 A84 A39:A41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FDCC8-0BF1-4672-AAF6-A471E6F5696F}">
  <sheetPr codeName="Ark4">
    <tabColor rgb="FFFF0000"/>
    <pageSetUpPr fitToPage="1"/>
  </sheetPr>
  <dimension ref="A1:AW267"/>
  <sheetViews>
    <sheetView workbookViewId="0">
      <selection activeCell="J18" sqref="J18"/>
    </sheetView>
  </sheetViews>
  <sheetFormatPr baseColWidth="10" defaultColWidth="11.42578125" defaultRowHeight="15" x14ac:dyDescent="0.25"/>
  <cols>
    <col min="1" max="1" width="10.140625" customWidth="1"/>
    <col min="2" max="2" width="6.140625" customWidth="1"/>
    <col min="3" max="3" width="58.5703125" customWidth="1"/>
    <col min="4" max="4" width="14.42578125" bestFit="1" customWidth="1"/>
    <col min="5" max="5" width="11.28515625" bestFit="1" customWidth="1"/>
    <col min="6" max="6" width="12" bestFit="1" customWidth="1"/>
    <col min="7" max="7" width="13.42578125" customWidth="1"/>
    <col min="8" max="8" width="13.5703125" customWidth="1"/>
    <col min="9" max="9" width="13" customWidth="1"/>
    <col min="10" max="10" width="65" customWidth="1"/>
    <col min="11" max="11" width="7.42578125" style="28" customWidth="1"/>
    <col min="12" max="12" width="7.5703125" style="28" bestFit="1" customWidth="1"/>
    <col min="13" max="13" width="8.5703125" style="94" customWidth="1"/>
    <col min="14" max="14" width="9.5703125" style="94" customWidth="1"/>
    <col min="15" max="15" width="13.42578125" style="94" customWidth="1"/>
    <col min="16" max="16" width="13.5703125" bestFit="1" customWidth="1"/>
    <col min="17" max="17" width="31.5703125" customWidth="1"/>
    <col min="18" max="21" width="14.42578125" customWidth="1"/>
    <col min="49" max="49" width="20.42578125" customWidth="1"/>
  </cols>
  <sheetData>
    <row r="1" spans="1:48" s="28" customFormat="1" ht="23.25" x14ac:dyDescent="0.25">
      <c r="A1" s="294" t="s">
        <v>635</v>
      </c>
      <c r="B1" s="295"/>
      <c r="C1" s="296"/>
      <c r="D1" s="93"/>
      <c r="E1" s="93"/>
      <c r="F1" s="294"/>
      <c r="G1" s="294"/>
      <c r="H1" s="294"/>
      <c r="I1" s="294"/>
      <c r="J1" s="286"/>
      <c r="K1" s="38"/>
      <c r="L1" s="38"/>
      <c r="M1" s="93"/>
      <c r="N1" s="51"/>
      <c r="O1" s="51"/>
      <c r="Q1" s="635" t="s">
        <v>801</v>
      </c>
      <c r="R1" s="635"/>
      <c r="S1" s="635"/>
      <c r="T1" s="635"/>
      <c r="U1" s="635" t="s">
        <v>802</v>
      </c>
      <c r="V1" s="635"/>
      <c r="W1" s="635"/>
      <c r="X1" s="635"/>
      <c r="Y1" s="635" t="s">
        <v>803</v>
      </c>
      <c r="Z1" s="635"/>
      <c r="AA1" s="635"/>
      <c r="AB1" s="635"/>
      <c r="AC1" s="635" t="s">
        <v>804</v>
      </c>
      <c r="AD1" s="635"/>
      <c r="AE1" s="635"/>
      <c r="AF1" s="635"/>
      <c r="AG1" s="635" t="s">
        <v>805</v>
      </c>
      <c r="AH1" s="635"/>
      <c r="AI1" s="635"/>
      <c r="AJ1" s="635"/>
      <c r="AK1" s="635" t="s">
        <v>232</v>
      </c>
      <c r="AL1" s="635"/>
      <c r="AM1" s="635"/>
      <c r="AN1" s="635"/>
      <c r="AO1" s="635" t="s">
        <v>242</v>
      </c>
      <c r="AP1" s="635"/>
      <c r="AQ1" s="635"/>
      <c r="AR1" s="635"/>
      <c r="AS1" s="635" t="s">
        <v>251</v>
      </c>
      <c r="AT1" s="635"/>
      <c r="AU1" s="635"/>
      <c r="AV1" s="635"/>
    </row>
    <row r="2" spans="1:48" s="28" customFormat="1" x14ac:dyDescent="0.25">
      <c r="A2" s="38"/>
      <c r="B2" s="295"/>
      <c r="C2" s="295"/>
      <c r="D2" s="93"/>
      <c r="E2" s="93"/>
      <c r="F2" s="38"/>
      <c r="G2" s="38"/>
      <c r="H2" s="38"/>
      <c r="I2" s="38"/>
      <c r="J2" s="286"/>
      <c r="K2" s="38"/>
      <c r="L2" s="38"/>
      <c r="M2" s="93"/>
      <c r="N2" s="93"/>
      <c r="O2" s="93"/>
      <c r="Q2" s="636" t="s">
        <v>801</v>
      </c>
      <c r="R2" s="636"/>
      <c r="S2" s="636"/>
      <c r="T2" s="636"/>
      <c r="U2" s="636" t="s">
        <v>806</v>
      </c>
      <c r="V2" s="636"/>
      <c r="W2" s="636"/>
      <c r="X2" s="636"/>
      <c r="Y2" s="636" t="s">
        <v>803</v>
      </c>
      <c r="Z2" s="636"/>
      <c r="AA2" s="636"/>
      <c r="AB2" s="636"/>
      <c r="AC2" s="636" t="s">
        <v>807</v>
      </c>
      <c r="AD2" s="636"/>
      <c r="AE2" s="636"/>
      <c r="AF2" s="636"/>
      <c r="AG2" s="636" t="s">
        <v>808</v>
      </c>
      <c r="AH2" s="636"/>
      <c r="AI2" s="636"/>
      <c r="AJ2" s="636"/>
      <c r="AK2" s="636" t="s">
        <v>231</v>
      </c>
      <c r="AL2" s="636"/>
      <c r="AM2" s="636"/>
      <c r="AN2" s="636"/>
      <c r="AO2" s="636" t="s">
        <v>241</v>
      </c>
      <c r="AP2" s="636"/>
      <c r="AQ2" s="636"/>
      <c r="AR2" s="636"/>
      <c r="AS2" s="636" t="s">
        <v>809</v>
      </c>
      <c r="AT2" s="636"/>
      <c r="AU2" s="636"/>
      <c r="AV2" s="636"/>
    </row>
    <row r="3" spans="1:48" s="38" customFormat="1" x14ac:dyDescent="0.25">
      <c r="A3" s="297"/>
      <c r="B3" s="298"/>
      <c r="C3" s="298"/>
      <c r="D3" s="299"/>
      <c r="E3" s="299"/>
      <c r="F3" s="300">
        <v>2020</v>
      </c>
      <c r="G3" s="300">
        <v>46210</v>
      </c>
      <c r="H3" s="300">
        <v>2022</v>
      </c>
      <c r="I3" s="300"/>
      <c r="M3" s="93"/>
      <c r="N3" s="93"/>
      <c r="O3" s="93"/>
      <c r="P3" s="28"/>
      <c r="Q3" s="29">
        <v>2018</v>
      </c>
      <c r="R3" s="29">
        <v>2019</v>
      </c>
      <c r="S3" s="29">
        <v>2020</v>
      </c>
      <c r="T3" s="29">
        <v>2021</v>
      </c>
      <c r="U3" s="29">
        <v>2018</v>
      </c>
      <c r="V3" s="29">
        <v>2019</v>
      </c>
      <c r="W3" s="29">
        <v>2020</v>
      </c>
      <c r="X3" s="29">
        <v>2021</v>
      </c>
      <c r="Y3" s="29">
        <v>2018</v>
      </c>
      <c r="Z3" s="29">
        <v>2019</v>
      </c>
      <c r="AA3" s="29">
        <v>2020</v>
      </c>
      <c r="AB3" s="29">
        <v>2021</v>
      </c>
      <c r="AC3" s="29">
        <v>2018</v>
      </c>
      <c r="AD3" s="29">
        <v>2019</v>
      </c>
      <c r="AE3" s="29">
        <v>2020</v>
      </c>
      <c r="AF3" s="29">
        <v>2021</v>
      </c>
      <c r="AG3" s="29">
        <v>2018</v>
      </c>
      <c r="AH3" s="29">
        <v>2019</v>
      </c>
      <c r="AI3" s="29">
        <v>2020</v>
      </c>
      <c r="AJ3" s="29">
        <v>2021</v>
      </c>
      <c r="AK3" s="29">
        <v>2018</v>
      </c>
      <c r="AL3" s="29">
        <v>2019</v>
      </c>
      <c r="AM3" s="29">
        <v>2020</v>
      </c>
      <c r="AN3" s="29">
        <v>2021</v>
      </c>
      <c r="AO3" s="29">
        <v>2018</v>
      </c>
      <c r="AP3" s="29">
        <v>2019</v>
      </c>
      <c r="AQ3" s="29">
        <v>2020</v>
      </c>
      <c r="AR3" s="29">
        <v>2021</v>
      </c>
      <c r="AS3" s="29">
        <v>2018</v>
      </c>
      <c r="AT3" s="29">
        <v>2019</v>
      </c>
      <c r="AU3" s="29">
        <v>2020</v>
      </c>
      <c r="AV3" s="29">
        <v>2021</v>
      </c>
    </row>
    <row r="4" spans="1:48" s="38" customFormat="1" x14ac:dyDescent="0.25">
      <c r="A4" s="301" t="s">
        <v>636</v>
      </c>
      <c r="B4" s="302"/>
      <c r="C4" s="303"/>
      <c r="D4" s="304"/>
      <c r="E4" s="304"/>
      <c r="F4" s="305">
        <v>4546363</v>
      </c>
      <c r="G4" s="305">
        <v>4546363</v>
      </c>
      <c r="H4" s="305">
        <v>4546363</v>
      </c>
      <c r="I4" s="305">
        <v>4546363</v>
      </c>
      <c r="J4" s="1"/>
      <c r="M4" s="306">
        <v>29670</v>
      </c>
      <c r="N4" s="93">
        <v>13290</v>
      </c>
      <c r="O4" s="93"/>
      <c r="P4" s="29" t="s">
        <v>810</v>
      </c>
      <c r="Q4" s="12" t="e">
        <f>SUMIFS(#REF!,$O:$O,$P$4,$A:$A,$Q$1)</f>
        <v>#REF!</v>
      </c>
      <c r="R4" s="12" t="e">
        <f>SUMIFS(#REF!,$O:$O,$P$4,$A:$A,$Q$1)</f>
        <v>#REF!</v>
      </c>
      <c r="S4" s="12">
        <f>SUMIFS(F:F,$O:$O,$P$4,$A:$A,$Q$1)</f>
        <v>0</v>
      </c>
      <c r="T4" s="12">
        <f>SUMIFS(G:G,$O:$O,$P$4,$A:$A,$Q$1)</f>
        <v>0</v>
      </c>
      <c r="U4" s="12" t="e">
        <f>SUMIFS(#REF!,$O:$O,$P$4,$A:$A,$U$1)</f>
        <v>#REF!</v>
      </c>
      <c r="V4" s="12" t="e">
        <f>SUMIFS(#REF!,$O:$O,$P$4,$A:$A,$U$1)</f>
        <v>#REF!</v>
      </c>
      <c r="W4" s="12">
        <f>SUMIFS(F:F,$O:$O,$P$4,$A:$A,$U$1)</f>
        <v>0</v>
      </c>
      <c r="X4" s="12">
        <f>SUMIFS(G:G,$O:$O,$P$4,$A:$A,$U$1)</f>
        <v>0</v>
      </c>
      <c r="Y4" s="12" t="e">
        <f>SUMIFS(#REF!,$O:$O,$P$4,$A:$A,$Y$1)</f>
        <v>#REF!</v>
      </c>
      <c r="Z4" s="12" t="e">
        <f>SUMIFS(#REF!,$O:$O,$P$4,$A:$A,$Y$1)</f>
        <v>#REF!</v>
      </c>
      <c r="AA4" s="12">
        <f>SUMIFS(F:F,$O:$O,$P$4,$A:$A,$Y$1)</f>
        <v>0</v>
      </c>
      <c r="AB4" s="12">
        <f>SUMIFS(G:G,$O:$O,$P$4,$A:$A,$Y$1)</f>
        <v>0</v>
      </c>
      <c r="AC4" s="12" t="e">
        <f>SUMIFS(#REF!,$O:$O,$P$4,$A:$A,$AC$1)</f>
        <v>#REF!</v>
      </c>
      <c r="AD4" s="12" t="e">
        <f>SUMIFS(#REF!,$O:$O,$P$4,$A:$A,$AC$1)</f>
        <v>#REF!</v>
      </c>
      <c r="AE4" s="12">
        <f>SUMIFS(F:F,$O:$O,$P$4,$A:$A,$AC$1)</f>
        <v>0</v>
      </c>
      <c r="AF4" s="12">
        <f>SUMIFS(G:G,$O:$O,$P$4,$A:$A,$AC$1)</f>
        <v>0</v>
      </c>
      <c r="AG4" s="12" t="e">
        <f>SUMIFS(#REF!,$O:$O,$P$4,$A:$A,$AG$1)</f>
        <v>#REF!</v>
      </c>
      <c r="AH4" s="12" t="e">
        <f>SUMIFS(#REF!,$O:$O,$P$4,$A:$A,$AG$1)</f>
        <v>#REF!</v>
      </c>
      <c r="AI4" s="12">
        <f>SUMIFS(F:F,$O:$O,$P$4,$A:$A,$AG$1)</f>
        <v>0</v>
      </c>
      <c r="AJ4" s="12">
        <f>SUMIFS(G:G,$O:$O,$P$4,$A:$A,$AG$1)</f>
        <v>0</v>
      </c>
      <c r="AK4" s="12" t="e">
        <f>SUMIFS(#REF!,$O:$O,$P$4,$A:$A,$AK$1)</f>
        <v>#REF!</v>
      </c>
      <c r="AL4" s="12" t="e">
        <f>SUMIFS(#REF!,$O:$O,$P$4,$A:$A,$AK$1)</f>
        <v>#REF!</v>
      </c>
      <c r="AM4" s="12">
        <f>SUMIFS(F:F,$O:$O,$P$4,$A:$A,$AK$1)</f>
        <v>0</v>
      </c>
      <c r="AN4" s="12">
        <f>SUMIFS(G:G,$O:$O,$P$4,$A:$A,$AK$1)</f>
        <v>0</v>
      </c>
      <c r="AO4" s="12" t="e">
        <f>SUMIFS(#REF!,$O:$O,$P$4,$A:$A,$AO$1)</f>
        <v>#REF!</v>
      </c>
      <c r="AP4" s="12" t="e">
        <f>SUMIFS(#REF!,$O:$O,$P$4,$A:$A,$AO$1)</f>
        <v>#REF!</v>
      </c>
      <c r="AQ4" s="12">
        <f>SUMIFS(F:F,$O:$O,$P$4,$A:$A,$AO$1)</f>
        <v>0</v>
      </c>
      <c r="AR4" s="12">
        <f>SUMIFS(G:G,$O:$O,$P$4,$A:$A,$AO$1)</f>
        <v>0</v>
      </c>
      <c r="AS4" s="12" t="e">
        <f>SUMIFS(#REF!,$O:$O,$P$4,$A:$A,$AS$1)</f>
        <v>#REF!</v>
      </c>
      <c r="AT4" s="12" t="e">
        <f>SUMIFS(#REF!,$O:$O,$P$4,$A:$A,$AS$1)</f>
        <v>#REF!</v>
      </c>
      <c r="AU4" s="12">
        <f>SUMIFS(F:F,$O:$O,$P$4,$A:$A,$AS$1)</f>
        <v>0</v>
      </c>
      <c r="AV4" s="12">
        <f>SUMIFS(G:G,$O:$O,$P$4,$A:$A,$AS$1)</f>
        <v>0</v>
      </c>
    </row>
    <row r="5" spans="1:48" s="38" customFormat="1" x14ac:dyDescent="0.25">
      <c r="A5" s="38" t="str">
        <f>C62</f>
        <v>SUM SENTRALE INNTEKTER OG FINANSPOSTER</v>
      </c>
      <c r="B5" s="295"/>
      <c r="C5" s="123"/>
      <c r="D5" s="93"/>
      <c r="E5" s="93"/>
      <c r="F5" s="2">
        <f>F62</f>
        <v>-4802323</v>
      </c>
      <c r="G5" s="2">
        <f>G62</f>
        <v>-4795476</v>
      </c>
      <c r="H5" s="2">
        <f>H62</f>
        <v>-4804933</v>
      </c>
      <c r="I5" s="2">
        <f>I62</f>
        <v>-4840058</v>
      </c>
      <c r="M5" s="93">
        <v>9340</v>
      </c>
      <c r="N5" s="93">
        <v>6220</v>
      </c>
      <c r="O5" s="93"/>
      <c r="P5" s="1" t="s">
        <v>811</v>
      </c>
      <c r="Q5" s="12" t="e">
        <f>SUMIFS(#REF!,$M:$M,"VEDTATT",$A:$A,$Q$1)</f>
        <v>#REF!</v>
      </c>
      <c r="R5" s="12" t="e">
        <f>SUMIFS(#REF!,$M:$M,"VEDTATT",$A:$A,$Q$1)</f>
        <v>#REF!</v>
      </c>
      <c r="S5" s="12">
        <f>SUMIFS(F:F,$M:$M,"VEDTATT",$A:$A,$Q$1)</f>
        <v>0</v>
      </c>
      <c r="T5" s="12">
        <f>SUMIFS(G:G,$M:$M,"VEDTATT",$A:$A,$Q$1)</f>
        <v>0</v>
      </c>
      <c r="U5" s="12" t="e">
        <f>SUMIFS(#REF!,$M:$M,"VEDTATT",$A:$A,$U$1)</f>
        <v>#REF!</v>
      </c>
      <c r="V5" s="12" t="e">
        <f>SUMIFS(#REF!,$M:$M,"VEDTATT",$A:$A,$U$1)</f>
        <v>#REF!</v>
      </c>
      <c r="W5" s="12">
        <f>SUMIFS(F:F,$M:$M,"VEDTATT",$A:$A,$U$1)</f>
        <v>0</v>
      </c>
      <c r="X5" s="12">
        <f>SUMIFS(G:G,$M:$M,"VEDTATT",$A:$A,$U$1)</f>
        <v>0</v>
      </c>
      <c r="Y5" s="12" t="e">
        <f>SUMIFS(#REF!,$M:$M,"VEDTATT",$A:$A,$Y$1)</f>
        <v>#REF!</v>
      </c>
      <c r="Z5" s="12" t="e">
        <f>SUMIFS(#REF!,$M:$M,"VEDTATT",$A:$A,$Y$1)</f>
        <v>#REF!</v>
      </c>
      <c r="AA5" s="12">
        <f>SUMIFS(F:F,$M:$M,"VEDTATT",$A:$A,$Y$1)</f>
        <v>0</v>
      </c>
      <c r="AB5" s="12">
        <f>SUMIFS(G:G,$M:$M,"VEDTATT",$A:$A,$Y$1)</f>
        <v>0</v>
      </c>
      <c r="AC5" s="12" t="e">
        <f>SUMIFS(#REF!,$M:$M,"VEDTATT",$A:$A,$AC$1)</f>
        <v>#REF!</v>
      </c>
      <c r="AD5" s="12" t="e">
        <f>SUMIFS(#REF!,$M:$M,"VEDTATT",$A:$A,$AC$1)</f>
        <v>#REF!</v>
      </c>
      <c r="AE5" s="12">
        <f>SUMIFS(F:F,$M:$M,"VEDTATT",$A:$A,$AC$1)</f>
        <v>0</v>
      </c>
      <c r="AF5" s="12">
        <f>SUMIFS(G:G,$M:$M,"VEDTATT",$A:$A,$AC$1)</f>
        <v>0</v>
      </c>
      <c r="AG5" s="12" t="e">
        <f>SUMIFS(#REF!,$M:$M,"VEDTATT",$A:$A,$AG$1)</f>
        <v>#REF!</v>
      </c>
      <c r="AH5" s="12" t="e">
        <f>SUMIFS(#REF!,$M:$M,"VEDTATT",$A:$A,$AG$1)</f>
        <v>#REF!</v>
      </c>
      <c r="AI5" s="12">
        <f>SUMIFS(F:F,$M:$M,"VEDTATT",$A:$A,$AG$1)</f>
        <v>0</v>
      </c>
      <c r="AJ5" s="12">
        <f>SUMIFS(G:G,$M:$M,"VEDTATT",$A:$A,$AG$1)</f>
        <v>0</v>
      </c>
      <c r="AK5" s="12" t="e">
        <f>SUMIFS(#REF!,$M:$M,"VEDTATT",$A:$A,$AK$1)</f>
        <v>#REF!</v>
      </c>
      <c r="AL5" s="12" t="e">
        <f>SUMIFS(#REF!,$M:$M,"VEDTATT",$A:$A,$AK$1)</f>
        <v>#REF!</v>
      </c>
      <c r="AM5" s="12">
        <f>SUMIFS(F:F,$M:$M,"VEDTATT",$A:$A,$AK$1)</f>
        <v>0</v>
      </c>
      <c r="AN5" s="12">
        <f>SUMIFS(G:G,$M:$M,"VEDTATT",$A:$A,$AK$1)</f>
        <v>-800</v>
      </c>
      <c r="AO5" s="12" t="e">
        <f>SUMIFS(#REF!,$M:$M,"VEDTATT",$A:$A,$AO$1)</f>
        <v>#REF!</v>
      </c>
      <c r="AP5" s="12" t="e">
        <f>SUMIFS(#REF!,$M:$M,"VEDTATT",$A:$A,$AO$1)</f>
        <v>#REF!</v>
      </c>
      <c r="AQ5" s="12">
        <f>SUMIFS(F:F,$M:$M,"VEDTATT",$A:$A,$AO$1)</f>
        <v>0</v>
      </c>
      <c r="AR5" s="12">
        <f>SUMIFS(G:G,$M:$M,"VEDTATT",$A:$A,$AO$1)</f>
        <v>0</v>
      </c>
      <c r="AS5" s="12" t="e">
        <f>SUMIFS(#REF!,$M:$M,"VEDTATT",$A:$A,$AS$1)</f>
        <v>#REF!</v>
      </c>
      <c r="AT5" s="12" t="e">
        <f>SUMIFS(#REF!,$M:$M,"VEDTATT",$A:$A,$AS$1)</f>
        <v>#REF!</v>
      </c>
      <c r="AU5" s="12">
        <f>SUMIFS(F:F,$M:$M,"VEDTATT",$A:$A,$AS$1)</f>
        <v>-34135</v>
      </c>
      <c r="AV5" s="12">
        <f>SUMIFS(G:G,$M:$M,"VEDTATT",$A:$A,$AS$1)</f>
        <v>-46500</v>
      </c>
    </row>
    <row r="6" spans="1:48" s="38" customFormat="1" x14ac:dyDescent="0.25">
      <c r="A6" s="307" t="s">
        <v>2</v>
      </c>
      <c r="B6" s="308"/>
      <c r="C6" s="309"/>
      <c r="D6" s="310"/>
      <c r="E6" s="310"/>
      <c r="F6" s="311">
        <f>SUM(F4:F5)</f>
        <v>-255960</v>
      </c>
      <c r="G6" s="311">
        <f>SUM(G4:G5)</f>
        <v>-249113</v>
      </c>
      <c r="H6" s="311">
        <f>SUM(H4:H5)</f>
        <v>-258570</v>
      </c>
      <c r="I6" s="311">
        <f>SUM(I4:I5)</f>
        <v>-293695</v>
      </c>
      <c r="M6" s="93"/>
      <c r="N6" s="93"/>
      <c r="O6" s="93"/>
      <c r="P6" s="29" t="s">
        <v>812</v>
      </c>
      <c r="Q6" s="12" t="e">
        <f>SUMIFS(#REF!,$N:$N,$P$6,$A:$A,$Q$1)</f>
        <v>#REF!</v>
      </c>
      <c r="R6" s="12" t="e">
        <f>SUMIFS(#REF!,$N:$N,$P$6,$A:$A,$Q$1)</f>
        <v>#REF!</v>
      </c>
      <c r="S6" s="12">
        <f>SUMIFS(F:F,$N:$N,$P$6,$A:$A,$Q$1)</f>
        <v>0</v>
      </c>
      <c r="T6" s="12">
        <f>SUMIFS(G:G,$N:$N,$P$6,$A:$A,$Q$1)</f>
        <v>0</v>
      </c>
      <c r="U6" s="12" t="e">
        <f>SUMIFS(#REF!,$N:$N,$P$6,$A:$A,$U$1)</f>
        <v>#REF!</v>
      </c>
      <c r="V6" s="12" t="e">
        <f>SUMIFS(#REF!,$N:$N,$P$6,$A:$A,$U$1)</f>
        <v>#REF!</v>
      </c>
      <c r="W6" s="12">
        <f>SUMIFS(F:F,$N:$N,$P$6,$A:$A,$U$1)</f>
        <v>0</v>
      </c>
      <c r="X6" s="12">
        <f>SUMIFS(G:G,$N:$N,$P$6,$A:$A,$U$1)</f>
        <v>0</v>
      </c>
      <c r="Y6" s="12" t="e">
        <f>SUMIFS(#REF!,$N:$N,$P$6,$A:$A,$Y$1)</f>
        <v>#REF!</v>
      </c>
      <c r="Z6" s="12" t="e">
        <f>SUMIFS(#REF!,$N:$N,$P$6,$A:$A,$Y$1)</f>
        <v>#REF!</v>
      </c>
      <c r="AA6" s="12">
        <f>SUMIFS(F:F,$N:$N,$P$6,$A:$A,$Y$1)</f>
        <v>0</v>
      </c>
      <c r="AB6" s="12">
        <f>SUMIFS(G:G,$N:$N,$P$6,$A:$A,$Y$1)</f>
        <v>0</v>
      </c>
      <c r="AC6" s="12" t="e">
        <f>SUMIFS(#REF!,$N:$N,$P$6,$A:$A,$AC$1)</f>
        <v>#REF!</v>
      </c>
      <c r="AD6" s="12" t="e">
        <f>SUMIFS(#REF!,$N:$N,$P$6,$A:$A,$AC$1)</f>
        <v>#REF!</v>
      </c>
      <c r="AE6" s="12">
        <f>SUMIFS(F:F,$N:$N,$P$6,$A:$A,$AC$1)</f>
        <v>0</v>
      </c>
      <c r="AF6" s="12">
        <f>SUMIFS(G:G,$N:$N,$P$6,$A:$A,$AC$1)</f>
        <v>0</v>
      </c>
      <c r="AG6" s="12" t="e">
        <f>SUMIFS(#REF!,$N:$N,$P$6,$A:$A,$AG$1)</f>
        <v>#REF!</v>
      </c>
      <c r="AH6" s="12" t="e">
        <f>SUMIFS(#REF!,$N:$N,$P$6,$A:$A,$AG$1)</f>
        <v>#REF!</v>
      </c>
      <c r="AI6" s="12">
        <f>SUMIFS(F:F,$N:$N,$P$6,$A:$A,$AG$1)</f>
        <v>0</v>
      </c>
      <c r="AJ6" s="12">
        <f>SUMIFS(G:G,$N:$N,$P$6,$A:$A,$AG$1)</f>
        <v>0</v>
      </c>
      <c r="AK6" s="12" t="e">
        <f>SUMIFS(#REF!,$N:$N,$P$6,$A:$A,$AK$1)</f>
        <v>#REF!</v>
      </c>
      <c r="AL6" s="12" t="e">
        <f>SUMIFS(#REF!,$N:$N,$P$6,$A:$A,$AK$1)</f>
        <v>#REF!</v>
      </c>
      <c r="AM6" s="12">
        <f>SUMIFS(F:F,$N:$N,$P$6,$A:$A,$AK$1)</f>
        <v>0</v>
      </c>
      <c r="AN6" s="12">
        <f>SUMIFS(G:G,$N:$N,$P$6,$A:$A,$AK$1)</f>
        <v>0</v>
      </c>
      <c r="AO6" s="12" t="e">
        <f>SUMIFS(#REF!,$N:$N,$P$6,$A:$A,$AO$1)</f>
        <v>#REF!</v>
      </c>
      <c r="AP6" s="12" t="e">
        <f>SUMIFS(#REF!,$N:$N,$P$6,$A:$A,$AO$1)</f>
        <v>#REF!</v>
      </c>
      <c r="AQ6" s="12">
        <f>SUMIFS(F:F,$N:$N,$P$6,$A:$A,$AO$1)</f>
        <v>-50</v>
      </c>
      <c r="AR6" s="12">
        <f>SUMIFS(G:G,$N:$N,$P$6,$A:$A,$AO$1)</f>
        <v>-50</v>
      </c>
      <c r="AS6" s="12" t="e">
        <f>SUMIFS(#REF!,$N:$N,$P$6,$A:$A,$AS$1)</f>
        <v>#REF!</v>
      </c>
      <c r="AT6" s="12" t="e">
        <f>SUMIFS(#REF!,$N:$N,$P$6,$A:$A,$AS$1)</f>
        <v>#REF!</v>
      </c>
      <c r="AU6" s="12">
        <f>SUMIFS(F:F,$N:$N,$P$6,$A:$A,$AS$1)</f>
        <v>127914</v>
      </c>
      <c r="AV6" s="12">
        <f>SUMIFS(G:G,$N:$N,$P$6,$A:$A,$AS$1)</f>
        <v>130094</v>
      </c>
    </row>
    <row r="7" spans="1:48" s="38" customFormat="1" x14ac:dyDescent="0.25">
      <c r="A7" s="312"/>
      <c r="B7" s="302"/>
      <c r="C7" s="302"/>
      <c r="D7" s="304"/>
      <c r="E7" s="304"/>
      <c r="F7" s="313"/>
      <c r="G7" s="313"/>
      <c r="H7" s="313"/>
      <c r="I7" s="313"/>
      <c r="M7" s="93"/>
      <c r="N7" s="93"/>
      <c r="O7" s="93"/>
      <c r="P7" s="29" t="s">
        <v>813</v>
      </c>
      <c r="Q7" s="12" t="e">
        <f>SUMIFS(#REF!,$O:$O,$P$7,$A:$A,$Q$1)</f>
        <v>#REF!</v>
      </c>
      <c r="R7" s="12" t="e">
        <f>SUMIFS(#REF!,$O:$O,$P$7,$A:$A,$Q$1)</f>
        <v>#REF!</v>
      </c>
      <c r="S7" s="12">
        <f>SUMIFS(F:F,$O:$O,$P$7,$A:$A,$Q$1)</f>
        <v>0</v>
      </c>
      <c r="T7" s="12">
        <f>SUMIFS(G:G,$O:$O,$P$7,$A:$A,$Q$1)</f>
        <v>0</v>
      </c>
      <c r="U7" s="12" t="e">
        <f>SUMIFS(#REF!,$O:$O,$P$7,$A:$A,$U$1)</f>
        <v>#REF!</v>
      </c>
      <c r="V7" s="12" t="e">
        <f>SUMIFS(#REF!,$O:$O,$P$7,$A:$A,$U$1)</f>
        <v>#REF!</v>
      </c>
      <c r="W7" s="12">
        <f>SUMIFS(F:F,$O:$O,$P$7,$A:$A,$U$1)</f>
        <v>0</v>
      </c>
      <c r="X7" s="12">
        <f>SUMIFS(G:G,$O:$O,$P$7,$A:$A,$U$1)</f>
        <v>0</v>
      </c>
      <c r="Y7" s="12" t="e">
        <f>SUMIFS(#REF!,$O:$O,$P$7,$A:$A,$Y$1)</f>
        <v>#REF!</v>
      </c>
      <c r="Z7" s="12" t="e">
        <f>SUMIFS(#REF!,$O:$O,$P$7,$A:$A,$Y$1)</f>
        <v>#REF!</v>
      </c>
      <c r="AA7" s="12">
        <f>SUMIFS(F:F,$O:$O,$P$7,$A:$A,$Y$1)</f>
        <v>0</v>
      </c>
      <c r="AB7" s="12">
        <f>SUMIFS(G:G,$O:$O,$P$7,$A:$A,$Y$1)</f>
        <v>0</v>
      </c>
      <c r="AC7" s="12" t="e">
        <f>SUMIFS(#REF!,$O:$O,$P$7,$A:$A,$AC$1)</f>
        <v>#REF!</v>
      </c>
      <c r="AD7" s="12" t="e">
        <f>SUMIFS(#REF!,$O:$O,$P$7,$A:$A,$AC$1)</f>
        <v>#REF!</v>
      </c>
      <c r="AE7" s="12">
        <f>SUMIFS(F:F,$O:$O,$P$7,$A:$A,$AC$1)</f>
        <v>0</v>
      </c>
      <c r="AF7" s="12">
        <f>SUMIFS(G:G,$O:$O,$P$7,$A:$A,$AC$1)</f>
        <v>0</v>
      </c>
      <c r="AG7" s="12" t="e">
        <f>SUMIFS(#REF!,$O:$O,$P$7,$A:$A,$AG$1)</f>
        <v>#REF!</v>
      </c>
      <c r="AH7" s="12" t="e">
        <f>SUMIFS(#REF!,$O:$O,$P$7,$A:$A,$AG$1)</f>
        <v>#REF!</v>
      </c>
      <c r="AI7" s="12">
        <f>SUMIFS(F:F,$O:$O,$P$7,$A:$A,$AG$1)</f>
        <v>0</v>
      </c>
      <c r="AJ7" s="12">
        <f>SUMIFS(G:G,$O:$O,$P$7,$A:$A,$AG$1)</f>
        <v>0</v>
      </c>
      <c r="AK7" s="12" t="e">
        <f>SUMIFS(#REF!,$O:$O,$P$7,$A:$A,$AK$1)</f>
        <v>#REF!</v>
      </c>
      <c r="AL7" s="12" t="e">
        <f>SUMIFS(#REF!,$O:$O,$P$7,$A:$A,$AK$1)</f>
        <v>#REF!</v>
      </c>
      <c r="AM7" s="12">
        <f>SUMIFS(F:F,$O:$O,$P$7,$A:$A,$AK$1)</f>
        <v>0</v>
      </c>
      <c r="AN7" s="12">
        <f>SUMIFS(G:G,$O:$O,$P$7,$A:$A,$AK$1)</f>
        <v>0</v>
      </c>
      <c r="AO7" s="12" t="e">
        <f>SUMIFS(#REF!,$O:$O,$P$7,$A:$A,$AO$1)</f>
        <v>#REF!</v>
      </c>
      <c r="AP7" s="12" t="e">
        <f>SUMIFS(#REF!,$O:$O,$P$7,$A:$A,$AO$1)</f>
        <v>#REF!</v>
      </c>
      <c r="AQ7" s="12">
        <f>SUMIFS(F:F,$O:$O,$P$7,$A:$A,$AO$1)</f>
        <v>0</v>
      </c>
      <c r="AR7" s="12">
        <f>SUMIFS(G:G,$O:$O,$P$7,$A:$A,$AO$1)</f>
        <v>0</v>
      </c>
      <c r="AS7" s="12" t="e">
        <f>SUMIFS(#REF!,$O:$O,$P$7,$A:$A,$AS$1)</f>
        <v>#REF!</v>
      </c>
      <c r="AT7" s="12" t="e">
        <f>SUMIFS(#REF!,$O:$O,$P$7,$A:$A,$AS$1)</f>
        <v>#REF!</v>
      </c>
      <c r="AU7" s="12">
        <f>SUMIFS(F:F,$O:$O,$P$7,$A:$A,$AS$1)</f>
        <v>0</v>
      </c>
      <c r="AV7" s="12">
        <f>SUMIFS(G:G,$O:$O,$P$7,$A:$A,$AS$1)</f>
        <v>0</v>
      </c>
    </row>
    <row r="8" spans="1:48" s="38" customFormat="1" x14ac:dyDescent="0.25">
      <c r="A8" s="314" t="s">
        <v>637</v>
      </c>
      <c r="B8" s="207"/>
      <c r="C8" s="207"/>
      <c r="D8" s="315"/>
      <c r="E8" s="315"/>
      <c r="F8" s="39">
        <f>SUMIF($D:$D,"ØP 21-24",F:F)</f>
        <v>-15191</v>
      </c>
      <c r="G8" s="39">
        <f>SUMIF($D:$D,"ØP 21-24",G:G)</f>
        <v>-9266</v>
      </c>
      <c r="H8" s="39">
        <f>SUMIF($D:$D,"ØP 21-24",H:H)</f>
        <v>4891.5833333333321</v>
      </c>
      <c r="I8" s="39">
        <f>SUMIF($D:$D,"ØP 21-24",I:I)</f>
        <v>29560</v>
      </c>
      <c r="M8" s="93"/>
      <c r="N8" s="51"/>
      <c r="O8" s="51"/>
      <c r="P8" s="28" t="s">
        <v>305</v>
      </c>
      <c r="Q8" s="233" t="e">
        <f t="shared" ref="Q8:AV8" si="0">SUBTOTAL(9,Q4:Q7)</f>
        <v>#REF!</v>
      </c>
      <c r="R8" s="233" t="e">
        <f t="shared" si="0"/>
        <v>#REF!</v>
      </c>
      <c r="S8" s="233">
        <f t="shared" si="0"/>
        <v>0</v>
      </c>
      <c r="T8" s="233">
        <f t="shared" si="0"/>
        <v>0</v>
      </c>
      <c r="U8" s="233" t="e">
        <f t="shared" si="0"/>
        <v>#REF!</v>
      </c>
      <c r="V8" s="233" t="e">
        <f t="shared" si="0"/>
        <v>#REF!</v>
      </c>
      <c r="W8" s="233">
        <f t="shared" si="0"/>
        <v>0</v>
      </c>
      <c r="X8" s="233">
        <f t="shared" si="0"/>
        <v>0</v>
      </c>
      <c r="Y8" s="233" t="e">
        <f t="shared" si="0"/>
        <v>#REF!</v>
      </c>
      <c r="Z8" s="233" t="e">
        <f t="shared" si="0"/>
        <v>#REF!</v>
      </c>
      <c r="AA8" s="233">
        <f t="shared" si="0"/>
        <v>0</v>
      </c>
      <c r="AB8" s="233">
        <f t="shared" si="0"/>
        <v>0</v>
      </c>
      <c r="AC8" s="233" t="e">
        <f t="shared" si="0"/>
        <v>#REF!</v>
      </c>
      <c r="AD8" s="233" t="e">
        <f t="shared" si="0"/>
        <v>#REF!</v>
      </c>
      <c r="AE8" s="233">
        <f t="shared" si="0"/>
        <v>0</v>
      </c>
      <c r="AF8" s="233">
        <f t="shared" si="0"/>
        <v>0</v>
      </c>
      <c r="AG8" s="233" t="e">
        <f t="shared" si="0"/>
        <v>#REF!</v>
      </c>
      <c r="AH8" s="233" t="e">
        <f t="shared" si="0"/>
        <v>#REF!</v>
      </c>
      <c r="AI8" s="233">
        <f t="shared" si="0"/>
        <v>0</v>
      </c>
      <c r="AJ8" s="233">
        <f t="shared" si="0"/>
        <v>0</v>
      </c>
      <c r="AK8" s="233" t="e">
        <f t="shared" si="0"/>
        <v>#REF!</v>
      </c>
      <c r="AL8" s="233" t="e">
        <f t="shared" si="0"/>
        <v>#REF!</v>
      </c>
      <c r="AM8" s="233">
        <f t="shared" si="0"/>
        <v>0</v>
      </c>
      <c r="AN8" s="233">
        <f t="shared" si="0"/>
        <v>-800</v>
      </c>
      <c r="AO8" s="233" t="e">
        <f t="shared" si="0"/>
        <v>#REF!</v>
      </c>
      <c r="AP8" s="233" t="e">
        <f t="shared" si="0"/>
        <v>#REF!</v>
      </c>
      <c r="AQ8" s="233">
        <f t="shared" si="0"/>
        <v>-50</v>
      </c>
      <c r="AR8" s="233">
        <f t="shared" si="0"/>
        <v>-50</v>
      </c>
      <c r="AS8" s="233" t="e">
        <f t="shared" si="0"/>
        <v>#REF!</v>
      </c>
      <c r="AT8" s="233" t="e">
        <f t="shared" si="0"/>
        <v>#REF!</v>
      </c>
      <c r="AU8" s="233">
        <f t="shared" si="0"/>
        <v>93779</v>
      </c>
      <c r="AV8" s="233">
        <f t="shared" si="0"/>
        <v>83594</v>
      </c>
    </row>
    <row r="9" spans="1:48" s="38" customFormat="1" x14ac:dyDescent="0.25">
      <c r="A9" s="316" t="s">
        <v>4</v>
      </c>
      <c r="B9" s="317"/>
      <c r="C9" s="317"/>
      <c r="D9" s="318"/>
      <c r="E9" s="318"/>
      <c r="F9" s="267">
        <f>SUMIF($D:$D,"ØP 21-24 REKALK",F:F)</f>
        <v>35196</v>
      </c>
      <c r="G9" s="267">
        <f>SUMIF($D:$D,"ØP 21-24 REKALK",G:G)</f>
        <v>37468</v>
      </c>
      <c r="H9" s="267">
        <f>SUMIF($D:$D,"ØP 21-24 REKALK",H:H)</f>
        <v>35983</v>
      </c>
      <c r="I9" s="267">
        <f>SUMIF($D:$D,"ØP 21-24 REKALK",I:I)</f>
        <v>42303</v>
      </c>
      <c r="M9" s="93"/>
      <c r="N9" s="51"/>
      <c r="O9" s="51"/>
      <c r="P9" s="28"/>
    </row>
    <row r="10" spans="1:48" s="38" customFormat="1" x14ac:dyDescent="0.25">
      <c r="A10" s="319" t="s">
        <v>5</v>
      </c>
      <c r="B10" s="320"/>
      <c r="C10" s="320"/>
      <c r="D10" s="321"/>
      <c r="E10" s="321"/>
      <c r="F10" s="322">
        <f>F6+F8+F9</f>
        <v>-235955</v>
      </c>
      <c r="G10" s="322">
        <f>G6+G8+G9</f>
        <v>-220911</v>
      </c>
      <c r="H10" s="322">
        <f>H6+H8+H9</f>
        <v>-217695.41666666666</v>
      </c>
      <c r="I10" s="322">
        <f>I6+I8+I9</f>
        <v>-221832</v>
      </c>
      <c r="M10" s="93"/>
      <c r="N10" s="51"/>
      <c r="O10" s="51"/>
      <c r="P10" s="28"/>
    </row>
    <row r="11" spans="1:48" s="28" customFormat="1" x14ac:dyDescent="0.25">
      <c r="A11" s="38"/>
      <c r="B11" s="295"/>
      <c r="C11" s="295"/>
      <c r="D11" s="93"/>
      <c r="E11" s="93"/>
      <c r="F11" s="2"/>
      <c r="G11" s="2"/>
      <c r="H11" s="2"/>
      <c r="I11" s="2"/>
      <c r="J11" s="38"/>
      <c r="K11" s="38"/>
      <c r="L11" s="38"/>
      <c r="M11" s="93"/>
      <c r="N11" s="51"/>
      <c r="O11" s="51"/>
      <c r="Q11" s="95"/>
      <c r="R11" s="95"/>
      <c r="S11" s="95"/>
      <c r="T11" s="95"/>
    </row>
    <row r="12" spans="1:48" s="28" customFormat="1" x14ac:dyDescent="0.25">
      <c r="A12" s="312" t="s">
        <v>638</v>
      </c>
      <c r="B12" s="295"/>
      <c r="C12" s="295"/>
      <c r="D12" s="93"/>
      <c r="E12" s="93"/>
      <c r="F12" s="2">
        <f>SUMIFS(F:F,$D:$D,"NYTT",$E:$E,"INNSP")</f>
        <v>0</v>
      </c>
      <c r="G12" s="2">
        <f>SUMIFS(G:G,$D:$D,"NYTT",$E:$E,"INNSP")</f>
        <v>0</v>
      </c>
      <c r="H12" s="2">
        <f>SUMIFS(H:H,$D:$D,"NYTT",$E:$E,"INNSP")</f>
        <v>0</v>
      </c>
      <c r="I12" s="2">
        <f>SUMIFS(I:I,$D:$D,"NYTT",$E:$E,"INNSP")</f>
        <v>0</v>
      </c>
      <c r="J12" s="38"/>
      <c r="K12" s="38"/>
      <c r="L12" s="38"/>
      <c r="M12" s="93"/>
      <c r="N12" s="51"/>
      <c r="O12" s="51"/>
      <c r="Q12" s="95"/>
      <c r="R12" s="95"/>
      <c r="S12" s="95"/>
      <c r="T12" s="95"/>
    </row>
    <row r="13" spans="1:48" s="38" customFormat="1" x14ac:dyDescent="0.25">
      <c r="A13" s="316" t="s">
        <v>639</v>
      </c>
      <c r="B13" s="317"/>
      <c r="C13" s="317"/>
      <c r="D13" s="318"/>
      <c r="E13" s="318"/>
      <c r="F13" s="267">
        <f>SUMIFS(F:F,$D:$D,"NYTT",$E:$E,"MÅ")</f>
        <v>235955</v>
      </c>
      <c r="G13" s="267">
        <f>SUMIFS(G:G,$D:$D,"NYTT",$E:$E,"MÅ")</f>
        <v>220911</v>
      </c>
      <c r="H13" s="267">
        <f>SUMIFS(H:H,$D:$D,"NYTT",$E:$E,"MÅ")</f>
        <v>217695</v>
      </c>
      <c r="I13" s="267">
        <f>SUMIFS(I:I,$D:$D,"NYTT",$E:$E,"MÅ")</f>
        <v>221832</v>
      </c>
      <c r="M13" s="93"/>
      <c r="N13" s="51"/>
      <c r="O13" s="51"/>
      <c r="P13" s="29" t="s">
        <v>810</v>
      </c>
      <c r="Q13" s="95" t="e">
        <f t="shared" ref="Q13:T17" si="1">Q4+U4+Y4+AC4+AG4+AK4+AO4+AS4</f>
        <v>#REF!</v>
      </c>
      <c r="R13" s="95" t="e">
        <f t="shared" si="1"/>
        <v>#REF!</v>
      </c>
      <c r="S13" s="95">
        <f t="shared" si="1"/>
        <v>0</v>
      </c>
      <c r="T13" s="95">
        <f t="shared" si="1"/>
        <v>0</v>
      </c>
    </row>
    <row r="14" spans="1:48" s="38" customFormat="1" x14ac:dyDescent="0.25">
      <c r="A14" s="307" t="s">
        <v>8</v>
      </c>
      <c r="B14" s="309"/>
      <c r="C14" s="309"/>
      <c r="D14" s="323"/>
      <c r="E14" s="323"/>
      <c r="F14" s="324">
        <f>F6+F8+F9+F12+F13</f>
        <v>0</v>
      </c>
      <c r="G14" s="324">
        <f>G6+G8+G9+G12+G13</f>
        <v>0</v>
      </c>
      <c r="H14" s="324">
        <f>H6+H8+H9+H12+H13</f>
        <v>-0.41666666665696539</v>
      </c>
      <c r="I14" s="324">
        <f>I6+I8+I9+I12+I13</f>
        <v>0</v>
      </c>
      <c r="M14" s="93"/>
      <c r="N14" s="51"/>
      <c r="O14" s="51"/>
      <c r="P14" s="1" t="s">
        <v>811</v>
      </c>
      <c r="Q14" s="95" t="e">
        <f t="shared" si="1"/>
        <v>#REF!</v>
      </c>
      <c r="R14" s="95" t="e">
        <f t="shared" si="1"/>
        <v>#REF!</v>
      </c>
      <c r="S14" s="95">
        <f t="shared" si="1"/>
        <v>-34135</v>
      </c>
      <c r="T14" s="95">
        <f t="shared" si="1"/>
        <v>-47300</v>
      </c>
    </row>
    <row r="15" spans="1:48" s="38" customFormat="1" x14ac:dyDescent="0.25">
      <c r="A15" s="312"/>
      <c r="B15" s="302"/>
      <c r="C15" s="302"/>
      <c r="D15" s="304"/>
      <c r="E15" s="304"/>
      <c r="F15" s="491"/>
      <c r="G15" s="313"/>
      <c r="H15" s="313"/>
      <c r="I15" s="313"/>
      <c r="M15" s="93"/>
      <c r="N15" s="51"/>
      <c r="O15" s="51"/>
      <c r="P15" s="29" t="s">
        <v>812</v>
      </c>
      <c r="Q15" s="95" t="e">
        <f t="shared" si="1"/>
        <v>#REF!</v>
      </c>
      <c r="R15" s="95" t="e">
        <f t="shared" si="1"/>
        <v>#REF!</v>
      </c>
      <c r="S15" s="95">
        <f t="shared" si="1"/>
        <v>127864</v>
      </c>
      <c r="T15" s="95">
        <f t="shared" si="1"/>
        <v>130044</v>
      </c>
    </row>
    <row r="16" spans="1:48" s="38" customFormat="1" x14ac:dyDescent="0.25">
      <c r="A16" s="314" t="s">
        <v>640</v>
      </c>
      <c r="B16" s="207"/>
      <c r="C16" s="207"/>
      <c r="D16" s="315"/>
      <c r="E16" s="315"/>
      <c r="F16" s="39">
        <f>SUMIF($D:$D,"NYTT",F:F)-F17-F13-F12</f>
        <v>0</v>
      </c>
      <c r="G16" s="39">
        <f>SUMIF($D:$D,"NYTT",G:G)-G17-G13-G12</f>
        <v>0</v>
      </c>
      <c r="H16" s="39">
        <f>SUMIF($D:$D,"NYTT",H:H)-H17-H13-H12</f>
        <v>0</v>
      </c>
      <c r="I16" s="39">
        <f>SUMIF($D:$D,"NYTT",I:I)-I17-I13-I12</f>
        <v>0</v>
      </c>
      <c r="M16" s="93"/>
      <c r="N16" s="51"/>
      <c r="O16" s="51"/>
      <c r="P16" s="29" t="s">
        <v>813</v>
      </c>
      <c r="Q16" s="95" t="e">
        <f t="shared" si="1"/>
        <v>#REF!</v>
      </c>
      <c r="R16" s="95" t="e">
        <f t="shared" si="1"/>
        <v>#REF!</v>
      </c>
      <c r="S16" s="95">
        <f t="shared" si="1"/>
        <v>0</v>
      </c>
      <c r="T16" s="95">
        <f t="shared" si="1"/>
        <v>0</v>
      </c>
    </row>
    <row r="17" spans="1:49" s="38" customFormat="1" x14ac:dyDescent="0.25">
      <c r="A17" s="325" t="s">
        <v>641</v>
      </c>
      <c r="B17" s="207"/>
      <c r="C17" s="326"/>
      <c r="D17" s="315"/>
      <c r="E17" s="315"/>
      <c r="F17" s="327">
        <f>SUMIFS(F:F,$D:$D,"NYTT",$E:$E,"IKKE PRI")</f>
        <v>0</v>
      </c>
      <c r="G17" s="327">
        <f>SUMIFS(G:G,$D:$D,"NYTT",$E:$E,"IKKE PRI")</f>
        <v>0</v>
      </c>
      <c r="H17" s="327">
        <f>SUMIFS(H:H,$D:$D,"NYTT",$E:$E,"IKKE PRI")</f>
        <v>0</v>
      </c>
      <c r="I17" s="327">
        <f>SUMIFS(I:I,$D:$D,"NYTT",$E:$E,"IKKE PRI")</f>
        <v>0</v>
      </c>
      <c r="M17" s="93"/>
      <c r="N17" s="51"/>
      <c r="O17" s="51"/>
      <c r="P17" s="28" t="s">
        <v>305</v>
      </c>
      <c r="Q17" s="95" t="e">
        <f t="shared" si="1"/>
        <v>#REF!</v>
      </c>
      <c r="R17" s="95" t="e">
        <f t="shared" si="1"/>
        <v>#REF!</v>
      </c>
      <c r="S17" s="95">
        <f t="shared" si="1"/>
        <v>93729</v>
      </c>
      <c r="T17" s="95">
        <f t="shared" si="1"/>
        <v>82744</v>
      </c>
    </row>
    <row r="18" spans="1:49" s="38" customFormat="1" x14ac:dyDescent="0.25">
      <c r="A18" s="325"/>
      <c r="B18" s="207"/>
      <c r="C18" s="326"/>
      <c r="D18" s="315"/>
      <c r="E18" s="315"/>
      <c r="F18" s="292">
        <f>(F8+F9+F13+F16+F17+F12)-SUMIF($B:$B,"X",F:F)</f>
        <v>0</v>
      </c>
      <c r="G18" s="292">
        <f>(G8+G9+G13+G16+G17+G12)-SUMIF($B:$B,"X",G:G)</f>
        <v>0</v>
      </c>
      <c r="H18" s="292">
        <f>(H8+H9+H13+H16+H17+H12)-SUMIF($B:$B,"X",H:H)</f>
        <v>0</v>
      </c>
      <c r="I18" s="292">
        <f>(I8+I9+I13+I16+I17+I12)-SUMIF($B:$B,"X",I:I)</f>
        <v>0</v>
      </c>
      <c r="M18" s="93"/>
      <c r="N18" s="51"/>
      <c r="O18" s="51"/>
      <c r="P18" s="28"/>
    </row>
    <row r="19" spans="1:49" s="38" customFormat="1" x14ac:dyDescent="0.25">
      <c r="A19" s="328"/>
      <c r="B19" s="329"/>
      <c r="C19" s="298"/>
      <c r="D19" s="330"/>
      <c r="E19" s="330"/>
      <c r="F19" s="331"/>
      <c r="G19" s="331"/>
      <c r="H19" s="331"/>
      <c r="I19" s="331"/>
      <c r="M19" s="93"/>
      <c r="N19" s="51"/>
      <c r="O19" s="51"/>
      <c r="P19" s="28"/>
    </row>
    <row r="20" spans="1:49" s="38" customFormat="1" x14ac:dyDescent="0.25">
      <c r="A20" s="332"/>
      <c r="B20" s="295"/>
      <c r="C20" s="333"/>
      <c r="D20" s="93"/>
      <c r="E20" s="93"/>
      <c r="F20" s="334">
        <f>F8+F9+F13+F12</f>
        <v>255960</v>
      </c>
      <c r="G20" s="334">
        <f>G8+G9+G13+G12</f>
        <v>249113</v>
      </c>
      <c r="H20" s="334">
        <f>H8+H9+H13+H12</f>
        <v>258569.58333333331</v>
      </c>
      <c r="I20" s="334">
        <f>I8+I9+I13+I12</f>
        <v>293695</v>
      </c>
      <c r="M20" s="93"/>
      <c r="N20" s="51"/>
      <c r="O20" s="51"/>
      <c r="P20" s="28"/>
    </row>
    <row r="21" spans="1:49" s="38" customFormat="1" x14ac:dyDescent="0.25">
      <c r="A21" s="332"/>
      <c r="B21" s="295"/>
      <c r="C21" s="333"/>
      <c r="D21" s="93"/>
      <c r="E21" s="93"/>
      <c r="F21" s="334"/>
      <c r="G21" s="334"/>
      <c r="H21" s="334"/>
      <c r="I21" s="334"/>
      <c r="M21" s="93"/>
      <c r="N21" s="51"/>
      <c r="O21" s="51"/>
      <c r="P21" s="28"/>
    </row>
    <row r="22" spans="1:49" s="38" customFormat="1" hidden="1" x14ac:dyDescent="0.25">
      <c r="A22" s="192" t="s">
        <v>12</v>
      </c>
      <c r="B22" s="335"/>
      <c r="C22" s="236"/>
      <c r="D22" s="237"/>
      <c r="E22" s="237"/>
      <c r="F22" s="193"/>
      <c r="G22" s="193"/>
      <c r="H22" s="193"/>
      <c r="I22" s="193"/>
      <c r="J22" s="28"/>
      <c r="K22" s="28"/>
      <c r="L22" s="28"/>
      <c r="M22" s="51"/>
      <c r="N22" s="51"/>
      <c r="O22" s="51"/>
      <c r="P22" s="28"/>
    </row>
    <row r="23" spans="1:49" s="125" customFormat="1" hidden="1" x14ac:dyDescent="0.25">
      <c r="A23" s="194" t="s">
        <v>13</v>
      </c>
      <c r="B23" s="238"/>
      <c r="C23" s="195"/>
      <c r="D23" s="239"/>
      <c r="E23" s="239"/>
      <c r="F23" s="196">
        <f>SUMIF($N:$N,"FOND",F:F)</f>
        <v>0</v>
      </c>
      <c r="G23" s="196">
        <f>SUMIF($N:$N,"FOND",G:G)</f>
        <v>0</v>
      </c>
      <c r="H23" s="196">
        <f>SUMIF($N:$N,"FOND",H:H)</f>
        <v>0</v>
      </c>
      <c r="I23" s="196">
        <f>SUMIF($N:$N,"FOND",I:I)</f>
        <v>0</v>
      </c>
      <c r="J23" s="240"/>
      <c r="K23" s="240"/>
      <c r="L23" s="240"/>
      <c r="M23" s="241"/>
      <c r="N23" s="241"/>
      <c r="O23" s="241"/>
      <c r="P23" s="240"/>
      <c r="AW23" s="38"/>
    </row>
    <row r="24" spans="1:49" s="38" customFormat="1" hidden="1" x14ac:dyDescent="0.25">
      <c r="A24" s="197" t="s">
        <v>14</v>
      </c>
      <c r="B24" s="335"/>
      <c r="C24" s="236"/>
      <c r="D24" s="237"/>
      <c r="E24" s="237"/>
      <c r="F24" s="198">
        <f>SUBTOTAL(9,F22:F23)</f>
        <v>0</v>
      </c>
      <c r="G24" s="198">
        <f>SUBTOTAL(9,G22:G23)</f>
        <v>0</v>
      </c>
      <c r="H24" s="198">
        <f>SUBTOTAL(9,H22:H23)</f>
        <v>0</v>
      </c>
      <c r="I24" s="198">
        <f>SUBTOTAL(9,I22:I23)</f>
        <v>0</v>
      </c>
      <c r="J24" s="28"/>
      <c r="K24" s="28"/>
      <c r="L24" s="28"/>
      <c r="M24" s="51"/>
      <c r="N24" s="51"/>
      <c r="O24" s="51"/>
      <c r="P24" s="28"/>
    </row>
    <row r="25" spans="1:49" s="38" customFormat="1" x14ac:dyDescent="0.25">
      <c r="A25" s="28"/>
      <c r="B25" s="11"/>
      <c r="C25" s="11"/>
      <c r="D25" s="242"/>
      <c r="E25" s="242"/>
      <c r="F25" s="336">
        <f>(F8+F9+F13+F16+F17+F12)-SUMIF($B:$B,"X",F:F)</f>
        <v>0</v>
      </c>
      <c r="G25" s="336">
        <f>(G8+G9+G13+G16+G17+G12)-SUMIF($B:$B,"X",G:G)</f>
        <v>0</v>
      </c>
      <c r="H25" s="336">
        <f>(H8+H9+H13+H16+H17+H12)-SUMIF($B:$B,"X",H:H)</f>
        <v>0</v>
      </c>
      <c r="I25" s="336">
        <f>(I8+I9+I13+I16+I17+I12)-SUMIF($B:$B,"X",I:I)</f>
        <v>0</v>
      </c>
      <c r="J25" s="28"/>
      <c r="K25" s="28"/>
      <c r="L25" s="28"/>
      <c r="M25" s="51"/>
      <c r="N25" s="51"/>
      <c r="O25" s="51"/>
      <c r="P25" s="28"/>
    </row>
    <row r="26" spans="1:49" s="38" customFormat="1" x14ac:dyDescent="0.25">
      <c r="A26" s="4" t="s">
        <v>15</v>
      </c>
      <c r="B26" s="5" t="s">
        <v>16</v>
      </c>
      <c r="C26" s="3" t="s">
        <v>17</v>
      </c>
      <c r="D26" s="8" t="s">
        <v>18</v>
      </c>
      <c r="E26" s="46" t="s">
        <v>19</v>
      </c>
      <c r="F26" s="4">
        <v>2022</v>
      </c>
      <c r="G26" s="4">
        <v>2023</v>
      </c>
      <c r="H26" s="4">
        <v>2024</v>
      </c>
      <c r="I26" s="4">
        <v>2025</v>
      </c>
      <c r="J26" s="4" t="s">
        <v>642</v>
      </c>
      <c r="K26" s="28" t="s">
        <v>643</v>
      </c>
      <c r="L26" s="28" t="s">
        <v>644</v>
      </c>
      <c r="M26" s="51"/>
      <c r="N26" s="51"/>
      <c r="O26" s="51"/>
      <c r="P26" s="28"/>
    </row>
    <row r="27" spans="1:49" s="38" customFormat="1" x14ac:dyDescent="0.25">
      <c r="A27" s="234"/>
      <c r="B27" s="11"/>
      <c r="C27" s="17"/>
      <c r="D27" s="51"/>
      <c r="E27" s="86" t="s">
        <v>645</v>
      </c>
      <c r="F27" s="235">
        <v>-2691000</v>
      </c>
      <c r="G27" s="235">
        <v>-2721000</v>
      </c>
      <c r="H27" s="235">
        <v>-2752000</v>
      </c>
      <c r="I27" s="235"/>
      <c r="J27" s="39"/>
      <c r="K27" s="28"/>
      <c r="L27" s="28"/>
      <c r="M27" s="28"/>
      <c r="N27" s="28"/>
      <c r="O27" s="28"/>
      <c r="P27" s="28"/>
      <c r="R27" s="235"/>
      <c r="S27" s="235"/>
      <c r="T27" s="235"/>
    </row>
    <row r="28" spans="1:49" s="38" customFormat="1" x14ac:dyDescent="0.25">
      <c r="A28" s="15"/>
      <c r="B28" s="44"/>
      <c r="C28" s="16" t="s">
        <v>21</v>
      </c>
      <c r="D28" s="41"/>
      <c r="E28" s="87" t="s">
        <v>646</v>
      </c>
      <c r="F28" s="85">
        <v>-1958000</v>
      </c>
      <c r="G28" s="85">
        <v>-1989000</v>
      </c>
      <c r="H28" s="85">
        <v>-2013000</v>
      </c>
      <c r="I28" s="85"/>
      <c r="J28" s="39"/>
      <c r="K28" s="337"/>
      <c r="L28" s="337"/>
      <c r="M28" s="77"/>
      <c r="N28" s="243"/>
      <c r="O28" s="243"/>
      <c r="P28" s="243"/>
      <c r="Q28" s="243"/>
      <c r="R28" s="85"/>
      <c r="S28" s="85"/>
      <c r="T28" s="85"/>
    </row>
    <row r="29" spans="1:49" s="38" customFormat="1" x14ac:dyDescent="0.25">
      <c r="A29" s="78" t="s">
        <v>22</v>
      </c>
      <c r="B29" s="338" t="str">
        <f t="shared" ref="B29:B60" si="2">IF(L29,K29&amp;L29,"")</f>
        <v>I1</v>
      </c>
      <c r="C29" s="98" t="s">
        <v>23</v>
      </c>
      <c r="D29" s="79" t="s">
        <v>22</v>
      </c>
      <c r="E29" s="79" t="s">
        <v>24</v>
      </c>
      <c r="F29" s="90">
        <v>-2791000</v>
      </c>
      <c r="G29" s="90">
        <v>-2822000</v>
      </c>
      <c r="H29" s="90">
        <v>-2853000</v>
      </c>
      <c r="I29" s="90">
        <v>-2884000</v>
      </c>
      <c r="J29" s="292" t="s">
        <v>814</v>
      </c>
      <c r="K29" s="28" t="s">
        <v>648</v>
      </c>
      <c r="L29" s="28">
        <f t="shared" ref="L29:L61" si="3">L28+1</f>
        <v>1</v>
      </c>
      <c r="M29" s="199"/>
      <c r="N29" s="200"/>
      <c r="O29" s="200"/>
      <c r="P29" s="28"/>
      <c r="R29" s="90"/>
      <c r="S29" s="90"/>
      <c r="T29" s="90"/>
      <c r="U29" s="90"/>
      <c r="V29" s="95"/>
    </row>
    <row r="30" spans="1:49" s="38" customFormat="1" x14ac:dyDescent="0.25">
      <c r="A30" s="78" t="s">
        <v>22</v>
      </c>
      <c r="B30" s="338" t="str">
        <f t="shared" si="2"/>
        <v>I2</v>
      </c>
      <c r="C30" s="98" t="s">
        <v>29</v>
      </c>
      <c r="D30" s="79" t="s">
        <v>22</v>
      </c>
      <c r="E30" s="79" t="s">
        <v>24</v>
      </c>
      <c r="F30" s="90">
        <f>-2064000-20000</f>
        <v>-2084000</v>
      </c>
      <c r="G30" s="90">
        <f>-2095000-20000</f>
        <v>-2115000</v>
      </c>
      <c r="H30" s="90">
        <f>-2121000-20000</f>
        <v>-2141000</v>
      </c>
      <c r="I30" s="90">
        <f>-2144000-20000</f>
        <v>-2164000</v>
      </c>
      <c r="J30" s="292" t="s">
        <v>814</v>
      </c>
      <c r="K30" s="28" t="s">
        <v>648</v>
      </c>
      <c r="L30" s="28">
        <f t="shared" si="3"/>
        <v>2</v>
      </c>
      <c r="M30" s="199"/>
      <c r="N30" s="200"/>
      <c r="O30" s="200"/>
      <c r="P30" s="28"/>
      <c r="R30" s="90"/>
      <c r="S30" s="90"/>
      <c r="T30" s="90"/>
      <c r="U30" s="90"/>
      <c r="V30" s="95"/>
    </row>
    <row r="31" spans="1:49" s="38" customFormat="1" x14ac:dyDescent="0.25">
      <c r="A31" s="78" t="s">
        <v>22</v>
      </c>
      <c r="B31" s="338" t="str">
        <f t="shared" si="2"/>
        <v>I3</v>
      </c>
      <c r="C31" s="98" t="s">
        <v>32</v>
      </c>
      <c r="D31" s="79" t="s">
        <v>22</v>
      </c>
      <c r="E31" s="79" t="s">
        <v>24</v>
      </c>
      <c r="F31" s="90">
        <v>-63000</v>
      </c>
      <c r="G31" s="90">
        <v>-64000</v>
      </c>
      <c r="H31" s="90">
        <v>-64000</v>
      </c>
      <c r="I31" s="90">
        <v>-64000</v>
      </c>
      <c r="J31" s="292" t="s">
        <v>649</v>
      </c>
      <c r="K31" s="28" t="s">
        <v>648</v>
      </c>
      <c r="L31" s="28">
        <f t="shared" si="3"/>
        <v>3</v>
      </c>
      <c r="M31" s="199"/>
      <c r="N31" s="258">
        <f>1-N32</f>
        <v>0.13649999999999995</v>
      </c>
      <c r="O31" s="200"/>
      <c r="P31" s="28"/>
      <c r="R31" s="90"/>
      <c r="S31" s="90"/>
      <c r="T31" s="90"/>
      <c r="U31" s="90"/>
      <c r="V31" s="95"/>
    </row>
    <row r="32" spans="1:49" s="38" customFormat="1" x14ac:dyDescent="0.25">
      <c r="A32" s="78" t="s">
        <v>22</v>
      </c>
      <c r="B32" s="338" t="str">
        <f t="shared" si="2"/>
        <v>I4</v>
      </c>
      <c r="C32" s="98" t="s">
        <v>34</v>
      </c>
      <c r="D32" s="79" t="s">
        <v>22</v>
      </c>
      <c r="E32" s="79" t="s">
        <v>24</v>
      </c>
      <c r="F32" s="90">
        <v>-30000</v>
      </c>
      <c r="G32" s="90">
        <v>-15000</v>
      </c>
      <c r="H32" s="90">
        <v>-15000</v>
      </c>
      <c r="I32" s="90">
        <v>-15000</v>
      </c>
      <c r="J32" s="292" t="s">
        <v>650</v>
      </c>
      <c r="K32" s="28" t="s">
        <v>648</v>
      </c>
      <c r="L32" s="28">
        <f t="shared" si="3"/>
        <v>4</v>
      </c>
      <c r="M32" s="199"/>
      <c r="N32" s="258">
        <v>0.86350000000000005</v>
      </c>
      <c r="O32" s="200"/>
      <c r="P32" s="28"/>
      <c r="R32" s="250"/>
      <c r="S32" s="250"/>
      <c r="T32" s="250"/>
      <c r="U32" s="250"/>
      <c r="V32" s="339"/>
    </row>
    <row r="33" spans="1:22" s="38" customFormat="1" x14ac:dyDescent="0.25">
      <c r="A33" s="78" t="s">
        <v>22</v>
      </c>
      <c r="B33" s="338" t="str">
        <f t="shared" si="2"/>
        <v>I5</v>
      </c>
      <c r="C33" s="98" t="s">
        <v>36</v>
      </c>
      <c r="D33" s="79" t="s">
        <v>22</v>
      </c>
      <c r="E33" s="79" t="s">
        <v>24</v>
      </c>
      <c r="F33" s="90">
        <v>-10300</v>
      </c>
      <c r="G33" s="90">
        <v>-10300</v>
      </c>
      <c r="H33" s="90">
        <v>-10300</v>
      </c>
      <c r="I33" s="90">
        <v>-10300</v>
      </c>
      <c r="J33" s="292" t="s">
        <v>651</v>
      </c>
      <c r="K33" s="28" t="s">
        <v>648</v>
      </c>
      <c r="L33" s="28">
        <f t="shared" si="3"/>
        <v>5</v>
      </c>
      <c r="M33" s="199"/>
      <c r="N33" s="200"/>
      <c r="O33" s="200"/>
      <c r="P33" s="28"/>
      <c r="R33" s="340"/>
      <c r="S33" s="340"/>
      <c r="T33" s="340"/>
      <c r="U33" s="340"/>
      <c r="V33" s="339"/>
    </row>
    <row r="34" spans="1:22" s="38" customFormat="1" x14ac:dyDescent="0.25">
      <c r="A34" s="78" t="s">
        <v>22</v>
      </c>
      <c r="B34" s="338" t="str">
        <f t="shared" si="2"/>
        <v>I6</v>
      </c>
      <c r="C34" s="98" t="s">
        <v>38</v>
      </c>
      <c r="D34" s="79" t="s">
        <v>22</v>
      </c>
      <c r="E34" s="79" t="s">
        <v>24</v>
      </c>
      <c r="F34" s="90">
        <v>10300</v>
      </c>
      <c r="G34" s="90">
        <v>10300</v>
      </c>
      <c r="H34" s="90">
        <v>10300</v>
      </c>
      <c r="I34" s="90">
        <v>10300</v>
      </c>
      <c r="J34" s="292" t="s">
        <v>651</v>
      </c>
      <c r="K34" s="28" t="s">
        <v>648</v>
      </c>
      <c r="L34" s="28">
        <f t="shared" si="3"/>
        <v>6</v>
      </c>
      <c r="M34" s="199"/>
      <c r="N34" s="200">
        <f>G31+G34</f>
        <v>-53700</v>
      </c>
      <c r="O34" s="200">
        <f>H31+H34</f>
        <v>-53700</v>
      </c>
      <c r="P34" s="200">
        <f>I31+I34</f>
        <v>-53700</v>
      </c>
      <c r="Q34" s="200"/>
      <c r="R34" s="340"/>
      <c r="S34" s="340"/>
      <c r="T34" s="340"/>
      <c r="U34" s="340"/>
      <c r="V34" s="339"/>
    </row>
    <row r="35" spans="1:22" s="38" customFormat="1" x14ac:dyDescent="0.25">
      <c r="A35" s="78" t="s">
        <v>22</v>
      </c>
      <c r="B35" s="338" t="str">
        <f t="shared" si="2"/>
        <v>I7</v>
      </c>
      <c r="C35" s="98" t="s">
        <v>39</v>
      </c>
      <c r="D35" s="79" t="s">
        <v>22</v>
      </c>
      <c r="E35" s="79" t="s">
        <v>24</v>
      </c>
      <c r="F35" s="90">
        <v>-9900</v>
      </c>
      <c r="G35" s="90">
        <v>-10100</v>
      </c>
      <c r="H35" s="90">
        <v>-9700</v>
      </c>
      <c r="I35" s="90">
        <v>-9200</v>
      </c>
      <c r="J35" s="292" t="s">
        <v>652</v>
      </c>
      <c r="K35" s="28" t="s">
        <v>648</v>
      </c>
      <c r="L35" s="28">
        <f t="shared" si="3"/>
        <v>7</v>
      </c>
      <c r="M35" s="199"/>
      <c r="N35" s="200"/>
      <c r="O35" s="200"/>
      <c r="P35" s="28"/>
      <c r="R35" s="340"/>
      <c r="S35" s="340"/>
      <c r="T35" s="340"/>
      <c r="U35" s="340"/>
      <c r="V35" s="339"/>
    </row>
    <row r="36" spans="1:22" s="38" customFormat="1" x14ac:dyDescent="0.25">
      <c r="A36" s="78" t="s">
        <v>22</v>
      </c>
      <c r="B36" s="338" t="str">
        <f t="shared" si="2"/>
        <v>I8</v>
      </c>
      <c r="C36" s="98" t="s">
        <v>41</v>
      </c>
      <c r="D36" s="79" t="s">
        <v>22</v>
      </c>
      <c r="E36" s="79" t="s">
        <v>24</v>
      </c>
      <c r="F36" s="90">
        <v>-42649</v>
      </c>
      <c r="G36" s="90">
        <v>-44032</v>
      </c>
      <c r="H36" s="90">
        <v>-44772</v>
      </c>
      <c r="I36" s="90">
        <v>-46620</v>
      </c>
      <c r="J36" s="292" t="s">
        <v>815</v>
      </c>
      <c r="K36" s="28" t="s">
        <v>648</v>
      </c>
      <c r="L36" s="28">
        <f t="shared" si="3"/>
        <v>8</v>
      </c>
      <c r="M36" s="199"/>
      <c r="N36" s="200"/>
      <c r="O36" s="200"/>
      <c r="P36" s="28"/>
      <c r="R36" s="340"/>
      <c r="S36" s="340"/>
      <c r="T36" s="340"/>
      <c r="U36" s="340"/>
      <c r="V36" s="339"/>
    </row>
    <row r="37" spans="1:22" s="38" customFormat="1" x14ac:dyDescent="0.25">
      <c r="A37" s="78" t="s">
        <v>22</v>
      </c>
      <c r="B37" s="338" t="str">
        <f t="shared" si="2"/>
        <v>I9</v>
      </c>
      <c r="C37" s="283" t="s">
        <v>43</v>
      </c>
      <c r="D37" s="284" t="s">
        <v>22</v>
      </c>
      <c r="E37" s="284" t="s">
        <v>24</v>
      </c>
      <c r="F37" s="285">
        <v>101000</v>
      </c>
      <c r="G37" s="285">
        <v>123000</v>
      </c>
      <c r="H37" s="285">
        <v>131000</v>
      </c>
      <c r="I37" s="285">
        <v>138000</v>
      </c>
      <c r="J37" s="292" t="s">
        <v>652</v>
      </c>
      <c r="K37" s="28" t="s">
        <v>648</v>
      </c>
      <c r="L37" s="28">
        <f t="shared" si="3"/>
        <v>9</v>
      </c>
      <c r="M37" s="199"/>
      <c r="N37" s="200"/>
      <c r="O37" s="200"/>
      <c r="P37" s="28"/>
      <c r="R37" s="340"/>
      <c r="S37" s="340"/>
      <c r="T37" s="340"/>
      <c r="U37" s="340"/>
      <c r="V37" s="339"/>
    </row>
    <row r="38" spans="1:22" s="38" customFormat="1" x14ac:dyDescent="0.25">
      <c r="A38" s="78" t="s">
        <v>22</v>
      </c>
      <c r="B38" s="338" t="str">
        <f t="shared" si="2"/>
        <v>I10</v>
      </c>
      <c r="C38" s="283" t="s">
        <v>47</v>
      </c>
      <c r="D38" s="284" t="s">
        <v>22</v>
      </c>
      <c r="E38" s="284" t="s">
        <v>24</v>
      </c>
      <c r="F38" s="285">
        <v>291000</v>
      </c>
      <c r="G38" s="285">
        <v>307000</v>
      </c>
      <c r="H38" s="285">
        <v>320000</v>
      </c>
      <c r="I38" s="285">
        <v>334000</v>
      </c>
      <c r="J38" s="292" t="s">
        <v>652</v>
      </c>
      <c r="K38" s="28" t="s">
        <v>648</v>
      </c>
      <c r="L38" s="28">
        <f t="shared" si="3"/>
        <v>10</v>
      </c>
      <c r="M38" s="199"/>
      <c r="N38" s="200"/>
      <c r="O38" s="200"/>
      <c r="P38" s="28"/>
      <c r="R38" s="340"/>
      <c r="S38" s="340"/>
      <c r="T38" s="340"/>
      <c r="U38" s="340"/>
      <c r="V38" s="339"/>
    </row>
    <row r="39" spans="1:22" s="38" customFormat="1" x14ac:dyDescent="0.25">
      <c r="A39" s="78" t="s">
        <v>22</v>
      </c>
      <c r="B39" s="338" t="str">
        <f t="shared" si="2"/>
        <v>I11</v>
      </c>
      <c r="C39" s="98" t="s">
        <v>50</v>
      </c>
      <c r="D39" s="79" t="s">
        <v>22</v>
      </c>
      <c r="E39" s="79" t="s">
        <v>24</v>
      </c>
      <c r="F39" s="90">
        <v>-17800</v>
      </c>
      <c r="G39" s="90">
        <v>-23300</v>
      </c>
      <c r="H39" s="90">
        <v>-25600</v>
      </c>
      <c r="I39" s="90">
        <v>-26800</v>
      </c>
      <c r="J39" s="292" t="s">
        <v>652</v>
      </c>
      <c r="K39" s="28" t="s">
        <v>648</v>
      </c>
      <c r="L39" s="28">
        <f t="shared" si="3"/>
        <v>11</v>
      </c>
      <c r="M39" s="199"/>
      <c r="N39" s="199"/>
      <c r="O39" s="199"/>
      <c r="P39" s="28"/>
    </row>
    <row r="40" spans="1:22" s="38" customFormat="1" x14ac:dyDescent="0.25">
      <c r="A40" s="78" t="s">
        <v>22</v>
      </c>
      <c r="B40" s="338" t="str">
        <f t="shared" si="2"/>
        <v>I12</v>
      </c>
      <c r="C40" s="98" t="s">
        <v>51</v>
      </c>
      <c r="D40" s="79" t="s">
        <v>22</v>
      </c>
      <c r="E40" s="79" t="s">
        <v>24</v>
      </c>
      <c r="F40" s="90">
        <v>-36400</v>
      </c>
      <c r="G40" s="90">
        <v>-48800</v>
      </c>
      <c r="H40" s="90">
        <v>-56000</v>
      </c>
      <c r="I40" s="90">
        <v>-61000</v>
      </c>
      <c r="J40" s="292" t="s">
        <v>652</v>
      </c>
      <c r="K40" s="28" t="s">
        <v>648</v>
      </c>
      <c r="L40" s="28">
        <f t="shared" si="3"/>
        <v>12</v>
      </c>
      <c r="M40" s="199"/>
      <c r="N40" s="199"/>
      <c r="O40" s="199"/>
      <c r="P40" s="12"/>
      <c r="Q40" s="2"/>
      <c r="R40" s="2"/>
      <c r="S40" s="2"/>
      <c r="T40" s="95"/>
      <c r="U40" s="95"/>
    </row>
    <row r="41" spans="1:22" s="38" customFormat="1" x14ac:dyDescent="0.25">
      <c r="A41" s="78" t="s">
        <v>22</v>
      </c>
      <c r="B41" s="338" t="str">
        <f t="shared" si="2"/>
        <v>I13</v>
      </c>
      <c r="C41" s="98" t="s">
        <v>52</v>
      </c>
      <c r="D41" s="79" t="s">
        <v>22</v>
      </c>
      <c r="E41" s="79" t="s">
        <v>24</v>
      </c>
      <c r="F41" s="90">
        <v>36400</v>
      </c>
      <c r="G41" s="90">
        <v>48800</v>
      </c>
      <c r="H41" s="90">
        <v>56000</v>
      </c>
      <c r="I41" s="90">
        <v>61000</v>
      </c>
      <c r="J41" s="292" t="s">
        <v>652</v>
      </c>
      <c r="K41" s="28" t="s">
        <v>648</v>
      </c>
      <c r="L41" s="28">
        <f t="shared" si="3"/>
        <v>13</v>
      </c>
      <c r="M41" s="199"/>
      <c r="N41" s="199"/>
      <c r="O41" s="199"/>
      <c r="P41" s="200"/>
      <c r="Q41" s="2"/>
      <c r="R41" s="2"/>
      <c r="S41" s="2"/>
    </row>
    <row r="42" spans="1:22" s="38" customFormat="1" x14ac:dyDescent="0.25">
      <c r="A42" s="78" t="s">
        <v>22</v>
      </c>
      <c r="B42" s="338" t="str">
        <f t="shared" si="2"/>
        <v>I14</v>
      </c>
      <c r="C42" s="98" t="s">
        <v>53</v>
      </c>
      <c r="D42" s="79" t="s">
        <v>22</v>
      </c>
      <c r="E42" s="79" t="s">
        <v>24</v>
      </c>
      <c r="F42" s="90">
        <v>-10500</v>
      </c>
      <c r="G42" s="90">
        <v>-11500</v>
      </c>
      <c r="H42" s="90">
        <v>-11500</v>
      </c>
      <c r="I42" s="90">
        <v>-11000</v>
      </c>
      <c r="J42" s="292" t="s">
        <v>652</v>
      </c>
      <c r="K42" s="28" t="s">
        <v>648</v>
      </c>
      <c r="L42" s="28">
        <f t="shared" si="3"/>
        <v>14</v>
      </c>
      <c r="M42" s="199"/>
      <c r="N42" s="199"/>
      <c r="O42" s="199"/>
      <c r="P42" s="201"/>
      <c r="Q42" s="201"/>
      <c r="R42" s="201"/>
      <c r="S42" s="201"/>
    </row>
    <row r="43" spans="1:22" s="38" customFormat="1" x14ac:dyDescent="0.25">
      <c r="A43" s="78" t="s">
        <v>22</v>
      </c>
      <c r="B43" s="338" t="str">
        <f t="shared" si="2"/>
        <v>I15</v>
      </c>
      <c r="C43" s="98" t="s">
        <v>54</v>
      </c>
      <c r="D43" s="79" t="s">
        <v>22</v>
      </c>
      <c r="E43" s="79" t="s">
        <v>24</v>
      </c>
      <c r="F43" s="90">
        <v>-127000</v>
      </c>
      <c r="G43" s="90">
        <v>-129000</v>
      </c>
      <c r="H43" s="90">
        <v>-131000</v>
      </c>
      <c r="I43" s="90">
        <v>-135000</v>
      </c>
      <c r="J43" s="292" t="s">
        <v>654</v>
      </c>
      <c r="K43" s="28" t="s">
        <v>648</v>
      </c>
      <c r="L43" s="28">
        <f t="shared" si="3"/>
        <v>15</v>
      </c>
      <c r="M43" s="199"/>
      <c r="N43" s="199"/>
      <c r="O43" s="199"/>
      <c r="P43" s="201"/>
      <c r="Q43" s="201"/>
      <c r="R43" s="201"/>
      <c r="S43" s="201"/>
    </row>
    <row r="44" spans="1:22" s="38" customFormat="1" x14ac:dyDescent="0.25">
      <c r="A44" s="78" t="s">
        <v>22</v>
      </c>
      <c r="B44" s="338" t="str">
        <f t="shared" si="2"/>
        <v>I16</v>
      </c>
      <c r="C44" s="98" t="s">
        <v>55</v>
      </c>
      <c r="D44" s="79" t="s">
        <v>22</v>
      </c>
      <c r="E44" s="79" t="s">
        <v>24</v>
      </c>
      <c r="F44" s="90">
        <v>-1250</v>
      </c>
      <c r="G44" s="90">
        <v>-1339</v>
      </c>
      <c r="H44" s="90">
        <v>-1607</v>
      </c>
      <c r="I44" s="90">
        <v>-1607</v>
      </c>
      <c r="J44" s="292" t="s">
        <v>654</v>
      </c>
      <c r="K44" s="28" t="s">
        <v>648</v>
      </c>
      <c r="L44" s="28">
        <f t="shared" si="3"/>
        <v>16</v>
      </c>
      <c r="M44" s="199"/>
      <c r="N44" s="199"/>
      <c r="O44" s="199"/>
      <c r="P44" s="201"/>
      <c r="Q44" s="201"/>
      <c r="R44" s="201"/>
      <c r="S44" s="201"/>
    </row>
    <row r="45" spans="1:22" s="38" customFormat="1" x14ac:dyDescent="0.25">
      <c r="A45" s="78" t="s">
        <v>22</v>
      </c>
      <c r="B45" s="338" t="str">
        <f t="shared" si="2"/>
        <v>I17</v>
      </c>
      <c r="C45" s="98" t="s">
        <v>57</v>
      </c>
      <c r="D45" s="79" t="s">
        <v>22</v>
      </c>
      <c r="E45" s="79" t="s">
        <v>24</v>
      </c>
      <c r="F45" s="90">
        <v>-2000</v>
      </c>
      <c r="G45" s="90">
        <v>-2000</v>
      </c>
      <c r="H45" s="90">
        <v>-2000</v>
      </c>
      <c r="I45" s="90">
        <v>-2000</v>
      </c>
      <c r="J45" s="292" t="s">
        <v>655</v>
      </c>
      <c r="K45" s="28" t="s">
        <v>648</v>
      </c>
      <c r="L45" s="28">
        <f t="shared" si="3"/>
        <v>17</v>
      </c>
      <c r="M45" s="199"/>
      <c r="N45" s="199"/>
      <c r="O45" s="199"/>
      <c r="P45" s="201"/>
      <c r="Q45" s="201"/>
      <c r="R45" s="201"/>
      <c r="S45" s="201"/>
    </row>
    <row r="46" spans="1:22" s="38" customFormat="1" x14ac:dyDescent="0.25">
      <c r="A46" s="78" t="s">
        <v>22</v>
      </c>
      <c r="B46" s="338" t="str">
        <f t="shared" si="2"/>
        <v>I18</v>
      </c>
      <c r="C46" s="98" t="s">
        <v>59</v>
      </c>
      <c r="D46" s="79" t="s">
        <v>22</v>
      </c>
      <c r="E46" s="79" t="s">
        <v>24</v>
      </c>
      <c r="F46" s="90">
        <v>-3600</v>
      </c>
      <c r="G46" s="90">
        <v>-3900</v>
      </c>
      <c r="H46" s="90">
        <v>-3900</v>
      </c>
      <c r="I46" s="90">
        <v>-3800</v>
      </c>
      <c r="J46" s="292" t="s">
        <v>652</v>
      </c>
      <c r="K46" s="28" t="s">
        <v>648</v>
      </c>
      <c r="L46" s="28">
        <f t="shared" si="3"/>
        <v>18</v>
      </c>
      <c r="M46" s="199"/>
      <c r="N46" s="199"/>
      <c r="O46" s="199"/>
      <c r="P46" s="199"/>
    </row>
    <row r="47" spans="1:22" s="38" customFormat="1" x14ac:dyDescent="0.25">
      <c r="A47" s="78" t="s">
        <v>22</v>
      </c>
      <c r="B47" s="338" t="str">
        <f t="shared" si="2"/>
        <v>I19</v>
      </c>
      <c r="C47" s="98" t="s">
        <v>60</v>
      </c>
      <c r="D47" s="79" t="s">
        <v>22</v>
      </c>
      <c r="E47" s="79" t="s">
        <v>24</v>
      </c>
      <c r="F47" s="90">
        <v>-3000</v>
      </c>
      <c r="G47" s="90">
        <v>-4000</v>
      </c>
      <c r="H47" s="90">
        <v>-4000</v>
      </c>
      <c r="I47" s="90">
        <v>-4000</v>
      </c>
      <c r="J47" s="292" t="s">
        <v>654</v>
      </c>
      <c r="K47" s="28" t="s">
        <v>648</v>
      </c>
      <c r="L47" s="28">
        <f t="shared" si="3"/>
        <v>19</v>
      </c>
      <c r="M47" s="199"/>
      <c r="N47" s="199"/>
      <c r="O47" s="199"/>
      <c r="P47" s="199"/>
    </row>
    <row r="48" spans="1:22" s="38" customFormat="1" x14ac:dyDescent="0.25">
      <c r="A48" s="78" t="s">
        <v>22</v>
      </c>
      <c r="B48" s="338" t="str">
        <f t="shared" si="2"/>
        <v>I20</v>
      </c>
      <c r="C48" s="98" t="s">
        <v>62</v>
      </c>
      <c r="D48" s="79" t="s">
        <v>22</v>
      </c>
      <c r="E48" s="79" t="s">
        <v>24</v>
      </c>
      <c r="F48" s="90">
        <v>-500</v>
      </c>
      <c r="G48" s="90">
        <v>-500</v>
      </c>
      <c r="H48" s="90">
        <v>-500</v>
      </c>
      <c r="I48" s="90">
        <v>-500</v>
      </c>
      <c r="J48" s="292" t="s">
        <v>656</v>
      </c>
      <c r="K48" s="28" t="s">
        <v>648</v>
      </c>
      <c r="L48" s="28">
        <f t="shared" si="3"/>
        <v>20</v>
      </c>
      <c r="M48" s="199"/>
      <c r="N48" s="199"/>
      <c r="O48" s="199"/>
      <c r="P48" s="199"/>
    </row>
    <row r="49" spans="1:49" s="38" customFormat="1" x14ac:dyDescent="0.25">
      <c r="A49" s="78" t="s">
        <v>22</v>
      </c>
      <c r="B49" s="338" t="str">
        <f t="shared" si="2"/>
        <v>I21</v>
      </c>
      <c r="C49" s="283" t="s">
        <v>64</v>
      </c>
      <c r="D49" s="284" t="s">
        <v>22</v>
      </c>
      <c r="E49" s="284" t="s">
        <v>24</v>
      </c>
      <c r="F49" s="285">
        <v>80561</v>
      </c>
      <c r="G49" s="285">
        <v>87919</v>
      </c>
      <c r="H49" s="285">
        <v>123095</v>
      </c>
      <c r="I49" s="285">
        <v>129085</v>
      </c>
      <c r="J49" s="252" t="s">
        <v>816</v>
      </c>
      <c r="K49" s="28" t="s">
        <v>648</v>
      </c>
      <c r="L49" s="28">
        <f t="shared" si="3"/>
        <v>21</v>
      </c>
      <c r="M49" s="38">
        <v>47663</v>
      </c>
      <c r="N49" s="38">
        <v>42964</v>
      </c>
      <c r="O49" s="38">
        <v>35638</v>
      </c>
      <c r="P49" s="38">
        <v>35638</v>
      </c>
    </row>
    <row r="50" spans="1:49" s="38" customFormat="1" x14ac:dyDescent="0.25">
      <c r="A50" s="78" t="s">
        <v>22</v>
      </c>
      <c r="B50" s="338" t="str">
        <f t="shared" si="2"/>
        <v>I22</v>
      </c>
      <c r="C50" s="98" t="s">
        <v>68</v>
      </c>
      <c r="D50" s="79" t="s">
        <v>22</v>
      </c>
      <c r="E50" s="79" t="s">
        <v>24</v>
      </c>
      <c r="F50" s="481">
        <v>-27256</v>
      </c>
      <c r="G50" s="481"/>
      <c r="H50" s="90"/>
      <c r="I50" s="90"/>
      <c r="J50" s="252" t="s">
        <v>658</v>
      </c>
      <c r="K50" s="28" t="s">
        <v>648</v>
      </c>
      <c r="L50" s="28">
        <f t="shared" si="3"/>
        <v>22</v>
      </c>
      <c r="M50" s="28"/>
      <c r="N50" s="28"/>
      <c r="O50" s="28"/>
      <c r="P50" s="28"/>
    </row>
    <row r="51" spans="1:49" s="38" customFormat="1" x14ac:dyDescent="0.25">
      <c r="A51" s="45" t="s">
        <v>22</v>
      </c>
      <c r="B51" s="338" t="str">
        <f t="shared" si="2"/>
        <v>I23</v>
      </c>
      <c r="C51" s="98" t="s">
        <v>69</v>
      </c>
      <c r="D51" s="79" t="s">
        <v>22</v>
      </c>
      <c r="E51" s="79" t="s">
        <v>24</v>
      </c>
      <c r="F51" s="90">
        <v>270000</v>
      </c>
      <c r="G51" s="90">
        <v>283000</v>
      </c>
      <c r="H51" s="90">
        <v>296000</v>
      </c>
      <c r="I51" s="90">
        <v>309000</v>
      </c>
      <c r="J51" s="292" t="s">
        <v>659</v>
      </c>
      <c r="K51" s="28" t="s">
        <v>648</v>
      </c>
      <c r="L51" s="28">
        <f t="shared" si="3"/>
        <v>23</v>
      </c>
      <c r="M51" s="28"/>
      <c r="N51" s="28"/>
      <c r="O51" s="28"/>
      <c r="P51" s="28"/>
    </row>
    <row r="52" spans="1:49" s="38" customFormat="1" x14ac:dyDescent="0.25">
      <c r="A52" s="45" t="s">
        <v>22</v>
      </c>
      <c r="B52" s="338" t="str">
        <f t="shared" si="2"/>
        <v>I24</v>
      </c>
      <c r="C52" s="98" t="s">
        <v>71</v>
      </c>
      <c r="D52" s="79" t="s">
        <v>22</v>
      </c>
      <c r="E52" s="79" t="s">
        <v>24</v>
      </c>
      <c r="F52" s="90">
        <v>-270000</v>
      </c>
      <c r="G52" s="90">
        <v>-283000</v>
      </c>
      <c r="H52" s="90">
        <v>-296000</v>
      </c>
      <c r="I52" s="90">
        <v>-309000</v>
      </c>
      <c r="J52" s="292" t="s">
        <v>659</v>
      </c>
      <c r="K52" s="28" t="s">
        <v>648</v>
      </c>
      <c r="L52" s="28">
        <f t="shared" si="3"/>
        <v>24</v>
      </c>
      <c r="M52" s="28"/>
      <c r="N52" s="28"/>
      <c r="O52" s="28"/>
      <c r="P52" s="28"/>
    </row>
    <row r="53" spans="1:49" s="38" customFormat="1" x14ac:dyDescent="0.25">
      <c r="A53" s="45" t="s">
        <v>22</v>
      </c>
      <c r="B53" s="338" t="str">
        <f t="shared" si="2"/>
        <v>I25</v>
      </c>
      <c r="C53" s="98" t="s">
        <v>72</v>
      </c>
      <c r="D53" s="79" t="s">
        <v>22</v>
      </c>
      <c r="E53" s="79" t="s">
        <v>24</v>
      </c>
      <c r="F53" s="90">
        <v>-19941</v>
      </c>
      <c r="G53" s="90">
        <v>-21381</v>
      </c>
      <c r="H53" s="90">
        <v>-21189</v>
      </c>
      <c r="I53" s="90">
        <v>-21619</v>
      </c>
      <c r="J53" s="292" t="s">
        <v>660</v>
      </c>
      <c r="K53" s="28" t="s">
        <v>648</v>
      </c>
      <c r="L53" s="28">
        <f t="shared" si="3"/>
        <v>25</v>
      </c>
      <c r="M53" s="28"/>
      <c r="N53" s="28"/>
      <c r="O53" s="28"/>
      <c r="P53" s="28"/>
    </row>
    <row r="54" spans="1:49" s="38" customFormat="1" x14ac:dyDescent="0.25">
      <c r="A54" s="45" t="s">
        <v>22</v>
      </c>
      <c r="B54" s="338" t="str">
        <f t="shared" si="2"/>
        <v>I26</v>
      </c>
      <c r="C54" s="98" t="s">
        <v>74</v>
      </c>
      <c r="D54" s="79" t="s">
        <v>22</v>
      </c>
      <c r="E54" s="79" t="s">
        <v>24</v>
      </c>
      <c r="F54" s="90">
        <v>-41629</v>
      </c>
      <c r="G54" s="90">
        <v>-46431</v>
      </c>
      <c r="H54" s="90">
        <v>-50107</v>
      </c>
      <c r="I54" s="90">
        <v>-50938</v>
      </c>
      <c r="J54" s="292" t="s">
        <v>660</v>
      </c>
      <c r="K54" s="28" t="s">
        <v>648</v>
      </c>
      <c r="L54" s="28">
        <f t="shared" si="3"/>
        <v>26</v>
      </c>
      <c r="M54" s="28"/>
      <c r="N54" s="28"/>
      <c r="O54" s="28"/>
      <c r="P54" s="28"/>
    </row>
    <row r="55" spans="1:49" s="38" customFormat="1" x14ac:dyDescent="0.25">
      <c r="A55" s="45" t="s">
        <v>22</v>
      </c>
      <c r="B55" s="338" t="str">
        <f t="shared" si="2"/>
        <v>I27</v>
      </c>
      <c r="C55" s="98" t="s">
        <v>75</v>
      </c>
      <c r="D55" s="79" t="s">
        <v>22</v>
      </c>
      <c r="E55" s="79" t="s">
        <v>24</v>
      </c>
      <c r="F55" s="90">
        <v>141</v>
      </c>
      <c r="G55" s="90">
        <v>88</v>
      </c>
      <c r="H55" s="90">
        <v>-153</v>
      </c>
      <c r="I55" s="90">
        <v>-1059</v>
      </c>
      <c r="J55" s="292" t="s">
        <v>660</v>
      </c>
      <c r="K55" s="28" t="s">
        <v>648</v>
      </c>
      <c r="L55" s="28">
        <f t="shared" si="3"/>
        <v>27</v>
      </c>
      <c r="M55" s="28"/>
      <c r="N55" s="28"/>
      <c r="O55" s="28"/>
      <c r="P55" s="28"/>
    </row>
    <row r="56" spans="1:49" s="38" customFormat="1" x14ac:dyDescent="0.25">
      <c r="A56" s="78" t="s">
        <v>22</v>
      </c>
      <c r="B56" s="338" t="str">
        <f t="shared" si="2"/>
        <v>I28</v>
      </c>
      <c r="C56" s="98"/>
      <c r="D56" s="79" t="s">
        <v>22</v>
      </c>
      <c r="E56" s="79" t="s">
        <v>24</v>
      </c>
      <c r="F56" s="90"/>
      <c r="G56" s="90"/>
      <c r="H56" s="90"/>
      <c r="I56" s="90"/>
      <c r="J56" s="292"/>
      <c r="K56" s="28" t="s">
        <v>648</v>
      </c>
      <c r="L56" s="28">
        <f t="shared" si="3"/>
        <v>28</v>
      </c>
      <c r="M56" s="28"/>
      <c r="N56" s="28"/>
      <c r="O56" s="28"/>
      <c r="P56" s="28"/>
    </row>
    <row r="57" spans="1:49" s="38" customFormat="1" x14ac:dyDescent="0.25">
      <c r="A57" s="78" t="s">
        <v>22</v>
      </c>
      <c r="B57" s="338" t="str">
        <f t="shared" si="2"/>
        <v>I29</v>
      </c>
      <c r="C57" s="98"/>
      <c r="D57" s="79" t="s">
        <v>22</v>
      </c>
      <c r="E57" s="79" t="s">
        <v>24</v>
      </c>
      <c r="F57" s="90"/>
      <c r="G57" s="90"/>
      <c r="H57" s="90"/>
      <c r="I57" s="90"/>
      <c r="J57" s="292"/>
      <c r="K57" s="28" t="s">
        <v>648</v>
      </c>
      <c r="L57" s="28">
        <f t="shared" si="3"/>
        <v>29</v>
      </c>
      <c r="M57" s="28"/>
      <c r="N57" s="28"/>
      <c r="O57" s="28"/>
      <c r="P57" s="28"/>
    </row>
    <row r="58" spans="1:49" s="38" customFormat="1" x14ac:dyDescent="0.25">
      <c r="A58" s="78" t="s">
        <v>22</v>
      </c>
      <c r="B58" s="338" t="str">
        <f t="shared" si="2"/>
        <v>I30</v>
      </c>
      <c r="C58" s="98"/>
      <c r="D58" s="79" t="s">
        <v>22</v>
      </c>
      <c r="E58" s="79" t="s">
        <v>24</v>
      </c>
      <c r="F58" s="90"/>
      <c r="G58" s="90"/>
      <c r="H58" s="90"/>
      <c r="I58" s="90"/>
      <c r="J58" s="292"/>
      <c r="K58" s="28" t="s">
        <v>648</v>
      </c>
      <c r="L58" s="28">
        <f t="shared" si="3"/>
        <v>30</v>
      </c>
      <c r="M58" s="28"/>
      <c r="N58" s="28"/>
      <c r="O58" s="28"/>
      <c r="P58" s="28"/>
      <c r="AW58" s="95"/>
    </row>
    <row r="59" spans="1:49" s="38" customFormat="1" x14ac:dyDescent="0.25">
      <c r="A59" s="78" t="s">
        <v>22</v>
      </c>
      <c r="B59" s="338" t="str">
        <f t="shared" si="2"/>
        <v>I31</v>
      </c>
      <c r="C59" s="98"/>
      <c r="D59" s="79" t="s">
        <v>22</v>
      </c>
      <c r="E59" s="79" t="s">
        <v>24</v>
      </c>
      <c r="F59" s="90"/>
      <c r="G59" s="90"/>
      <c r="H59" s="90"/>
      <c r="I59" s="90"/>
      <c r="J59" s="292"/>
      <c r="K59" s="28" t="s">
        <v>648</v>
      </c>
      <c r="L59" s="28">
        <f t="shared" si="3"/>
        <v>31</v>
      </c>
      <c r="M59" s="28"/>
      <c r="N59" s="28"/>
      <c r="O59" s="28"/>
      <c r="P59" s="28"/>
    </row>
    <row r="60" spans="1:49" s="38" customFormat="1" x14ac:dyDescent="0.25">
      <c r="A60" s="78" t="s">
        <v>22</v>
      </c>
      <c r="B60" s="338" t="str">
        <f t="shared" si="2"/>
        <v>I32</v>
      </c>
      <c r="C60" s="98"/>
      <c r="D60" s="79" t="s">
        <v>22</v>
      </c>
      <c r="E60" s="79" t="s">
        <v>24</v>
      </c>
      <c r="F60" s="90"/>
      <c r="G60" s="90"/>
      <c r="H60" s="90"/>
      <c r="I60" s="90"/>
      <c r="J60" s="292"/>
      <c r="K60" s="28" t="s">
        <v>648</v>
      </c>
      <c r="L60" s="28">
        <f t="shared" si="3"/>
        <v>32</v>
      </c>
      <c r="M60" s="28"/>
      <c r="N60" s="28"/>
      <c r="O60" s="28"/>
      <c r="P60" s="28"/>
    </row>
    <row r="61" spans="1:49" s="38" customFormat="1" x14ac:dyDescent="0.25">
      <c r="A61" s="244"/>
      <c r="B61" s="244"/>
      <c r="C61" s="245"/>
      <c r="D61" s="214"/>
      <c r="E61" s="111"/>
      <c r="F61" s="110"/>
      <c r="G61" s="110"/>
      <c r="H61" s="110"/>
      <c r="I61" s="110"/>
      <c r="J61" s="39"/>
      <c r="K61" s="28" t="s">
        <v>648</v>
      </c>
      <c r="L61" s="28">
        <f t="shared" si="3"/>
        <v>33</v>
      </c>
      <c r="M61" s="28"/>
      <c r="N61" s="28"/>
      <c r="O61" s="28"/>
      <c r="P61" s="28"/>
    </row>
    <row r="62" spans="1:49" s="38" customFormat="1" x14ac:dyDescent="0.25">
      <c r="A62" s="43"/>
      <c r="B62" s="43"/>
      <c r="C62" s="3" t="s">
        <v>76</v>
      </c>
      <c r="D62" s="63"/>
      <c r="E62" s="63"/>
      <c r="F62" s="9">
        <f>SUMIF($A:$A,"SENT.INNT",F:F)</f>
        <v>-4802323</v>
      </c>
      <c r="G62" s="9">
        <f>SUMIF($A:$A,"SENT.INNT",G:G)</f>
        <v>-4795476</v>
      </c>
      <c r="H62" s="9">
        <f>SUMIF($A:$A,"SENT.INNT",H:H)</f>
        <v>-4804933</v>
      </c>
      <c r="I62" s="9">
        <f>SUMIF($A:$A,"SENT.INNT",I:I)</f>
        <v>-4840058</v>
      </c>
      <c r="J62" s="39"/>
      <c r="K62" s="28"/>
      <c r="L62" s="28"/>
      <c r="M62" s="28"/>
      <c r="N62" s="28"/>
      <c r="O62" s="28"/>
      <c r="P62" s="28"/>
    </row>
    <row r="63" spans="1:49" s="38" customFormat="1" x14ac:dyDescent="0.25">
      <c r="A63" s="46"/>
      <c r="B63" s="46"/>
      <c r="C63" s="3" t="s">
        <v>77</v>
      </c>
      <c r="D63" s="52"/>
      <c r="E63" s="52"/>
      <c r="F63" s="9">
        <f>F4</f>
        <v>4546363</v>
      </c>
      <c r="G63" s="9">
        <f>G4</f>
        <v>4546363</v>
      </c>
      <c r="H63" s="9">
        <f>H4</f>
        <v>4546363</v>
      </c>
      <c r="I63" s="9">
        <f>I4</f>
        <v>4546363</v>
      </c>
      <c r="J63" s="39"/>
      <c r="K63" s="28"/>
      <c r="L63" s="28"/>
      <c r="M63" s="28"/>
      <c r="N63" s="28"/>
      <c r="O63" s="28"/>
      <c r="P63" s="28"/>
    </row>
    <row r="64" spans="1:49" s="38" customFormat="1" x14ac:dyDescent="0.25">
      <c r="A64" s="43"/>
      <c r="B64" s="43"/>
      <c r="C64" s="3" t="s">
        <v>78</v>
      </c>
      <c r="D64" s="52"/>
      <c r="E64" s="52"/>
      <c r="F64" s="9">
        <f>F62+F63</f>
        <v>-255960</v>
      </c>
      <c r="G64" s="9">
        <f>G62+G63</f>
        <v>-249113</v>
      </c>
      <c r="H64" s="9">
        <f>H62+H63</f>
        <v>-258570</v>
      </c>
      <c r="I64" s="9">
        <f>I62+I63</f>
        <v>-293695</v>
      </c>
      <c r="J64" s="39"/>
      <c r="K64" s="28"/>
      <c r="L64" s="28"/>
      <c r="M64" s="28"/>
      <c r="N64" s="28"/>
      <c r="O64" s="28"/>
      <c r="P64" s="28"/>
    </row>
    <row r="65" spans="1:20" s="38" customFormat="1" x14ac:dyDescent="0.25">
      <c r="A65" s="47"/>
      <c r="B65" s="47"/>
      <c r="C65" s="11"/>
      <c r="D65" s="49"/>
      <c r="E65" s="49"/>
      <c r="F65" s="12"/>
      <c r="G65" s="12"/>
      <c r="H65" s="12"/>
      <c r="I65" s="12"/>
      <c r="J65" s="39"/>
      <c r="K65" s="28"/>
      <c r="L65" s="28"/>
      <c r="M65" s="28"/>
      <c r="N65" s="28"/>
      <c r="O65" s="28"/>
      <c r="P65" s="28"/>
    </row>
    <row r="66" spans="1:20" s="1" customFormat="1" x14ac:dyDescent="0.25">
      <c r="A66" s="48"/>
      <c r="B66" s="48"/>
      <c r="C66" s="13" t="s">
        <v>79</v>
      </c>
      <c r="D66" s="50"/>
      <c r="E66" s="50"/>
      <c r="F66" s="14"/>
      <c r="G66" s="14"/>
      <c r="H66" s="14"/>
      <c r="I66" s="14"/>
      <c r="J66" s="39"/>
      <c r="K66" s="38"/>
      <c r="L66" s="38"/>
      <c r="M66" s="29"/>
      <c r="N66" s="29"/>
      <c r="O66" s="29"/>
      <c r="P66" s="29"/>
    </row>
    <row r="67" spans="1:20" s="38" customFormat="1" x14ac:dyDescent="0.25">
      <c r="A67" s="72"/>
      <c r="B67" s="341"/>
      <c r="C67" s="246" t="s">
        <v>80</v>
      </c>
      <c r="D67" s="83"/>
      <c r="E67" s="83"/>
      <c r="F67" s="4">
        <v>2022</v>
      </c>
      <c r="G67" s="4">
        <v>2023</v>
      </c>
      <c r="H67" s="4">
        <f>G67+1</f>
        <v>2024</v>
      </c>
      <c r="I67" s="4">
        <f>H67+1</f>
        <v>2025</v>
      </c>
      <c r="J67" s="39"/>
      <c r="K67" s="337"/>
      <c r="L67" s="337"/>
      <c r="M67" s="99" t="s">
        <v>817</v>
      </c>
      <c r="N67" s="99" t="s">
        <v>818</v>
      </c>
      <c r="O67" s="99" t="s">
        <v>819</v>
      </c>
      <c r="P67" s="28"/>
    </row>
    <row r="68" spans="1:20" s="38" customFormat="1" x14ac:dyDescent="0.25">
      <c r="A68" s="78" t="s">
        <v>81</v>
      </c>
      <c r="B68" s="78" t="str">
        <f t="shared" ref="B68:B81" si="4">IF(L68,K68&amp;L68,"")</f>
        <v>OV1</v>
      </c>
      <c r="C68" s="245" t="s">
        <v>82</v>
      </c>
      <c r="D68" s="72" t="s">
        <v>661</v>
      </c>
      <c r="E68" s="79" t="s">
        <v>84</v>
      </c>
      <c r="F68" s="90">
        <v>5635</v>
      </c>
      <c r="G68" s="90">
        <v>9873</v>
      </c>
      <c r="H68" s="90">
        <v>12885</v>
      </c>
      <c r="I68" s="90">
        <v>13033</v>
      </c>
      <c r="J68" s="470" t="s">
        <v>662</v>
      </c>
      <c r="K68" s="28" t="s">
        <v>663</v>
      </c>
      <c r="L68" s="38">
        <v>1</v>
      </c>
      <c r="M68" s="99" t="str">
        <f>IF(E68="VEDTATT","VEDTATT",0)</f>
        <v>VEDTATT</v>
      </c>
      <c r="N68" s="99">
        <f>IF(E68="MÅ","Nye tiltak",0)</f>
        <v>0</v>
      </c>
      <c r="O68" s="99"/>
      <c r="P68" s="28"/>
      <c r="Q68" s="95"/>
      <c r="R68" s="95"/>
      <c r="S68" s="95"/>
      <c r="T68" s="95"/>
    </row>
    <row r="69" spans="1:20" s="38" customFormat="1" x14ac:dyDescent="0.25">
      <c r="A69" s="78" t="s">
        <v>81</v>
      </c>
      <c r="B69" s="78" t="str">
        <f t="shared" si="4"/>
        <v>OV2</v>
      </c>
      <c r="C69" s="245" t="s">
        <v>85</v>
      </c>
      <c r="D69" s="72" t="s">
        <v>661</v>
      </c>
      <c r="E69" s="79" t="s">
        <v>84</v>
      </c>
      <c r="F69" s="90">
        <v>-1894</v>
      </c>
      <c r="G69" s="90">
        <v>-1894</v>
      </c>
      <c r="H69" s="90">
        <v>-1894</v>
      </c>
      <c r="I69" s="90">
        <v>-1894</v>
      </c>
      <c r="J69" s="470" t="s">
        <v>662</v>
      </c>
      <c r="K69" s="28" t="s">
        <v>663</v>
      </c>
      <c r="L69" s="38">
        <f t="shared" ref="L69:L81" si="5">L68+1</f>
        <v>2</v>
      </c>
      <c r="M69" s="99"/>
      <c r="N69" s="99"/>
      <c r="O69" s="99"/>
      <c r="P69" s="28"/>
      <c r="Q69" s="95"/>
      <c r="R69" s="95"/>
      <c r="S69" s="95"/>
      <c r="T69" s="95"/>
    </row>
    <row r="70" spans="1:20" s="38" customFormat="1" x14ac:dyDescent="0.25">
      <c r="A70" s="78" t="s">
        <v>81</v>
      </c>
      <c r="B70" s="78" t="str">
        <f t="shared" si="4"/>
        <v>OV3</v>
      </c>
      <c r="C70" s="245" t="s">
        <v>86</v>
      </c>
      <c r="D70" s="72" t="s">
        <v>661</v>
      </c>
      <c r="E70" s="79" t="s">
        <v>84</v>
      </c>
      <c r="F70" s="90">
        <v>1126</v>
      </c>
      <c r="G70" s="90">
        <v>1974</v>
      </c>
      <c r="H70" s="90">
        <v>2576</v>
      </c>
      <c r="I70" s="90">
        <v>2605</v>
      </c>
      <c r="J70" s="470" t="s">
        <v>662</v>
      </c>
      <c r="K70" s="28" t="s">
        <v>663</v>
      </c>
      <c r="L70" s="38">
        <f t="shared" si="5"/>
        <v>3</v>
      </c>
      <c r="M70" s="99" t="str">
        <f>IF(E70="VEDTATT","VEDTATT",0)</f>
        <v>VEDTATT</v>
      </c>
      <c r="N70" s="99">
        <f>IF(E70="MÅ","Nye tiltak",0)</f>
        <v>0</v>
      </c>
      <c r="O70" s="99"/>
      <c r="P70" s="28"/>
      <c r="R70" s="95"/>
      <c r="S70" s="95"/>
      <c r="T70" s="95"/>
    </row>
    <row r="71" spans="1:20" s="38" customFormat="1" x14ac:dyDescent="0.25">
      <c r="A71" s="78" t="s">
        <v>81</v>
      </c>
      <c r="B71" s="78" t="str">
        <f t="shared" si="4"/>
        <v>OV4</v>
      </c>
      <c r="C71" s="245" t="s">
        <v>87</v>
      </c>
      <c r="D71" s="72" t="s">
        <v>661</v>
      </c>
      <c r="E71" s="79" t="s">
        <v>84</v>
      </c>
      <c r="F71" s="90">
        <v>-379</v>
      </c>
      <c r="G71" s="90">
        <v>-379</v>
      </c>
      <c r="H71" s="90">
        <v>-379</v>
      </c>
      <c r="I71" s="90">
        <v>-379</v>
      </c>
      <c r="J71" s="470" t="s">
        <v>662</v>
      </c>
      <c r="K71" s="28" t="s">
        <v>663</v>
      </c>
      <c r="L71" s="38">
        <f t="shared" si="5"/>
        <v>4</v>
      </c>
      <c r="M71" s="99"/>
      <c r="N71" s="99"/>
      <c r="O71" s="99"/>
      <c r="P71" s="28"/>
      <c r="R71" s="95"/>
      <c r="S71" s="95"/>
      <c r="T71" s="95"/>
    </row>
    <row r="72" spans="1:20" s="38" customFormat="1" x14ac:dyDescent="0.25">
      <c r="A72" s="78" t="s">
        <v>81</v>
      </c>
      <c r="B72" s="78" t="str">
        <f t="shared" si="4"/>
        <v>OV5</v>
      </c>
      <c r="C72" s="245" t="s">
        <v>88</v>
      </c>
      <c r="D72" s="72" t="s">
        <v>664</v>
      </c>
      <c r="E72" s="79" t="s">
        <v>84</v>
      </c>
      <c r="F72" s="90"/>
      <c r="G72" s="90"/>
      <c r="H72" s="90">
        <v>-852</v>
      </c>
      <c r="I72" s="90">
        <v>-852</v>
      </c>
      <c r="J72" s="403"/>
      <c r="K72" s="28" t="s">
        <v>663</v>
      </c>
      <c r="L72" s="38">
        <f t="shared" si="5"/>
        <v>5</v>
      </c>
      <c r="M72" s="99" t="str">
        <f>IF(E72="VEDTATT","VEDTATT",0)</f>
        <v>VEDTATT</v>
      </c>
      <c r="N72" s="99">
        <f>IF(E72="MÅ","Nye tiltak",0)</f>
        <v>0</v>
      </c>
      <c r="O72" s="253"/>
      <c r="P72" s="28"/>
    </row>
    <row r="73" spans="1:20" s="38" customFormat="1" x14ac:dyDescent="0.25">
      <c r="A73" s="78" t="s">
        <v>81</v>
      </c>
      <c r="B73" s="78" t="str">
        <f t="shared" si="4"/>
        <v>OV6</v>
      </c>
      <c r="C73" s="245" t="s">
        <v>665</v>
      </c>
      <c r="D73" s="72" t="s">
        <v>664</v>
      </c>
      <c r="E73" s="79" t="s">
        <v>84</v>
      </c>
      <c r="F73" s="90"/>
      <c r="G73" s="90">
        <v>-2300</v>
      </c>
      <c r="H73" s="90">
        <v>-2300</v>
      </c>
      <c r="I73" s="90">
        <v>-2300</v>
      </c>
      <c r="K73" s="28" t="s">
        <v>663</v>
      </c>
      <c r="L73" s="38">
        <f t="shared" si="5"/>
        <v>6</v>
      </c>
      <c r="M73" s="99"/>
      <c r="N73" s="99"/>
      <c r="O73" s="253"/>
      <c r="P73" s="28"/>
    </row>
    <row r="74" spans="1:20" s="38" customFormat="1" ht="25.5" x14ac:dyDescent="0.25">
      <c r="A74" s="469" t="s">
        <v>81</v>
      </c>
      <c r="B74" s="78" t="str">
        <f t="shared" si="4"/>
        <v>OV7</v>
      </c>
      <c r="C74" s="245" t="s">
        <v>666</v>
      </c>
      <c r="D74" s="72" t="s">
        <v>91</v>
      </c>
      <c r="E74" s="79" t="s">
        <v>24</v>
      </c>
      <c r="F74" s="110">
        <v>2100</v>
      </c>
      <c r="G74" s="110">
        <v>2100</v>
      </c>
      <c r="H74" s="110">
        <v>2100</v>
      </c>
      <c r="I74" s="110">
        <v>2100</v>
      </c>
      <c r="K74" s="28" t="s">
        <v>663</v>
      </c>
      <c r="L74" s="38">
        <f t="shared" si="5"/>
        <v>7</v>
      </c>
      <c r="M74" s="99"/>
      <c r="N74" s="99"/>
      <c r="O74" s="253"/>
      <c r="P74" s="28"/>
    </row>
    <row r="75" spans="1:20" s="38" customFormat="1" x14ac:dyDescent="0.25">
      <c r="A75" s="78" t="s">
        <v>81</v>
      </c>
      <c r="B75" s="78" t="str">
        <f t="shared" si="4"/>
        <v>OV8</v>
      </c>
      <c r="C75" s="245" t="s">
        <v>668</v>
      </c>
      <c r="D75" s="72" t="s">
        <v>661</v>
      </c>
      <c r="E75" s="79" t="s">
        <v>84</v>
      </c>
      <c r="F75" s="90">
        <v>121</v>
      </c>
      <c r="G75" s="90">
        <v>212</v>
      </c>
      <c r="H75" s="90">
        <v>276</v>
      </c>
      <c r="I75" s="90">
        <v>279</v>
      </c>
      <c r="J75" s="470" t="s">
        <v>662</v>
      </c>
      <c r="K75" s="28" t="s">
        <v>663</v>
      </c>
      <c r="L75" s="38">
        <f t="shared" si="5"/>
        <v>8</v>
      </c>
      <c r="M75" s="99"/>
      <c r="N75" s="99"/>
      <c r="O75" s="253"/>
      <c r="P75" s="28"/>
    </row>
    <row r="76" spans="1:20" s="38" customFormat="1" x14ac:dyDescent="0.25">
      <c r="A76" s="78" t="s">
        <v>81</v>
      </c>
      <c r="B76" s="78" t="str">
        <f t="shared" si="4"/>
        <v>OV9</v>
      </c>
      <c r="C76" s="245" t="s">
        <v>94</v>
      </c>
      <c r="D76" s="72" t="s">
        <v>661</v>
      </c>
      <c r="E76" s="79" t="s">
        <v>84</v>
      </c>
      <c r="F76" s="110">
        <v>-41</v>
      </c>
      <c r="G76" s="110">
        <v>-41</v>
      </c>
      <c r="H76" s="110">
        <v>-41</v>
      </c>
      <c r="I76" s="110">
        <v>-41</v>
      </c>
      <c r="J76" s="470" t="s">
        <v>662</v>
      </c>
      <c r="K76" s="28" t="s">
        <v>663</v>
      </c>
      <c r="L76" s="38">
        <f t="shared" si="5"/>
        <v>9</v>
      </c>
      <c r="M76" s="99"/>
      <c r="N76" s="99"/>
      <c r="O76" s="253"/>
      <c r="P76" s="28"/>
    </row>
    <row r="77" spans="1:20" s="38" customFormat="1" x14ac:dyDescent="0.25">
      <c r="A77" s="78" t="s">
        <v>81</v>
      </c>
      <c r="B77" s="78" t="str">
        <f t="shared" si="4"/>
        <v>OV10</v>
      </c>
      <c r="C77" s="245" t="s">
        <v>95</v>
      </c>
      <c r="D77" s="72" t="s">
        <v>661</v>
      </c>
      <c r="E77" s="79"/>
      <c r="F77" s="110">
        <v>2316</v>
      </c>
      <c r="G77" s="110">
        <v>2316</v>
      </c>
      <c r="H77" s="110">
        <v>2316</v>
      </c>
      <c r="I77" s="110">
        <v>2316</v>
      </c>
      <c r="J77" s="470" t="s">
        <v>669</v>
      </c>
      <c r="K77" s="28" t="s">
        <v>663</v>
      </c>
      <c r="L77" s="38">
        <f t="shared" si="5"/>
        <v>10</v>
      </c>
      <c r="M77" s="99" t="str">
        <f>IF(E75="VEDTATT","VEDTATT",0)</f>
        <v>VEDTATT</v>
      </c>
      <c r="N77" s="99">
        <f>IF(E75="MÅ","Nye tiltak",0)</f>
        <v>0</v>
      </c>
      <c r="O77" s="99"/>
      <c r="P77" s="28"/>
    </row>
    <row r="78" spans="1:20" s="38" customFormat="1" x14ac:dyDescent="0.25">
      <c r="A78" s="78" t="s">
        <v>81</v>
      </c>
      <c r="B78" s="78" t="str">
        <f t="shared" si="4"/>
        <v>OV11</v>
      </c>
      <c r="C78" s="245" t="s">
        <v>96</v>
      </c>
      <c r="D78" s="72" t="s">
        <v>661</v>
      </c>
      <c r="E78" s="79"/>
      <c r="F78" s="110">
        <v>-2316</v>
      </c>
      <c r="G78" s="110">
        <v>-2316</v>
      </c>
      <c r="H78" s="110">
        <v>-2316</v>
      </c>
      <c r="I78" s="110">
        <v>-2316</v>
      </c>
      <c r="J78" s="470" t="s">
        <v>669</v>
      </c>
      <c r="K78" s="28" t="s">
        <v>663</v>
      </c>
      <c r="L78" s="38">
        <f t="shared" si="5"/>
        <v>11</v>
      </c>
      <c r="M78" s="483"/>
      <c r="N78" s="483"/>
      <c r="O78" s="483"/>
      <c r="P78" s="28"/>
    </row>
    <row r="79" spans="1:20" s="38" customFormat="1" x14ac:dyDescent="0.25">
      <c r="A79" s="78" t="s">
        <v>81</v>
      </c>
      <c r="B79" s="78" t="str">
        <f t="shared" si="4"/>
        <v>OV12</v>
      </c>
      <c r="C79" s="245" t="s">
        <v>670</v>
      </c>
      <c r="D79" s="72" t="s">
        <v>661</v>
      </c>
      <c r="E79" s="79" t="s">
        <v>84</v>
      </c>
      <c r="F79" s="484">
        <v>18700</v>
      </c>
      <c r="G79" s="484">
        <v>18700</v>
      </c>
      <c r="H79" s="484">
        <v>18700</v>
      </c>
      <c r="I79" s="484">
        <v>18700</v>
      </c>
      <c r="J79" s="470" t="s">
        <v>671</v>
      </c>
      <c r="K79" s="28" t="s">
        <v>663</v>
      </c>
      <c r="L79" s="38">
        <f t="shared" si="5"/>
        <v>12</v>
      </c>
      <c r="M79" s="483"/>
      <c r="N79" s="483"/>
      <c r="O79" s="483"/>
      <c r="P79" s="28"/>
    </row>
    <row r="80" spans="1:20" s="38" customFormat="1" x14ac:dyDescent="0.25">
      <c r="A80" s="78" t="s">
        <v>81</v>
      </c>
      <c r="B80" s="78" t="str">
        <f t="shared" si="4"/>
        <v>OV13</v>
      </c>
      <c r="C80" s="212" t="s">
        <v>672</v>
      </c>
      <c r="D80" s="72" t="s">
        <v>661</v>
      </c>
      <c r="E80" s="79" t="s">
        <v>84</v>
      </c>
      <c r="F80" s="485">
        <v>900</v>
      </c>
      <c r="G80" s="484">
        <v>4700</v>
      </c>
      <c r="H80" s="484">
        <v>11100</v>
      </c>
      <c r="I80" s="484">
        <v>11100</v>
      </c>
      <c r="J80" s="470" t="s">
        <v>671</v>
      </c>
      <c r="K80" s="28" t="s">
        <v>663</v>
      </c>
      <c r="L80" s="38">
        <f t="shared" si="5"/>
        <v>13</v>
      </c>
      <c r="M80" s="483"/>
      <c r="N80" s="483"/>
      <c r="O80" s="483"/>
      <c r="P80" s="28"/>
    </row>
    <row r="81" spans="1:21" ht="29.45" customHeight="1" x14ac:dyDescent="0.25">
      <c r="A81" s="78" t="s">
        <v>81</v>
      </c>
      <c r="B81" s="78" t="str">
        <f t="shared" si="4"/>
        <v>OV14</v>
      </c>
      <c r="C81" s="245" t="s">
        <v>673</v>
      </c>
      <c r="D81" s="72" t="s">
        <v>661</v>
      </c>
      <c r="E81" s="79" t="s">
        <v>84</v>
      </c>
      <c r="F81" s="484">
        <v>2000</v>
      </c>
      <c r="G81" s="484">
        <v>2000</v>
      </c>
      <c r="H81" s="484">
        <v>2000</v>
      </c>
      <c r="I81" s="484">
        <v>2000</v>
      </c>
      <c r="J81" s="470" t="s">
        <v>674</v>
      </c>
      <c r="K81" s="28" t="s">
        <v>663</v>
      </c>
      <c r="L81" s="38">
        <f t="shared" si="5"/>
        <v>14</v>
      </c>
    </row>
    <row r="82" spans="1:21" s="38" customFormat="1" x14ac:dyDescent="0.25">
      <c r="A82" s="48"/>
      <c r="B82" s="48"/>
      <c r="J82" s="209"/>
      <c r="M82" s="99"/>
      <c r="N82" s="99"/>
      <c r="O82" s="99"/>
      <c r="P82" s="28"/>
    </row>
    <row r="83" spans="1:21" s="1" customFormat="1" x14ac:dyDescent="0.25">
      <c r="A83" s="44"/>
      <c r="B83" s="44"/>
      <c r="C83" s="16" t="s">
        <v>112</v>
      </c>
      <c r="D83" s="50"/>
      <c r="E83" s="50"/>
      <c r="F83" s="4">
        <f>F67</f>
        <v>2022</v>
      </c>
      <c r="G83" s="4">
        <f>F83+1</f>
        <v>2023</v>
      </c>
      <c r="H83" s="4">
        <f>G83+1</f>
        <v>2024</v>
      </c>
      <c r="I83" s="4">
        <f>H83+1</f>
        <v>2025</v>
      </c>
      <c r="J83" s="209"/>
      <c r="K83" s="337"/>
      <c r="L83" s="337"/>
      <c r="M83" s="99"/>
      <c r="N83" s="99"/>
      <c r="O83" s="99"/>
      <c r="P83" s="29"/>
    </row>
    <row r="84" spans="1:21" s="38" customFormat="1" x14ac:dyDescent="0.25">
      <c r="A84" s="78" t="s">
        <v>81</v>
      </c>
      <c r="B84" s="78" t="str">
        <f t="shared" ref="B84:B88" si="6">IF(L84,K84&amp;L84,"")</f>
        <v>OV15</v>
      </c>
      <c r="C84" s="245" t="s">
        <v>675</v>
      </c>
      <c r="D84" s="72" t="s">
        <v>664</v>
      </c>
      <c r="E84" s="79" t="s">
        <v>84</v>
      </c>
      <c r="F84" s="74"/>
      <c r="G84" s="74"/>
      <c r="H84" s="74">
        <f>I84/12*5</f>
        <v>6666.6666666666661</v>
      </c>
      <c r="I84" s="74">
        <v>16000</v>
      </c>
      <c r="J84" s="209" t="s">
        <v>676</v>
      </c>
      <c r="K84" s="28" t="s">
        <v>663</v>
      </c>
      <c r="L84" s="28">
        <f>L81+1</f>
        <v>15</v>
      </c>
      <c r="M84" s="99" t="str">
        <f>IF(E84="VEDTATT","VEDTATT",0)</f>
        <v>VEDTATT</v>
      </c>
      <c r="N84" s="99">
        <f>IF(E84="MÅ","Nye tiltak",0)</f>
        <v>0</v>
      </c>
      <c r="O84" s="99"/>
      <c r="P84" s="28"/>
    </row>
    <row r="85" spans="1:21" s="38" customFormat="1" x14ac:dyDescent="0.25">
      <c r="A85" s="78" t="s">
        <v>81</v>
      </c>
      <c r="B85" s="78" t="str">
        <f t="shared" si="6"/>
        <v>OV16</v>
      </c>
      <c r="C85" s="245" t="s">
        <v>677</v>
      </c>
      <c r="D85" s="72" t="s">
        <v>664</v>
      </c>
      <c r="E85" s="79" t="s">
        <v>84</v>
      </c>
      <c r="F85" s="74"/>
      <c r="G85" s="74"/>
      <c r="H85" s="74">
        <f>I85/12*5</f>
        <v>-1332.0833333333335</v>
      </c>
      <c r="I85" s="74">
        <v>-3197</v>
      </c>
      <c r="J85" s="209" t="s">
        <v>820</v>
      </c>
      <c r="K85" s="28" t="s">
        <v>663</v>
      </c>
      <c r="L85" s="28">
        <f>L84+1</f>
        <v>16</v>
      </c>
      <c r="M85" s="99" t="str">
        <f>IF(E85="VEDTATT","VEDTATT",0)</f>
        <v>VEDTATT</v>
      </c>
      <c r="N85" s="99">
        <f>IF(E85="MÅ","Nye tiltak",0)</f>
        <v>0</v>
      </c>
      <c r="O85" s="99"/>
      <c r="P85" s="28"/>
    </row>
    <row r="86" spans="1:21" s="38" customFormat="1" x14ac:dyDescent="0.25">
      <c r="A86" s="78" t="s">
        <v>81</v>
      </c>
      <c r="B86" s="78" t="str">
        <f t="shared" si="6"/>
        <v>OV17</v>
      </c>
      <c r="C86" s="245" t="s">
        <v>679</v>
      </c>
      <c r="D86" s="72" t="s">
        <v>664</v>
      </c>
      <c r="E86" s="79" t="s">
        <v>84</v>
      </c>
      <c r="F86" s="74">
        <v>-5390</v>
      </c>
      <c r="G86" s="74">
        <v>-5390</v>
      </c>
      <c r="H86" s="74">
        <v>-5390</v>
      </c>
      <c r="I86" s="74">
        <v>-5390</v>
      </c>
      <c r="J86" s="342"/>
      <c r="K86" s="28" t="s">
        <v>663</v>
      </c>
      <c r="L86" s="28">
        <f>L85+1</f>
        <v>17</v>
      </c>
      <c r="M86" s="99" t="str">
        <f>IF(E86="VEDTATT","VEDTATT",0)</f>
        <v>VEDTATT</v>
      </c>
      <c r="N86" s="99">
        <f>IF(E86="MÅ","Nye tiltak",0)</f>
        <v>0</v>
      </c>
      <c r="O86" s="99"/>
      <c r="P86" s="28"/>
    </row>
    <row r="87" spans="1:21" s="38" customFormat="1" x14ac:dyDescent="0.25">
      <c r="A87" s="78" t="s">
        <v>81</v>
      </c>
      <c r="B87" s="78" t="str">
        <f t="shared" si="6"/>
        <v>OV18</v>
      </c>
      <c r="C87" s="245" t="s">
        <v>113</v>
      </c>
      <c r="D87" s="79" t="s">
        <v>661</v>
      </c>
      <c r="E87" s="79" t="s">
        <v>84</v>
      </c>
      <c r="F87" s="90">
        <v>19000</v>
      </c>
      <c r="G87" s="90">
        <v>19000</v>
      </c>
      <c r="H87" s="90">
        <v>19000</v>
      </c>
      <c r="I87" s="90">
        <v>19000</v>
      </c>
      <c r="J87" s="209" t="s">
        <v>821</v>
      </c>
      <c r="K87" s="28" t="s">
        <v>663</v>
      </c>
      <c r="L87" s="28">
        <f>L86+1</f>
        <v>18</v>
      </c>
      <c r="M87" s="99"/>
      <c r="N87" s="99"/>
      <c r="O87" s="99"/>
      <c r="P87" s="28"/>
    </row>
    <row r="88" spans="1:21" s="38" customFormat="1" x14ac:dyDescent="0.25">
      <c r="A88" s="78" t="s">
        <v>81</v>
      </c>
      <c r="B88" s="78" t="str">
        <f t="shared" si="6"/>
        <v>OV19</v>
      </c>
      <c r="C88" s="245" t="s">
        <v>681</v>
      </c>
      <c r="D88" s="41" t="s">
        <v>91</v>
      </c>
      <c r="E88" s="60" t="s">
        <v>24</v>
      </c>
      <c r="F88" s="38">
        <v>231</v>
      </c>
      <c r="G88" s="38">
        <v>231</v>
      </c>
      <c r="H88" s="38">
        <v>231</v>
      </c>
      <c r="I88" s="38">
        <v>231</v>
      </c>
      <c r="J88" s="93" t="s">
        <v>682</v>
      </c>
      <c r="K88" s="28" t="s">
        <v>663</v>
      </c>
      <c r="L88" s="28">
        <f>L87+1</f>
        <v>19</v>
      </c>
      <c r="M88" s="99">
        <f>IF(E88="VEDTATT","VEDTATT",0)</f>
        <v>0</v>
      </c>
      <c r="N88" s="99" t="str">
        <f>IF(E88="MÅ","Nye tiltak",0)</f>
        <v>Nye tiltak</v>
      </c>
      <c r="O88" s="99"/>
      <c r="P88" s="28"/>
    </row>
    <row r="89" spans="1:21" s="38" customFormat="1" x14ac:dyDescent="0.25">
      <c r="A89" s="78"/>
      <c r="B89" s="78"/>
      <c r="C89" s="245"/>
      <c r="D89" s="214"/>
      <c r="E89" s="71"/>
      <c r="J89" s="93"/>
      <c r="K89" s="28"/>
      <c r="L89" s="28"/>
      <c r="M89" s="99"/>
      <c r="N89" s="99"/>
      <c r="O89" s="99"/>
      <c r="P89" s="28"/>
    </row>
    <row r="90" spans="1:21" s="38" customFormat="1" x14ac:dyDescent="0.25">
      <c r="A90" s="78"/>
      <c r="B90" s="78"/>
      <c r="C90" s="82" t="s">
        <v>117</v>
      </c>
      <c r="D90" s="96"/>
      <c r="E90" s="71"/>
      <c r="F90" s="4">
        <f>F83</f>
        <v>2022</v>
      </c>
      <c r="G90" s="4">
        <f>F90+1</f>
        <v>2023</v>
      </c>
      <c r="H90" s="4">
        <f>G90+1</f>
        <v>2024</v>
      </c>
      <c r="I90" s="4">
        <f>H90+1</f>
        <v>2025</v>
      </c>
      <c r="J90" s="209"/>
      <c r="K90" s="337"/>
      <c r="L90" s="337"/>
      <c r="M90" s="99"/>
      <c r="N90" s="99"/>
      <c r="O90" s="99"/>
      <c r="P90" s="28"/>
      <c r="Q90" s="2"/>
      <c r="R90" s="2"/>
      <c r="S90" s="2"/>
      <c r="T90" s="2"/>
      <c r="U90" s="2"/>
    </row>
    <row r="91" spans="1:21" s="38" customFormat="1" x14ac:dyDescent="0.25">
      <c r="A91" s="78" t="s">
        <v>81</v>
      </c>
      <c r="B91" s="78" t="str">
        <f t="shared" ref="B91:B102" si="7">IF(L91,K91&amp;L91,"")</f>
        <v>OV20</v>
      </c>
      <c r="C91" s="245" t="s">
        <v>822</v>
      </c>
      <c r="D91" s="72" t="s">
        <v>664</v>
      </c>
      <c r="E91" s="111" t="s">
        <v>84</v>
      </c>
      <c r="F91" s="74">
        <v>0</v>
      </c>
      <c r="G91" s="74">
        <v>990</v>
      </c>
      <c r="H91" s="74">
        <v>990</v>
      </c>
      <c r="I91" s="74">
        <v>990</v>
      </c>
      <c r="J91" s="209"/>
      <c r="K91" s="28" t="s">
        <v>663</v>
      </c>
      <c r="L91" s="28">
        <f>L88+1</f>
        <v>20</v>
      </c>
      <c r="M91" s="99" t="str">
        <f>IF(E91="VEDTATT","VEDTATT",0)</f>
        <v>VEDTATT</v>
      </c>
      <c r="N91" s="99">
        <f>IF(E91="MÅ","Nye tiltak",0)</f>
        <v>0</v>
      </c>
      <c r="O91" s="99"/>
      <c r="P91" s="28"/>
    </row>
    <row r="92" spans="1:21" s="38" customFormat="1" x14ac:dyDescent="0.25">
      <c r="A92" s="78" t="s">
        <v>81</v>
      </c>
      <c r="B92" s="78" t="str">
        <f t="shared" si="7"/>
        <v>OV21</v>
      </c>
      <c r="C92" s="245" t="s">
        <v>823</v>
      </c>
      <c r="D92" s="72" t="s">
        <v>664</v>
      </c>
      <c r="E92" s="71" t="s">
        <v>84</v>
      </c>
      <c r="F92" s="191"/>
      <c r="G92" s="191">
        <v>-3040</v>
      </c>
      <c r="H92" s="191">
        <v>-3040</v>
      </c>
      <c r="I92" s="191">
        <v>-3040</v>
      </c>
      <c r="J92" s="209" t="s">
        <v>687</v>
      </c>
      <c r="K92" s="28" t="s">
        <v>663</v>
      </c>
      <c r="L92" s="28">
        <f t="shared" ref="L92:L104" si="8">L91+1</f>
        <v>21</v>
      </c>
      <c r="M92" s="99" t="str">
        <f>IF(E93="VEDTATT","VEDTATT",0)</f>
        <v>VEDTATT</v>
      </c>
      <c r="N92" s="99">
        <f>IF(E93="MÅ","Nye tiltak",0)</f>
        <v>0</v>
      </c>
      <c r="O92" s="99"/>
      <c r="P92" s="28"/>
    </row>
    <row r="93" spans="1:21" s="38" customFormat="1" x14ac:dyDescent="0.25">
      <c r="A93" s="78" t="s">
        <v>81</v>
      </c>
      <c r="B93" s="78" t="str">
        <f t="shared" si="7"/>
        <v>OV22</v>
      </c>
      <c r="C93" s="245" t="s">
        <v>824</v>
      </c>
      <c r="D93" s="72" t="s">
        <v>661</v>
      </c>
      <c r="E93" s="71" t="s">
        <v>84</v>
      </c>
      <c r="F93" s="191">
        <v>5000</v>
      </c>
      <c r="G93" s="191">
        <v>5000</v>
      </c>
      <c r="H93" s="191">
        <v>5000</v>
      </c>
      <c r="I93" s="191">
        <v>5000</v>
      </c>
      <c r="J93" s="403" t="s">
        <v>825</v>
      </c>
      <c r="K93" s="28" t="s">
        <v>663</v>
      </c>
      <c r="L93" s="28">
        <f t="shared" si="8"/>
        <v>22</v>
      </c>
      <c r="M93" s="99" t="str">
        <f>IF(E94="VEDTATT","VEDTATT",0)</f>
        <v>VEDTATT</v>
      </c>
      <c r="N93" s="99">
        <f>IF(E94="MÅ","Nye tiltak",0)</f>
        <v>0</v>
      </c>
      <c r="O93" s="99"/>
      <c r="P93" s="28"/>
    </row>
    <row r="94" spans="1:21" s="38" customFormat="1" x14ac:dyDescent="0.25">
      <c r="A94" s="78" t="s">
        <v>81</v>
      </c>
      <c r="B94" s="78" t="str">
        <f t="shared" si="7"/>
        <v>OV23</v>
      </c>
      <c r="C94" s="245" t="s">
        <v>826</v>
      </c>
      <c r="D94" s="394" t="s">
        <v>661</v>
      </c>
      <c r="E94" s="395" t="s">
        <v>84</v>
      </c>
      <c r="F94" s="397">
        <v>-5000</v>
      </c>
      <c r="G94" s="397">
        <v>-5000</v>
      </c>
      <c r="H94" s="397">
        <v>-5000</v>
      </c>
      <c r="I94" s="397">
        <v>-5000</v>
      </c>
      <c r="J94" s="403" t="s">
        <v>825</v>
      </c>
      <c r="K94" s="28" t="s">
        <v>663</v>
      </c>
      <c r="L94" s="28">
        <f t="shared" si="8"/>
        <v>23</v>
      </c>
      <c r="M94" s="99"/>
      <c r="N94" s="99"/>
      <c r="O94" s="99"/>
      <c r="P94" s="28"/>
    </row>
    <row r="95" spans="1:21" s="38" customFormat="1" x14ac:dyDescent="0.25">
      <c r="A95" s="78" t="s">
        <v>81</v>
      </c>
      <c r="B95" s="78" t="str">
        <f t="shared" si="7"/>
        <v>OV24</v>
      </c>
      <c r="C95" s="245" t="s">
        <v>827</v>
      </c>
      <c r="D95" s="394" t="s">
        <v>91</v>
      </c>
      <c r="E95" s="395" t="s">
        <v>24</v>
      </c>
      <c r="F95" s="397">
        <v>1800</v>
      </c>
      <c r="G95" s="397">
        <f t="shared" ref="G95:I98" si="9">F95</f>
        <v>1800</v>
      </c>
      <c r="H95" s="397">
        <f t="shared" si="9"/>
        <v>1800</v>
      </c>
      <c r="I95" s="397">
        <f t="shared" si="9"/>
        <v>1800</v>
      </c>
      <c r="J95" s="83"/>
      <c r="K95" s="28" t="s">
        <v>663</v>
      </c>
      <c r="L95" s="28">
        <f t="shared" si="8"/>
        <v>24</v>
      </c>
      <c r="M95" s="99"/>
      <c r="N95" s="99"/>
      <c r="O95" s="99"/>
      <c r="P95" s="28"/>
    </row>
    <row r="96" spans="1:21" s="38" customFormat="1" x14ac:dyDescent="0.25">
      <c r="A96" s="78" t="s">
        <v>81</v>
      </c>
      <c r="B96" s="78" t="str">
        <f t="shared" si="7"/>
        <v>OV25</v>
      </c>
      <c r="C96" s="245" t="s">
        <v>828</v>
      </c>
      <c r="D96" s="394" t="s">
        <v>91</v>
      </c>
      <c r="E96" s="395" t="s">
        <v>24</v>
      </c>
      <c r="F96" s="397">
        <v>8000</v>
      </c>
      <c r="G96" s="397">
        <f t="shared" si="9"/>
        <v>8000</v>
      </c>
      <c r="H96" s="397">
        <f t="shared" si="9"/>
        <v>8000</v>
      </c>
      <c r="I96" s="397">
        <f t="shared" si="9"/>
        <v>8000</v>
      </c>
      <c r="J96" s="83"/>
      <c r="K96" s="28" t="s">
        <v>663</v>
      </c>
      <c r="L96" s="28">
        <f t="shared" si="8"/>
        <v>25</v>
      </c>
      <c r="M96" s="99"/>
      <c r="N96" s="99"/>
      <c r="O96" s="99"/>
      <c r="P96" s="28"/>
    </row>
    <row r="97" spans="1:16" s="38" customFormat="1" x14ac:dyDescent="0.25">
      <c r="A97" s="78" t="s">
        <v>81</v>
      </c>
      <c r="B97" s="78" t="str">
        <f t="shared" si="7"/>
        <v>OV26</v>
      </c>
      <c r="C97" s="245" t="s">
        <v>829</v>
      </c>
      <c r="D97" s="394" t="s">
        <v>91</v>
      </c>
      <c r="E97" s="395" t="s">
        <v>24</v>
      </c>
      <c r="F97" s="397">
        <v>25000</v>
      </c>
      <c r="G97" s="397">
        <f t="shared" si="9"/>
        <v>25000</v>
      </c>
      <c r="H97" s="397">
        <f t="shared" si="9"/>
        <v>25000</v>
      </c>
      <c r="I97" s="397">
        <f t="shared" si="9"/>
        <v>25000</v>
      </c>
      <c r="J97" s="464"/>
      <c r="K97" s="28" t="s">
        <v>663</v>
      </c>
      <c r="L97" s="28">
        <f t="shared" si="8"/>
        <v>26</v>
      </c>
      <c r="M97" s="99"/>
      <c r="N97" s="99"/>
      <c r="O97" s="99"/>
      <c r="P97" s="28"/>
    </row>
    <row r="98" spans="1:16" s="38" customFormat="1" x14ac:dyDescent="0.25">
      <c r="A98" s="78" t="s">
        <v>81</v>
      </c>
      <c r="B98" s="78" t="str">
        <f t="shared" si="7"/>
        <v>OV27</v>
      </c>
      <c r="C98" s="245" t="s">
        <v>830</v>
      </c>
      <c r="D98" s="394" t="s">
        <v>91</v>
      </c>
      <c r="E98" s="395" t="s">
        <v>24</v>
      </c>
      <c r="F98" s="397">
        <v>1900</v>
      </c>
      <c r="G98" s="397">
        <f t="shared" si="9"/>
        <v>1900</v>
      </c>
      <c r="H98" s="397">
        <f t="shared" si="9"/>
        <v>1900</v>
      </c>
      <c r="I98" s="397">
        <f t="shared" si="9"/>
        <v>1900</v>
      </c>
      <c r="J98" s="464" t="s">
        <v>831</v>
      </c>
      <c r="K98" s="28" t="s">
        <v>663</v>
      </c>
      <c r="L98" s="28">
        <f t="shared" si="8"/>
        <v>27</v>
      </c>
      <c r="M98" s="99"/>
      <c r="N98" s="99"/>
      <c r="O98" s="99"/>
      <c r="P98" s="28"/>
    </row>
    <row r="99" spans="1:16" s="38" customFormat="1" x14ac:dyDescent="0.25">
      <c r="A99" s="78" t="s">
        <v>81</v>
      </c>
      <c r="B99" s="78" t="str">
        <f t="shared" si="7"/>
        <v>OV28</v>
      </c>
      <c r="C99" s="396" t="s">
        <v>689</v>
      </c>
      <c r="D99" s="394" t="s">
        <v>91</v>
      </c>
      <c r="E99" s="395" t="s">
        <v>24</v>
      </c>
      <c r="F99" s="397">
        <v>550</v>
      </c>
      <c r="G99" s="397">
        <f>F99</f>
        <v>550</v>
      </c>
      <c r="H99" s="397">
        <f>G99</f>
        <v>550</v>
      </c>
      <c r="I99" s="397">
        <f>H99</f>
        <v>550</v>
      </c>
      <c r="J99" s="209" t="s">
        <v>690</v>
      </c>
      <c r="K99" s="28" t="s">
        <v>663</v>
      </c>
      <c r="L99" s="28">
        <f t="shared" si="8"/>
        <v>28</v>
      </c>
      <c r="M99" s="99"/>
      <c r="N99" s="99"/>
      <c r="O99" s="99"/>
      <c r="P99" s="28"/>
    </row>
    <row r="100" spans="1:16" s="38" customFormat="1" x14ac:dyDescent="0.25">
      <c r="A100" s="244" t="s">
        <v>81</v>
      </c>
      <c r="B100" s="78" t="str">
        <f t="shared" si="7"/>
        <v>OV29</v>
      </c>
      <c r="C100" s="396" t="s">
        <v>118</v>
      </c>
      <c r="D100" s="394" t="s">
        <v>91</v>
      </c>
      <c r="E100" s="111" t="s">
        <v>24</v>
      </c>
      <c r="F100" s="397">
        <v>5500</v>
      </c>
      <c r="G100" s="397">
        <v>5500</v>
      </c>
      <c r="J100" s="209" t="s">
        <v>691</v>
      </c>
      <c r="K100" s="28" t="s">
        <v>663</v>
      </c>
      <c r="L100" s="28">
        <f t="shared" si="8"/>
        <v>29</v>
      </c>
      <c r="M100" s="99"/>
      <c r="N100" s="99"/>
      <c r="O100" s="99"/>
      <c r="P100" s="28"/>
    </row>
    <row r="101" spans="1:16" s="38" customFormat="1" x14ac:dyDescent="0.25">
      <c r="A101" s="244" t="s">
        <v>81</v>
      </c>
      <c r="B101" s="78" t="str">
        <f t="shared" si="7"/>
        <v>OV30</v>
      </c>
      <c r="C101" s="499" t="s">
        <v>692</v>
      </c>
      <c r="D101" s="493" t="s">
        <v>91</v>
      </c>
      <c r="E101" s="494" t="s">
        <v>24</v>
      </c>
      <c r="F101" s="500">
        <v>5500</v>
      </c>
      <c r="G101" s="500">
        <v>5500</v>
      </c>
      <c r="H101" s="495"/>
      <c r="I101" s="495"/>
      <c r="J101" s="209" t="s">
        <v>693</v>
      </c>
      <c r="K101" s="28" t="s">
        <v>663</v>
      </c>
      <c r="L101" s="28">
        <f t="shared" si="8"/>
        <v>30</v>
      </c>
      <c r="M101" s="99"/>
      <c r="N101" s="99"/>
      <c r="O101" s="99"/>
      <c r="P101" s="28"/>
    </row>
    <row r="102" spans="1:16" s="38" customFormat="1" x14ac:dyDescent="0.25">
      <c r="A102" s="244" t="s">
        <v>81</v>
      </c>
      <c r="B102" s="78" t="str">
        <f t="shared" si="7"/>
        <v>OV31</v>
      </c>
      <c r="C102" s="396" t="s">
        <v>121</v>
      </c>
      <c r="D102" s="394" t="s">
        <v>91</v>
      </c>
      <c r="E102" s="111" t="s">
        <v>24</v>
      </c>
      <c r="F102" s="428">
        <v>-11000</v>
      </c>
      <c r="G102" s="428">
        <v>-11000</v>
      </c>
      <c r="J102" s="403" t="s">
        <v>694</v>
      </c>
      <c r="K102" s="28" t="s">
        <v>663</v>
      </c>
      <c r="L102" s="28">
        <f t="shared" si="8"/>
        <v>31</v>
      </c>
      <c r="M102" s="99"/>
      <c r="N102" s="99"/>
      <c r="O102" s="99"/>
      <c r="P102" s="28"/>
    </row>
    <row r="103" spans="1:16" s="38" customFormat="1" x14ac:dyDescent="0.25">
      <c r="A103" s="78" t="s">
        <v>81</v>
      </c>
      <c r="B103" s="78" t="str">
        <f>IF(L103,K103&amp;L103,"")</f>
        <v>OV32</v>
      </c>
      <c r="C103" s="245" t="s">
        <v>695</v>
      </c>
      <c r="D103" s="72" t="s">
        <v>661</v>
      </c>
      <c r="E103" s="79" t="s">
        <v>84</v>
      </c>
      <c r="F103" s="485">
        <v>950</v>
      </c>
      <c r="G103" s="485">
        <v>950</v>
      </c>
      <c r="H103" s="485">
        <v>950</v>
      </c>
      <c r="I103" s="485">
        <v>950</v>
      </c>
      <c r="J103" s="470" t="s">
        <v>696</v>
      </c>
      <c r="K103" s="28" t="s">
        <v>663</v>
      </c>
      <c r="L103" s="28">
        <f t="shared" si="8"/>
        <v>32</v>
      </c>
      <c r="M103" s="99" t="str">
        <f>IF(E103="VEDTATT","VEDTATT",0)</f>
        <v>VEDTATT</v>
      </c>
      <c r="N103" s="99">
        <f>IF(E103="MÅ","Nye tiltak",0)</f>
        <v>0</v>
      </c>
      <c r="O103" s="99"/>
      <c r="P103" s="28"/>
    </row>
    <row r="104" spans="1:16" s="38" customFormat="1" ht="25.5" x14ac:dyDescent="0.25">
      <c r="A104" s="78" t="s">
        <v>81</v>
      </c>
      <c r="B104" s="78" t="str">
        <f>IF(L104,K104&amp;L104,"")</f>
        <v>OV33</v>
      </c>
      <c r="C104" s="245" t="s">
        <v>697</v>
      </c>
      <c r="D104" s="72" t="s">
        <v>661</v>
      </c>
      <c r="E104" s="111" t="s">
        <v>84</v>
      </c>
      <c r="F104" s="485">
        <v>250</v>
      </c>
      <c r="G104" s="485">
        <v>250</v>
      </c>
      <c r="H104" s="485">
        <v>250</v>
      </c>
      <c r="I104" s="485">
        <v>250</v>
      </c>
      <c r="J104" s="470" t="s">
        <v>698</v>
      </c>
      <c r="K104" s="28" t="s">
        <v>663</v>
      </c>
      <c r="L104" s="28">
        <f t="shared" si="8"/>
        <v>33</v>
      </c>
      <c r="M104" s="99" t="str">
        <f>IF(E104="VEDTATT","VEDTATT",0)</f>
        <v>VEDTATT</v>
      </c>
      <c r="N104" s="99">
        <f>IF(E104="MÅ","Nye tiltak",0)</f>
        <v>0</v>
      </c>
      <c r="O104" s="99"/>
      <c r="P104" s="28"/>
    </row>
    <row r="105" spans="1:16" s="38" customFormat="1" x14ac:dyDescent="0.25">
      <c r="A105" s="244"/>
      <c r="B105" s="244"/>
      <c r="C105" s="396"/>
      <c r="J105" s="209"/>
      <c r="K105" s="28"/>
      <c r="L105" s="28"/>
      <c r="M105" s="99"/>
      <c r="N105" s="99"/>
      <c r="O105" s="99"/>
      <c r="P105" s="28"/>
    </row>
    <row r="106" spans="1:16" s="38" customFormat="1" x14ac:dyDescent="0.25">
      <c r="A106" s="244"/>
      <c r="B106" s="244"/>
      <c r="C106" s="396"/>
      <c r="J106" s="209"/>
      <c r="K106" s="28"/>
      <c r="L106" s="28"/>
      <c r="M106" s="99"/>
      <c r="N106" s="99"/>
      <c r="O106" s="99"/>
      <c r="P106" s="28"/>
    </row>
    <row r="107" spans="1:16" s="38" customFormat="1" x14ac:dyDescent="0.25">
      <c r="A107" s="43"/>
      <c r="B107" s="43" t="s">
        <v>127</v>
      </c>
      <c r="C107" s="3" t="s">
        <v>701</v>
      </c>
      <c r="D107" s="52"/>
      <c r="E107" s="52"/>
      <c r="F107" s="56">
        <f>SUMIF($A:$A,"OPP",F:F)</f>
        <v>80559</v>
      </c>
      <c r="G107" s="56">
        <f>SUMIF($A:$A,"OPP",G:G)</f>
        <v>85186</v>
      </c>
      <c r="H107" s="56">
        <f>SUMIF($A:$A,"OPP",H:H)</f>
        <v>99746.583333333328</v>
      </c>
      <c r="I107" s="56">
        <f>SUMIF($A:$A,"OPP",I:I)</f>
        <v>107395</v>
      </c>
      <c r="J107" s="209"/>
      <c r="K107" s="337"/>
      <c r="L107" s="337"/>
      <c r="M107" s="99"/>
      <c r="N107" s="99"/>
      <c r="O107" s="99"/>
      <c r="P107" s="28"/>
    </row>
    <row r="108" spans="1:16" s="38" customFormat="1" x14ac:dyDescent="0.25">
      <c r="A108" s="47"/>
      <c r="B108" s="47"/>
      <c r="C108" s="11"/>
      <c r="D108" s="49"/>
      <c r="E108" s="49"/>
      <c r="F108" s="57"/>
      <c r="G108" s="57"/>
      <c r="H108" s="57"/>
      <c r="I108" s="57"/>
      <c r="J108" s="209"/>
      <c r="K108" s="28"/>
      <c r="L108" s="28"/>
      <c r="M108" s="99"/>
      <c r="N108" s="99"/>
      <c r="O108" s="99"/>
      <c r="P108" s="28"/>
    </row>
    <row r="109" spans="1:16" s="38" customFormat="1" x14ac:dyDescent="0.25">
      <c r="A109" s="48"/>
      <c r="B109" s="48"/>
      <c r="C109" s="13" t="s">
        <v>129</v>
      </c>
      <c r="D109" s="50"/>
      <c r="E109" s="61"/>
      <c r="F109" s="58"/>
      <c r="G109" s="58"/>
      <c r="H109" s="58"/>
      <c r="I109" s="58"/>
      <c r="J109" s="209"/>
      <c r="M109" s="99"/>
      <c r="N109" s="99"/>
      <c r="O109" s="99"/>
      <c r="P109" s="28"/>
    </row>
    <row r="110" spans="1:16" s="38" customFormat="1" x14ac:dyDescent="0.25">
      <c r="A110" s="78"/>
      <c r="B110" s="78" t="str">
        <f t="shared" ref="B110:B118" si="10">IF(L110,K110&amp;L110,"")</f>
        <v/>
      </c>
      <c r="C110" s="82" t="s">
        <v>130</v>
      </c>
      <c r="D110" s="72"/>
      <c r="E110" s="71"/>
      <c r="F110" s="4">
        <f>F90</f>
        <v>2022</v>
      </c>
      <c r="G110" s="4">
        <f>F110+1</f>
        <v>2023</v>
      </c>
      <c r="H110" s="4">
        <f>G110+1</f>
        <v>2024</v>
      </c>
      <c r="I110" s="4">
        <f>H110+1</f>
        <v>2025</v>
      </c>
      <c r="J110" s="209"/>
      <c r="K110" s="337"/>
      <c r="L110" s="337"/>
      <c r="M110" s="99"/>
      <c r="N110" s="99"/>
      <c r="O110" s="99"/>
      <c r="P110" s="28"/>
    </row>
    <row r="111" spans="1:16" s="38" customFormat="1" x14ac:dyDescent="0.25">
      <c r="A111" s="78" t="s">
        <v>131</v>
      </c>
      <c r="B111" s="78" t="str">
        <f t="shared" si="10"/>
        <v>H1</v>
      </c>
      <c r="C111" s="245" t="s">
        <v>702</v>
      </c>
      <c r="D111" s="72" t="s">
        <v>664</v>
      </c>
      <c r="E111" s="71" t="s">
        <v>84</v>
      </c>
      <c r="F111" s="74">
        <v>5000</v>
      </c>
      <c r="G111" s="74">
        <v>5000</v>
      </c>
      <c r="H111" s="74">
        <v>5000</v>
      </c>
      <c r="I111" s="70">
        <v>5000</v>
      </c>
      <c r="J111" s="209"/>
      <c r="K111" s="28" t="s">
        <v>703</v>
      </c>
      <c r="L111" s="28">
        <v>1</v>
      </c>
      <c r="M111" s="99" t="str">
        <f>IF(E111="VEDTATT","VEDTATT",0)</f>
        <v>VEDTATT</v>
      </c>
      <c r="N111" s="99">
        <f>IF(E111="MÅ","Nye tiltak",0)</f>
        <v>0</v>
      </c>
      <c r="O111" s="99"/>
      <c r="P111" s="28"/>
    </row>
    <row r="112" spans="1:16" s="38" customFormat="1" x14ac:dyDescent="0.25">
      <c r="A112" s="78" t="s">
        <v>131</v>
      </c>
      <c r="B112" s="78" t="str">
        <f t="shared" si="10"/>
        <v>H2</v>
      </c>
      <c r="C112" s="245" t="s">
        <v>330</v>
      </c>
      <c r="D112" s="72" t="s">
        <v>664</v>
      </c>
      <c r="E112" s="71" t="s">
        <v>84</v>
      </c>
      <c r="F112" s="74"/>
      <c r="G112" s="74"/>
      <c r="H112" s="74">
        <v>1000</v>
      </c>
      <c r="I112" s="74">
        <v>9000</v>
      </c>
      <c r="J112" s="209"/>
      <c r="K112" s="28" t="s">
        <v>703</v>
      </c>
      <c r="L112" s="28">
        <f>L111+1</f>
        <v>2</v>
      </c>
      <c r="M112" s="99" t="str">
        <f>IF(E112="VEDTATT","VEDTATT",0)</f>
        <v>VEDTATT</v>
      </c>
      <c r="N112" s="99">
        <f>IF(E112="MÅ","Nye tiltak",0)</f>
        <v>0</v>
      </c>
      <c r="O112" s="99"/>
      <c r="P112" s="28"/>
    </row>
    <row r="113" spans="1:17" s="38" customFormat="1" x14ac:dyDescent="0.25">
      <c r="A113" s="78" t="s">
        <v>131</v>
      </c>
      <c r="B113" s="78" t="str">
        <f t="shared" si="10"/>
        <v>H3</v>
      </c>
      <c r="C113" s="245" t="s">
        <v>704</v>
      </c>
      <c r="D113" s="72" t="s">
        <v>91</v>
      </c>
      <c r="E113" s="71" t="s">
        <v>24</v>
      </c>
      <c r="F113" s="74">
        <v>1600</v>
      </c>
      <c r="G113" s="74">
        <v>1600</v>
      </c>
      <c r="H113" s="74">
        <v>1600</v>
      </c>
      <c r="I113" s="74">
        <v>1600</v>
      </c>
      <c r="J113" s="209"/>
      <c r="K113" s="28" t="s">
        <v>703</v>
      </c>
      <c r="L113" s="28">
        <f>L112+1</f>
        <v>3</v>
      </c>
      <c r="M113" s="99"/>
      <c r="N113" s="99"/>
      <c r="O113" s="99"/>
      <c r="P113" s="28"/>
    </row>
    <row r="114" spans="1:17" s="38" customFormat="1" x14ac:dyDescent="0.25">
      <c r="A114" s="78" t="s">
        <v>131</v>
      </c>
      <c r="B114" s="78" t="str">
        <f t="shared" si="10"/>
        <v>H4</v>
      </c>
      <c r="C114" s="245" t="s">
        <v>420</v>
      </c>
      <c r="D114" s="72" t="s">
        <v>664</v>
      </c>
      <c r="E114" s="71" t="s">
        <v>84</v>
      </c>
      <c r="F114" s="90">
        <v>900</v>
      </c>
      <c r="G114" s="90">
        <v>2550</v>
      </c>
      <c r="H114" s="90">
        <v>4500</v>
      </c>
      <c r="I114" s="90">
        <v>5800</v>
      </c>
      <c r="J114" s="470" t="s">
        <v>696</v>
      </c>
      <c r="K114" s="28" t="s">
        <v>703</v>
      </c>
      <c r="L114" s="28">
        <f>L113+1</f>
        <v>4</v>
      </c>
      <c r="M114" s="99" t="str">
        <f>IF(E114="VEDTATT","VEDTATT",0)</f>
        <v>VEDTATT</v>
      </c>
      <c r="N114" s="99">
        <f>IF(E114="MÅ","Nye tiltak",0)</f>
        <v>0</v>
      </c>
      <c r="O114" s="99"/>
      <c r="P114" s="28"/>
    </row>
    <row r="115" spans="1:17" s="38" customFormat="1" x14ac:dyDescent="0.25">
      <c r="A115" s="78"/>
      <c r="B115" s="78" t="str">
        <f t="shared" si="10"/>
        <v/>
      </c>
      <c r="C115" s="82" t="s">
        <v>136</v>
      </c>
      <c r="D115" s="72"/>
      <c r="E115" s="71"/>
      <c r="F115" s="4">
        <f>F110</f>
        <v>2022</v>
      </c>
      <c r="G115" s="4">
        <f>F115+1</f>
        <v>2023</v>
      </c>
      <c r="H115" s="4">
        <f>G115+1</f>
        <v>2024</v>
      </c>
      <c r="I115" s="4">
        <f>H115+1</f>
        <v>2025</v>
      </c>
      <c r="J115" s="209"/>
      <c r="K115" s="337"/>
      <c r="L115" s="337"/>
      <c r="M115" s="99"/>
      <c r="N115" s="99"/>
      <c r="O115" s="99"/>
      <c r="P115" s="28"/>
    </row>
    <row r="116" spans="1:17" s="38" customFormat="1" x14ac:dyDescent="0.25">
      <c r="A116" s="78" t="s">
        <v>131</v>
      </c>
      <c r="B116" s="78" t="str">
        <f t="shared" si="10"/>
        <v>H5</v>
      </c>
      <c r="C116" s="245" t="s">
        <v>137</v>
      </c>
      <c r="D116" s="72" t="s">
        <v>664</v>
      </c>
      <c r="E116" s="71" t="s">
        <v>84</v>
      </c>
      <c r="F116" s="70">
        <v>2500</v>
      </c>
      <c r="G116" s="70">
        <v>5000</v>
      </c>
      <c r="H116" s="70">
        <v>7500</v>
      </c>
      <c r="I116" s="70">
        <v>10000</v>
      </c>
      <c r="J116" s="209"/>
      <c r="K116" s="28" t="s">
        <v>703</v>
      </c>
      <c r="L116" s="28">
        <f>L114+1</f>
        <v>5</v>
      </c>
      <c r="M116" s="99" t="str">
        <f>IF(E116="VEDTATT","VEDTATT",0)</f>
        <v>VEDTATT</v>
      </c>
      <c r="N116" s="99">
        <f>IF(E116="MÅ","Nye tiltak",0)</f>
        <v>0</v>
      </c>
      <c r="O116" s="99"/>
      <c r="P116" s="28"/>
    </row>
    <row r="117" spans="1:17" s="38" customFormat="1" x14ac:dyDescent="0.25">
      <c r="A117" s="78" t="s">
        <v>131</v>
      </c>
      <c r="B117" s="78" t="str">
        <f t="shared" si="10"/>
        <v>H6</v>
      </c>
      <c r="C117" s="245" t="s">
        <v>705</v>
      </c>
      <c r="D117" s="72" t="s">
        <v>664</v>
      </c>
      <c r="E117" s="71" t="s">
        <v>84</v>
      </c>
      <c r="F117" s="217">
        <v>10000</v>
      </c>
      <c r="G117" s="217">
        <v>20000</v>
      </c>
      <c r="H117" s="217">
        <v>20000</v>
      </c>
      <c r="I117" s="217">
        <v>20000</v>
      </c>
      <c r="J117" s="209"/>
      <c r="K117" s="28" t="s">
        <v>703</v>
      </c>
      <c r="L117" s="28">
        <f>L116+1</f>
        <v>6</v>
      </c>
      <c r="M117" s="99"/>
      <c r="N117" s="99"/>
      <c r="O117" s="99"/>
      <c r="P117" s="28"/>
    </row>
    <row r="118" spans="1:17" s="38" customFormat="1" x14ac:dyDescent="0.25">
      <c r="A118" s="78" t="s">
        <v>131</v>
      </c>
      <c r="B118" s="78" t="str">
        <f t="shared" si="10"/>
        <v>H7</v>
      </c>
      <c r="C118" s="245" t="s">
        <v>706</v>
      </c>
      <c r="D118" s="72" t="s">
        <v>91</v>
      </c>
      <c r="E118" s="71" t="s">
        <v>24</v>
      </c>
      <c r="F118" s="217">
        <v>1400</v>
      </c>
      <c r="G118" s="217">
        <f>F118</f>
        <v>1400</v>
      </c>
      <c r="H118" s="217">
        <f>G118</f>
        <v>1400</v>
      </c>
      <c r="I118" s="217">
        <f>H118</f>
        <v>1400</v>
      </c>
      <c r="J118" s="209"/>
      <c r="K118" s="28" t="s">
        <v>703</v>
      </c>
      <c r="L118" s="28">
        <f>L117+1</f>
        <v>7</v>
      </c>
      <c r="M118" s="99">
        <f>IF(E118="VEDTATT","VEDTATT",0)</f>
        <v>0</v>
      </c>
      <c r="N118" s="99" t="str">
        <f>IF(E118="MÅ","Nye tiltak",0)</f>
        <v>Nye tiltak</v>
      </c>
      <c r="O118" s="99"/>
      <c r="P118" s="28"/>
    </row>
    <row r="119" spans="1:17" s="38" customFormat="1" x14ac:dyDescent="0.25">
      <c r="A119" s="341"/>
      <c r="B119" s="341"/>
      <c r="C119" s="82" t="s">
        <v>142</v>
      </c>
      <c r="D119" s="83"/>
      <c r="E119" s="71"/>
      <c r="F119" s="4">
        <f>F115</f>
        <v>2022</v>
      </c>
      <c r="G119" s="4">
        <f>F119+1</f>
        <v>2023</v>
      </c>
      <c r="H119" s="4">
        <f>G119+1</f>
        <v>2024</v>
      </c>
      <c r="I119" s="4">
        <f>H119+1</f>
        <v>2025</v>
      </c>
      <c r="J119" s="209"/>
      <c r="K119" s="337"/>
      <c r="L119" s="337"/>
      <c r="M119" s="99"/>
      <c r="N119" s="99"/>
      <c r="O119" s="99"/>
      <c r="P119" s="28"/>
    </row>
    <row r="120" spans="1:17" s="38" customFormat="1" x14ac:dyDescent="0.25">
      <c r="A120" s="78" t="s">
        <v>131</v>
      </c>
      <c r="B120" s="78" t="str">
        <f t="shared" ref="B120:B128" si="11">IF(L120,K120&amp;L120,"")</f>
        <v>H8</v>
      </c>
      <c r="C120" s="245" t="s">
        <v>143</v>
      </c>
      <c r="D120" s="72" t="s">
        <v>664</v>
      </c>
      <c r="E120" s="71" t="s">
        <v>84</v>
      </c>
      <c r="F120" s="70">
        <v>-300</v>
      </c>
      <c r="G120" s="70">
        <v>-900</v>
      </c>
      <c r="H120" s="70">
        <v>-1500</v>
      </c>
      <c r="I120" s="70">
        <v>-2100</v>
      </c>
      <c r="J120" s="209"/>
      <c r="K120" s="28" t="s">
        <v>703</v>
      </c>
      <c r="L120" s="28">
        <f>L118+1</f>
        <v>8</v>
      </c>
      <c r="M120" s="99" t="str">
        <f>IF(E120="VEDTATT","VEDTATT",0)</f>
        <v>VEDTATT</v>
      </c>
      <c r="N120" s="99">
        <f>IF(E120="MÅ","Nye tiltak",0)</f>
        <v>0</v>
      </c>
      <c r="O120" s="99"/>
      <c r="P120" s="28"/>
    </row>
    <row r="121" spans="1:17" s="38" customFormat="1" x14ac:dyDescent="0.25">
      <c r="A121" s="78" t="s">
        <v>131</v>
      </c>
      <c r="B121" s="78" t="str">
        <f t="shared" si="11"/>
        <v>H9</v>
      </c>
      <c r="C121" s="245" t="s">
        <v>832</v>
      </c>
      <c r="D121" s="72" t="s">
        <v>91</v>
      </c>
      <c r="E121" s="71" t="s">
        <v>24</v>
      </c>
      <c r="F121" s="70">
        <v>950</v>
      </c>
      <c r="G121" s="70">
        <v>950</v>
      </c>
      <c r="H121" s="70">
        <v>950</v>
      </c>
      <c r="I121" s="70">
        <v>950</v>
      </c>
      <c r="J121" s="403">
        <v>2</v>
      </c>
      <c r="K121" s="28" t="s">
        <v>703</v>
      </c>
      <c r="L121" s="28">
        <f>L120+1</f>
        <v>9</v>
      </c>
      <c r="M121" s="99"/>
      <c r="N121" s="99"/>
      <c r="O121" s="99"/>
      <c r="Q121" s="295"/>
    </row>
    <row r="122" spans="1:17" s="38" customFormat="1" x14ac:dyDescent="0.25">
      <c r="A122" s="78" t="s">
        <v>131</v>
      </c>
      <c r="B122" s="78" t="str">
        <f t="shared" si="11"/>
        <v>H10</v>
      </c>
      <c r="C122" s="429" t="s">
        <v>144</v>
      </c>
      <c r="D122" s="228" t="s">
        <v>664</v>
      </c>
      <c r="E122" s="231" t="s">
        <v>84</v>
      </c>
      <c r="F122" s="69">
        <f>-11400-15856</f>
        <v>-27256</v>
      </c>
      <c r="G122" s="70">
        <f>-11400-15856</f>
        <v>-27256</v>
      </c>
      <c r="H122" s="70">
        <f>G122</f>
        <v>-27256</v>
      </c>
      <c r="I122" s="70">
        <f>H122</f>
        <v>-27256</v>
      </c>
      <c r="J122" s="209"/>
      <c r="K122" s="28" t="s">
        <v>703</v>
      </c>
      <c r="L122" s="28">
        <f>L121+1</f>
        <v>10</v>
      </c>
      <c r="M122" s="99" t="str">
        <f>IF(E122="VEDTATT","VEDTATT",0)</f>
        <v>VEDTATT</v>
      </c>
      <c r="N122" s="99">
        <f>IF(E122="MÅ","Nye tiltak",0)</f>
        <v>0</v>
      </c>
      <c r="O122" s="99"/>
      <c r="Q122" s="295"/>
    </row>
    <row r="123" spans="1:17" s="38" customFormat="1" x14ac:dyDescent="0.25">
      <c r="A123" s="78" t="s">
        <v>131</v>
      </c>
      <c r="B123" s="78" t="str">
        <f t="shared" si="11"/>
        <v>H11</v>
      </c>
      <c r="C123" s="498" t="s">
        <v>709</v>
      </c>
      <c r="D123" s="228" t="s">
        <v>91</v>
      </c>
      <c r="E123" s="231" t="s">
        <v>24</v>
      </c>
      <c r="F123" s="432">
        <v>27256</v>
      </c>
      <c r="G123" s="254">
        <v>0</v>
      </c>
      <c r="H123" s="254">
        <v>0</v>
      </c>
      <c r="I123" s="254">
        <v>0</v>
      </c>
      <c r="J123" s="209" t="s">
        <v>710</v>
      </c>
      <c r="K123" s="28" t="s">
        <v>703</v>
      </c>
      <c r="L123" s="28">
        <f>L122+1</f>
        <v>11</v>
      </c>
      <c r="M123" s="99"/>
      <c r="N123" s="99"/>
      <c r="O123" s="99"/>
      <c r="Q123" s="295"/>
    </row>
    <row r="124" spans="1:17" s="38" customFormat="1" x14ac:dyDescent="0.25">
      <c r="A124" s="78" t="s">
        <v>131</v>
      </c>
      <c r="B124" s="78" t="str">
        <f t="shared" si="11"/>
        <v>H12</v>
      </c>
      <c r="C124" s="501" t="s">
        <v>711</v>
      </c>
      <c r="D124" s="496" t="s">
        <v>91</v>
      </c>
      <c r="E124" s="497" t="s">
        <v>24</v>
      </c>
      <c r="F124" s="274">
        <v>1000</v>
      </c>
      <c r="G124" s="274">
        <v>1000</v>
      </c>
      <c r="H124" s="274">
        <v>1000</v>
      </c>
      <c r="I124" s="274">
        <v>1000</v>
      </c>
      <c r="J124" s="209"/>
      <c r="K124" s="28" t="s">
        <v>703</v>
      </c>
      <c r="L124" s="28">
        <f>L123+1</f>
        <v>12</v>
      </c>
      <c r="M124" s="99"/>
      <c r="N124" s="99"/>
      <c r="O124" s="99"/>
      <c r="Q124" s="295"/>
    </row>
    <row r="125" spans="1:17" s="38" customFormat="1" x14ac:dyDescent="0.25">
      <c r="A125" s="78"/>
      <c r="B125" s="78" t="str">
        <f t="shared" si="11"/>
        <v/>
      </c>
      <c r="C125" s="82" t="s">
        <v>156</v>
      </c>
      <c r="D125" s="72"/>
      <c r="E125" s="71"/>
      <c r="F125" s="4">
        <f>F119</f>
        <v>2022</v>
      </c>
      <c r="G125" s="4">
        <f>F125+1</f>
        <v>2023</v>
      </c>
      <c r="H125" s="4">
        <f>G125+1</f>
        <v>2024</v>
      </c>
      <c r="I125" s="4">
        <f>H125+1</f>
        <v>2025</v>
      </c>
      <c r="J125" s="209"/>
      <c r="K125" s="4"/>
      <c r="L125" s="4"/>
      <c r="M125" s="99"/>
      <c r="N125" s="99"/>
      <c r="O125" s="99"/>
    </row>
    <row r="126" spans="1:17" s="38" customFormat="1" x14ac:dyDescent="0.25">
      <c r="A126" s="78" t="s">
        <v>131</v>
      </c>
      <c r="B126" s="78" t="str">
        <f t="shared" si="11"/>
        <v>H13</v>
      </c>
      <c r="C126" s="245" t="s">
        <v>159</v>
      </c>
      <c r="D126" s="72" t="s">
        <v>91</v>
      </c>
      <c r="E126" s="71" t="s">
        <v>24</v>
      </c>
      <c r="F126" s="70">
        <v>600</v>
      </c>
      <c r="G126" s="70">
        <v>600</v>
      </c>
      <c r="H126" s="70">
        <v>600</v>
      </c>
      <c r="I126" s="70">
        <v>600</v>
      </c>
      <c r="J126" s="209"/>
      <c r="K126" s="28" t="s">
        <v>703</v>
      </c>
      <c r="L126" s="28">
        <f>L124+1</f>
        <v>13</v>
      </c>
      <c r="M126" s="99"/>
      <c r="N126" s="99"/>
      <c r="O126" s="99"/>
      <c r="P126" s="28"/>
    </row>
    <row r="127" spans="1:17" s="38" customFormat="1" x14ac:dyDescent="0.25">
      <c r="A127" s="78" t="s">
        <v>131</v>
      </c>
      <c r="B127" s="78" t="str">
        <f t="shared" si="11"/>
        <v>H14</v>
      </c>
      <c r="C127" s="245" t="s">
        <v>157</v>
      </c>
      <c r="D127" s="72" t="s">
        <v>661</v>
      </c>
      <c r="E127" s="71" t="s">
        <v>84</v>
      </c>
      <c r="F127" s="70">
        <v>5461</v>
      </c>
      <c r="G127" s="70">
        <v>5521</v>
      </c>
      <c r="H127" s="70">
        <v>5578</v>
      </c>
      <c r="I127" s="70">
        <v>5635</v>
      </c>
      <c r="J127" s="403"/>
      <c r="K127" s="28" t="s">
        <v>703</v>
      </c>
      <c r="L127" s="28">
        <f>L126+1</f>
        <v>14</v>
      </c>
      <c r="M127" s="99" t="str">
        <f>IF(E127="VEDTATT","VEDTATT",0)</f>
        <v>VEDTATT</v>
      </c>
      <c r="N127" s="99">
        <f>IF(E127="MÅ","Nye tiltak",0)</f>
        <v>0</v>
      </c>
      <c r="O127" s="99"/>
      <c r="P127" s="28"/>
    </row>
    <row r="128" spans="1:17" s="38" customFormat="1" ht="25.5" x14ac:dyDescent="0.25">
      <c r="A128" s="78" t="s">
        <v>131</v>
      </c>
      <c r="B128" s="78" t="str">
        <f t="shared" si="11"/>
        <v>H15</v>
      </c>
      <c r="C128" s="245" t="s">
        <v>713</v>
      </c>
      <c r="D128" s="72" t="s">
        <v>661</v>
      </c>
      <c r="E128" s="71" t="s">
        <v>84</v>
      </c>
      <c r="F128" s="90">
        <v>100</v>
      </c>
      <c r="G128" s="90">
        <v>100</v>
      </c>
      <c r="H128" s="90">
        <v>100</v>
      </c>
      <c r="I128" s="90">
        <v>100</v>
      </c>
      <c r="J128" s="470" t="s">
        <v>714</v>
      </c>
      <c r="K128" s="28" t="s">
        <v>703</v>
      </c>
      <c r="L128" s="28">
        <f>L127+1</f>
        <v>15</v>
      </c>
      <c r="M128" s="99" t="str">
        <f>IF(E128="VEDTATT","VEDTATT",0)</f>
        <v>VEDTATT</v>
      </c>
      <c r="N128" s="99">
        <f>IF(E128="MÅ","Nye tiltak",0)</f>
        <v>0</v>
      </c>
      <c r="O128" s="99"/>
      <c r="P128" s="28"/>
    </row>
    <row r="129" spans="1:16" s="38" customFormat="1" x14ac:dyDescent="0.25">
      <c r="A129" s="78"/>
      <c r="B129" s="78"/>
      <c r="C129" s="82" t="s">
        <v>172</v>
      </c>
      <c r="D129" s="83"/>
      <c r="E129" s="71"/>
      <c r="F129" s="4">
        <f>F125</f>
        <v>2022</v>
      </c>
      <c r="G129" s="4">
        <f>F129+1</f>
        <v>2023</v>
      </c>
      <c r="H129" s="4">
        <f>G129+1</f>
        <v>2024</v>
      </c>
      <c r="I129" s="4">
        <f>H129+1</f>
        <v>2025</v>
      </c>
      <c r="J129" s="209"/>
      <c r="K129" s="337"/>
      <c r="L129" s="337"/>
      <c r="M129" s="99"/>
      <c r="N129" s="99"/>
      <c r="O129" s="99"/>
      <c r="P129" s="28"/>
    </row>
    <row r="130" spans="1:16" s="38" customFormat="1" x14ac:dyDescent="0.25">
      <c r="A130" s="78" t="s">
        <v>131</v>
      </c>
      <c r="B130" s="78" t="str">
        <f t="shared" ref="B130:B137" si="12">IF(L130,K130&amp;L130,"")</f>
        <v>H16</v>
      </c>
      <c r="C130" s="245" t="s">
        <v>173</v>
      </c>
      <c r="D130" s="72" t="s">
        <v>661</v>
      </c>
      <c r="E130" s="71" t="s">
        <v>84</v>
      </c>
      <c r="F130" s="70">
        <v>-1883</v>
      </c>
      <c r="G130" s="59">
        <v>-1178</v>
      </c>
      <c r="H130" s="59">
        <v>232</v>
      </c>
      <c r="I130" s="59">
        <v>4583</v>
      </c>
      <c r="J130" s="403"/>
      <c r="K130" s="28" t="s">
        <v>703</v>
      </c>
      <c r="L130" s="28">
        <f>L128+1</f>
        <v>16</v>
      </c>
      <c r="M130" s="99" t="str">
        <f>IF(E130="VEDTATT","VEDTATT",0)</f>
        <v>VEDTATT</v>
      </c>
      <c r="N130" s="99">
        <f>IF(E130="MÅ","Nye tiltak",0)</f>
        <v>0</v>
      </c>
      <c r="O130" s="99"/>
      <c r="P130" s="28"/>
    </row>
    <row r="131" spans="1:16" s="38" customFormat="1" x14ac:dyDescent="0.25">
      <c r="A131" s="78" t="s">
        <v>131</v>
      </c>
      <c r="B131" s="78" t="str">
        <f t="shared" si="12"/>
        <v>H17</v>
      </c>
      <c r="C131" s="245" t="s">
        <v>174</v>
      </c>
      <c r="D131" s="72" t="s">
        <v>661</v>
      </c>
      <c r="E131" s="71" t="s">
        <v>84</v>
      </c>
      <c r="F131" s="70">
        <v>5000</v>
      </c>
      <c r="G131" s="70">
        <v>0</v>
      </c>
      <c r="H131" s="70">
        <v>-2000</v>
      </c>
      <c r="I131" s="70">
        <v>-2000</v>
      </c>
      <c r="J131" s="403"/>
      <c r="K131" s="28" t="s">
        <v>703</v>
      </c>
      <c r="L131" s="28">
        <f>L130+1</f>
        <v>17</v>
      </c>
      <c r="M131" s="99" t="str">
        <f>IF(E131="VEDTATT","VEDTATT",0)</f>
        <v>VEDTATT</v>
      </c>
      <c r="N131" s="99">
        <f>IF(E131="MÅ","Nye tiltak",0)</f>
        <v>0</v>
      </c>
      <c r="O131" s="99"/>
      <c r="P131" s="28"/>
    </row>
    <row r="132" spans="1:16" s="38" customFormat="1" x14ac:dyDescent="0.25">
      <c r="A132" s="78" t="s">
        <v>131</v>
      </c>
      <c r="B132" s="78" t="str">
        <f t="shared" si="12"/>
        <v>H18</v>
      </c>
      <c r="C132" s="245" t="s">
        <v>529</v>
      </c>
      <c r="D132" s="72" t="s">
        <v>661</v>
      </c>
      <c r="E132" s="71" t="s">
        <v>84</v>
      </c>
      <c r="F132" s="484">
        <v>1750</v>
      </c>
      <c r="G132" s="484">
        <v>3450</v>
      </c>
      <c r="H132" s="484">
        <v>3450</v>
      </c>
      <c r="I132" s="484">
        <v>3450</v>
      </c>
      <c r="J132" s="470" t="s">
        <v>714</v>
      </c>
      <c r="K132" s="28" t="s">
        <v>703</v>
      </c>
      <c r="L132" s="28">
        <f>L131+1</f>
        <v>18</v>
      </c>
      <c r="M132" s="99" t="str">
        <f>IF(E131="VEDTATT","VEDTATT",0)</f>
        <v>VEDTATT</v>
      </c>
      <c r="N132" s="99">
        <f>IF(E131="MÅ","Nye tiltak",0)</f>
        <v>0</v>
      </c>
      <c r="O132" s="99"/>
      <c r="P132" s="28"/>
    </row>
    <row r="133" spans="1:16" s="38" customFormat="1" ht="25.5" x14ac:dyDescent="0.25">
      <c r="A133" s="78" t="s">
        <v>131</v>
      </c>
      <c r="B133" s="78" t="str">
        <f t="shared" si="12"/>
        <v>H19</v>
      </c>
      <c r="C133" s="245" t="s">
        <v>530</v>
      </c>
      <c r="D133" s="72" t="s">
        <v>661</v>
      </c>
      <c r="E133" s="71" t="s">
        <v>84</v>
      </c>
      <c r="F133" s="484">
        <v>3510</v>
      </c>
      <c r="G133" s="484">
        <v>10430</v>
      </c>
      <c r="H133" s="484">
        <v>17050</v>
      </c>
      <c r="I133" s="484">
        <v>22010</v>
      </c>
      <c r="J133" s="470" t="s">
        <v>720</v>
      </c>
      <c r="K133" s="28" t="s">
        <v>703</v>
      </c>
      <c r="L133" s="28">
        <f>L132+1</f>
        <v>19</v>
      </c>
      <c r="M133" s="99" t="str">
        <f>IF(E132="VEDTATT","VEDTATT",0)</f>
        <v>VEDTATT</v>
      </c>
      <c r="N133" s="99">
        <f>IF(E132="MÅ","Nye tiltak",0)</f>
        <v>0</v>
      </c>
      <c r="O133" s="99"/>
      <c r="P133" s="28"/>
    </row>
    <row r="134" spans="1:16" s="38" customFormat="1" x14ac:dyDescent="0.25">
      <c r="A134" s="78"/>
      <c r="B134" s="78" t="str">
        <f t="shared" si="12"/>
        <v/>
      </c>
      <c r="C134" s="82" t="s">
        <v>179</v>
      </c>
      <c r="D134" s="83"/>
      <c r="E134" s="71"/>
      <c r="F134" s="4">
        <f>F129</f>
        <v>2022</v>
      </c>
      <c r="G134" s="4">
        <f>F134+1</f>
        <v>2023</v>
      </c>
      <c r="H134" s="4">
        <f>G134+1</f>
        <v>2024</v>
      </c>
      <c r="I134" s="4">
        <f>H134+1</f>
        <v>2025</v>
      </c>
      <c r="J134" s="209"/>
      <c r="K134" s="337"/>
      <c r="L134" s="337"/>
      <c r="M134" s="99"/>
      <c r="N134" s="99"/>
      <c r="O134" s="99"/>
      <c r="P134" s="28"/>
    </row>
    <row r="135" spans="1:16" s="38" customFormat="1" x14ac:dyDescent="0.25">
      <c r="A135" s="78" t="s">
        <v>131</v>
      </c>
      <c r="B135" s="78" t="str">
        <f t="shared" si="12"/>
        <v>H20</v>
      </c>
      <c r="C135" s="245" t="s">
        <v>180</v>
      </c>
      <c r="D135" s="72" t="s">
        <v>664</v>
      </c>
      <c r="E135" s="71" t="s">
        <v>84</v>
      </c>
      <c r="F135" s="70">
        <v>0</v>
      </c>
      <c r="G135" s="70"/>
      <c r="H135" s="70">
        <v>6000</v>
      </c>
      <c r="I135" s="191">
        <v>12000</v>
      </c>
      <c r="J135" s="209" t="s">
        <v>721</v>
      </c>
      <c r="K135" s="28" t="s">
        <v>703</v>
      </c>
      <c r="L135" s="28">
        <f>L133+1</f>
        <v>20</v>
      </c>
      <c r="M135" s="99" t="str">
        <f>IF(E135="VEDTATT","VEDTATT",0)</f>
        <v>VEDTATT</v>
      </c>
      <c r="N135" s="99">
        <f>IF(E135="MÅ","Nye tiltak",0)</f>
        <v>0</v>
      </c>
      <c r="O135" s="99"/>
      <c r="P135" s="28"/>
    </row>
    <row r="136" spans="1:16" s="38" customFormat="1" x14ac:dyDescent="0.25">
      <c r="A136" s="78" t="s">
        <v>131</v>
      </c>
      <c r="B136" s="78" t="str">
        <f t="shared" si="12"/>
        <v>H21</v>
      </c>
      <c r="C136" s="245" t="s">
        <v>722</v>
      </c>
      <c r="D136" s="72" t="s">
        <v>664</v>
      </c>
      <c r="E136" s="71" t="s">
        <v>84</v>
      </c>
      <c r="F136" s="191">
        <v>0</v>
      </c>
      <c r="G136" s="191">
        <v>-2500</v>
      </c>
      <c r="H136" s="191">
        <f>G136</f>
        <v>-2500</v>
      </c>
      <c r="I136" s="191">
        <f>H136</f>
        <v>-2500</v>
      </c>
      <c r="J136" s="209"/>
      <c r="K136" s="28" t="s">
        <v>703</v>
      </c>
      <c r="L136" s="28">
        <f>L135+1</f>
        <v>21</v>
      </c>
      <c r="M136" s="99"/>
      <c r="N136" s="99"/>
      <c r="O136" s="99"/>
      <c r="P136" s="28"/>
    </row>
    <row r="137" spans="1:16" s="38" customFormat="1" x14ac:dyDescent="0.25">
      <c r="A137" s="78" t="s">
        <v>131</v>
      </c>
      <c r="B137" s="78" t="str">
        <f t="shared" si="12"/>
        <v>H22</v>
      </c>
      <c r="C137" s="245" t="s">
        <v>723</v>
      </c>
      <c r="D137" s="72" t="s">
        <v>91</v>
      </c>
      <c r="E137" s="71" t="s">
        <v>24</v>
      </c>
      <c r="F137" s="191">
        <v>4000</v>
      </c>
      <c r="G137" s="191">
        <f>F137</f>
        <v>4000</v>
      </c>
      <c r="H137" s="191">
        <f>G137</f>
        <v>4000</v>
      </c>
      <c r="I137" s="191">
        <f>H137</f>
        <v>4000</v>
      </c>
      <c r="J137" s="209"/>
      <c r="K137" s="28" t="s">
        <v>703</v>
      </c>
      <c r="L137" s="28">
        <f>L136+1</f>
        <v>22</v>
      </c>
      <c r="M137" s="99">
        <f>IF(E137="VEDTATT","VEDTATT",0)</f>
        <v>0</v>
      </c>
      <c r="N137" s="99" t="str">
        <f>IF(E137="MÅ","Nye tiltak",0)</f>
        <v>Nye tiltak</v>
      </c>
      <c r="O137" s="99"/>
      <c r="P137" s="28"/>
    </row>
    <row r="138" spans="1:16" s="38" customFormat="1" x14ac:dyDescent="0.25">
      <c r="A138" s="43"/>
      <c r="B138" s="43" t="s">
        <v>127</v>
      </c>
      <c r="C138" s="3" t="s">
        <v>182</v>
      </c>
      <c r="D138" s="52"/>
      <c r="E138" s="52"/>
      <c r="F138" s="56">
        <f>SUMIF($A:$A,"H&amp;V",F:F)</f>
        <v>41588</v>
      </c>
      <c r="G138" s="56">
        <f>SUMIF($A:$A,"H&amp;V",G:G)</f>
        <v>29767</v>
      </c>
      <c r="H138" s="56">
        <f>SUMIF($A:$A,"H&amp;V",H:H)</f>
        <v>46704</v>
      </c>
      <c r="I138" s="56">
        <f>SUMIF($A:$A,"H&amp;V",I:I)</f>
        <v>73272</v>
      </c>
      <c r="J138" s="209"/>
      <c r="K138" s="337"/>
      <c r="L138" s="337"/>
      <c r="M138" s="99"/>
      <c r="N138" s="99"/>
      <c r="O138" s="99"/>
    </row>
    <row r="139" spans="1:16" s="38" customFormat="1" x14ac:dyDescent="0.25">
      <c r="A139" s="47"/>
      <c r="B139" s="47"/>
      <c r="C139" s="11"/>
      <c r="D139" s="49"/>
      <c r="E139" s="49"/>
      <c r="F139" s="57"/>
      <c r="G139" s="57"/>
      <c r="H139" s="57"/>
      <c r="I139" s="57"/>
      <c r="J139" s="209"/>
      <c r="K139" s="28"/>
      <c r="L139" s="28"/>
      <c r="M139" s="99"/>
      <c r="N139" s="99"/>
      <c r="O139" s="99"/>
    </row>
    <row r="140" spans="1:16" s="38" customFormat="1" x14ac:dyDescent="0.25">
      <c r="A140" s="48"/>
      <c r="B140" s="48"/>
      <c r="C140" s="13" t="s">
        <v>183</v>
      </c>
      <c r="D140" s="50"/>
      <c r="E140" s="61"/>
      <c r="F140" s="58"/>
      <c r="G140" s="58"/>
      <c r="H140" s="58"/>
      <c r="I140" s="58"/>
      <c r="J140" s="209"/>
      <c r="M140" s="99"/>
      <c r="N140" s="99"/>
      <c r="O140" s="99"/>
    </row>
    <row r="141" spans="1:16" s="38" customFormat="1" x14ac:dyDescent="0.25">
      <c r="A141" s="341"/>
      <c r="B141" s="341"/>
      <c r="C141" s="82" t="s">
        <v>184</v>
      </c>
      <c r="D141" s="83"/>
      <c r="E141" s="71"/>
      <c r="F141" s="4">
        <f>F134</f>
        <v>2022</v>
      </c>
      <c r="G141" s="4">
        <f>F141+1</f>
        <v>2023</v>
      </c>
      <c r="H141" s="4">
        <f>G141+1</f>
        <v>2024</v>
      </c>
      <c r="I141" s="4">
        <f>H141+1</f>
        <v>2025</v>
      </c>
      <c r="J141" s="405"/>
      <c r="K141" s="337"/>
      <c r="L141" s="337"/>
      <c r="M141" s="99"/>
      <c r="N141" s="99"/>
      <c r="O141" s="99"/>
    </row>
    <row r="142" spans="1:16" s="38" customFormat="1" x14ac:dyDescent="0.25">
      <c r="A142" s="78" t="s">
        <v>186</v>
      </c>
      <c r="B142" s="78" t="str">
        <f t="shared" ref="B142:B148" si="13">IF(L142,K142&amp;L142,"")</f>
        <v>K1</v>
      </c>
      <c r="C142" s="212" t="s">
        <v>187</v>
      </c>
      <c r="D142" s="79" t="s">
        <v>664</v>
      </c>
      <c r="E142" s="71" t="s">
        <v>84</v>
      </c>
      <c r="F142" s="191">
        <v>-400</v>
      </c>
      <c r="G142" s="191">
        <v>-500</v>
      </c>
      <c r="H142" s="191">
        <v>-600</v>
      </c>
      <c r="I142" s="191">
        <v>-600</v>
      </c>
      <c r="J142" s="209"/>
      <c r="K142" s="28" t="s">
        <v>724</v>
      </c>
      <c r="L142" s="28">
        <v>1</v>
      </c>
      <c r="M142" s="99" t="str">
        <f t="shared" ref="M142:M148" si="14">IF(E142="VEDTATT","VEDTATT",0)</f>
        <v>VEDTATT</v>
      </c>
      <c r="N142" s="99">
        <f t="shared" ref="N142:N148" si="15">IF(E142="MÅ","Nye tiltak",0)</f>
        <v>0</v>
      </c>
      <c r="O142" s="99"/>
    </row>
    <row r="143" spans="1:16" s="38" customFormat="1" x14ac:dyDescent="0.25">
      <c r="A143" s="78" t="s">
        <v>186</v>
      </c>
      <c r="B143" s="78" t="str">
        <f t="shared" si="13"/>
        <v>K2</v>
      </c>
      <c r="C143" s="212" t="s">
        <v>725</v>
      </c>
      <c r="D143" s="79" t="s">
        <v>91</v>
      </c>
      <c r="E143" s="71" t="s">
        <v>24</v>
      </c>
      <c r="F143" s="191">
        <v>300</v>
      </c>
      <c r="G143" s="191">
        <v>300</v>
      </c>
      <c r="H143" s="191">
        <v>300</v>
      </c>
      <c r="I143" s="191">
        <v>300</v>
      </c>
      <c r="J143" s="209"/>
      <c r="K143" s="28" t="s">
        <v>724</v>
      </c>
      <c r="L143" s="28">
        <f>L142+1</f>
        <v>2</v>
      </c>
      <c r="M143" s="99">
        <f t="shared" si="14"/>
        <v>0</v>
      </c>
      <c r="N143" s="99" t="str">
        <f t="shared" si="15"/>
        <v>Nye tiltak</v>
      </c>
      <c r="O143" s="99"/>
    </row>
    <row r="144" spans="1:16" s="38" customFormat="1" x14ac:dyDescent="0.25">
      <c r="A144" s="78" t="s">
        <v>186</v>
      </c>
      <c r="B144" s="78" t="str">
        <f t="shared" si="13"/>
        <v>K3</v>
      </c>
      <c r="C144" s="212" t="s">
        <v>726</v>
      </c>
      <c r="D144" s="79" t="s">
        <v>91</v>
      </c>
      <c r="E144" s="71" t="s">
        <v>24</v>
      </c>
      <c r="F144" s="191">
        <v>100</v>
      </c>
      <c r="G144" s="255">
        <v>100</v>
      </c>
      <c r="H144" s="255">
        <v>100</v>
      </c>
      <c r="I144" s="255">
        <v>100</v>
      </c>
      <c r="J144" s="209"/>
      <c r="K144" s="28" t="s">
        <v>724</v>
      </c>
      <c r="L144" s="28">
        <f t="shared" ref="L144:L145" si="16">L143+1</f>
        <v>3</v>
      </c>
      <c r="M144" s="99"/>
      <c r="N144" s="99"/>
      <c r="O144" s="99"/>
    </row>
    <row r="145" spans="1:15" s="38" customFormat="1" x14ac:dyDescent="0.25">
      <c r="A145" s="78" t="s">
        <v>186</v>
      </c>
      <c r="B145" s="78" t="str">
        <f t="shared" si="13"/>
        <v>K4</v>
      </c>
      <c r="C145" s="212" t="s">
        <v>727</v>
      </c>
      <c r="D145" s="79" t="s">
        <v>91</v>
      </c>
      <c r="E145" s="71" t="s">
        <v>24</v>
      </c>
      <c r="F145" s="191">
        <v>-100</v>
      </c>
      <c r="G145" s="255">
        <v>-100</v>
      </c>
      <c r="H145" s="255">
        <v>-100</v>
      </c>
      <c r="I145" s="255">
        <v>-100</v>
      </c>
      <c r="J145" s="209"/>
      <c r="K145" s="28" t="s">
        <v>724</v>
      </c>
      <c r="L145" s="28">
        <f t="shared" si="16"/>
        <v>4</v>
      </c>
      <c r="M145" s="99">
        <f t="shared" si="14"/>
        <v>0</v>
      </c>
      <c r="N145" s="99" t="str">
        <f t="shared" si="15"/>
        <v>Nye tiltak</v>
      </c>
      <c r="O145" s="99"/>
    </row>
    <row r="146" spans="1:15" s="38" customFormat="1" x14ac:dyDescent="0.25">
      <c r="A146" s="78"/>
      <c r="B146" s="78" t="str">
        <f t="shared" si="13"/>
        <v/>
      </c>
      <c r="C146" s="387" t="s">
        <v>185</v>
      </c>
      <c r="D146" s="79"/>
      <c r="E146" s="71"/>
      <c r="F146" s="191"/>
      <c r="G146" s="191"/>
      <c r="H146" s="191"/>
      <c r="I146" s="191"/>
      <c r="J146" s="209"/>
      <c r="K146" s="28" t="s">
        <v>724</v>
      </c>
      <c r="L146" s="28"/>
      <c r="M146" s="99">
        <f t="shared" si="14"/>
        <v>0</v>
      </c>
      <c r="N146" s="99">
        <f t="shared" si="15"/>
        <v>0</v>
      </c>
      <c r="O146" s="99"/>
    </row>
    <row r="147" spans="1:15" s="38" customFormat="1" x14ac:dyDescent="0.25">
      <c r="A147" s="78" t="s">
        <v>186</v>
      </c>
      <c r="B147" s="78" t="str">
        <f t="shared" si="13"/>
        <v>K5</v>
      </c>
      <c r="C147" s="213" t="s">
        <v>728</v>
      </c>
      <c r="D147" s="72" t="s">
        <v>664</v>
      </c>
      <c r="E147" s="71" t="s">
        <v>84</v>
      </c>
      <c r="F147" s="70">
        <v>0</v>
      </c>
      <c r="G147" s="70">
        <v>50</v>
      </c>
      <c r="H147" s="70">
        <v>50</v>
      </c>
      <c r="I147" s="70">
        <v>50</v>
      </c>
      <c r="J147" s="406" t="s">
        <v>729</v>
      </c>
      <c r="K147" s="28" t="s">
        <v>724</v>
      </c>
      <c r="L147" s="28">
        <v>5</v>
      </c>
      <c r="M147" s="99" t="str">
        <f t="shared" si="14"/>
        <v>VEDTATT</v>
      </c>
      <c r="N147" s="99">
        <f t="shared" si="15"/>
        <v>0</v>
      </c>
      <c r="O147" s="99"/>
    </row>
    <row r="148" spans="1:15" s="38" customFormat="1" x14ac:dyDescent="0.25">
      <c r="A148" s="78" t="s">
        <v>186</v>
      </c>
      <c r="B148" s="78" t="str">
        <f t="shared" si="13"/>
        <v>K6</v>
      </c>
      <c r="C148" s="213" t="s">
        <v>730</v>
      </c>
      <c r="D148" s="72" t="s">
        <v>664</v>
      </c>
      <c r="E148" s="71" t="s">
        <v>84</v>
      </c>
      <c r="F148" s="90">
        <v>460</v>
      </c>
      <c r="G148" s="90">
        <v>460</v>
      </c>
      <c r="H148" s="90">
        <v>460</v>
      </c>
      <c r="I148" s="90">
        <v>460</v>
      </c>
      <c r="J148" s="471" t="s">
        <v>731</v>
      </c>
      <c r="K148" s="28" t="s">
        <v>724</v>
      </c>
      <c r="L148" s="28">
        <f>L147+1</f>
        <v>6</v>
      </c>
      <c r="M148" s="99" t="str">
        <f t="shared" si="14"/>
        <v>VEDTATT</v>
      </c>
      <c r="N148" s="99">
        <f t="shared" si="15"/>
        <v>0</v>
      </c>
      <c r="O148" s="99"/>
    </row>
    <row r="149" spans="1:15" s="38" customFormat="1" x14ac:dyDescent="0.25">
      <c r="A149" s="78" t="s">
        <v>186</v>
      </c>
      <c r="B149" s="78" t="str">
        <f>IF(L149,K149&amp;L149,"")</f>
        <v>K7</v>
      </c>
      <c r="C149" s="213" t="s">
        <v>732</v>
      </c>
      <c r="D149" s="72" t="s">
        <v>91</v>
      </c>
      <c r="E149" s="71" t="s">
        <v>24</v>
      </c>
      <c r="F149" s="90">
        <v>165</v>
      </c>
      <c r="G149" s="90">
        <v>165</v>
      </c>
      <c r="H149" s="90">
        <v>165</v>
      </c>
      <c r="I149" s="90">
        <v>165</v>
      </c>
      <c r="J149" s="471" t="s">
        <v>733</v>
      </c>
      <c r="K149" s="28" t="s">
        <v>724</v>
      </c>
      <c r="L149" s="28">
        <f>L148+1</f>
        <v>7</v>
      </c>
      <c r="M149" s="99"/>
      <c r="N149" s="99"/>
      <c r="O149" s="99"/>
    </row>
    <row r="150" spans="1:15" s="38" customFormat="1" x14ac:dyDescent="0.25">
      <c r="A150" s="78"/>
      <c r="B150" s="78"/>
      <c r="C150" s="82"/>
      <c r="D150" s="72"/>
      <c r="E150" s="71"/>
      <c r="F150" s="70"/>
      <c r="G150" s="70"/>
      <c r="H150" s="70"/>
      <c r="I150" s="70"/>
      <c r="J150" s="209"/>
      <c r="K150" s="28" t="s">
        <v>724</v>
      </c>
      <c r="L150" s="28">
        <f>L149+1</f>
        <v>8</v>
      </c>
      <c r="M150" s="99"/>
      <c r="N150" s="99"/>
      <c r="O150" s="99"/>
    </row>
    <row r="151" spans="1:15" s="38" customFormat="1" x14ac:dyDescent="0.25">
      <c r="A151" s="43"/>
      <c r="B151" s="43" t="s">
        <v>127</v>
      </c>
      <c r="C151" s="3" t="s">
        <v>203</v>
      </c>
      <c r="D151" s="52"/>
      <c r="E151" s="52"/>
      <c r="F151" s="56">
        <f>SUMIF($A:$A,"KuN",F:F)</f>
        <v>525</v>
      </c>
      <c r="G151" s="56">
        <f>SUMIF($A:$A,"KuN",G:G)</f>
        <v>475</v>
      </c>
      <c r="H151" s="56">
        <f>SUMIF($A:$A,"KuN",H:H)</f>
        <v>375</v>
      </c>
      <c r="I151" s="56">
        <f>SUMIF($A:$A,"KuN",I:I)</f>
        <v>375</v>
      </c>
      <c r="J151" s="407"/>
      <c r="K151" s="337"/>
      <c r="L151" s="337"/>
      <c r="M151" s="99"/>
      <c r="N151" s="99"/>
      <c r="O151" s="99"/>
    </row>
    <row r="152" spans="1:15" s="38" customFormat="1" x14ac:dyDescent="0.25">
      <c r="A152" s="47"/>
      <c r="B152" s="47"/>
      <c r="C152" s="11"/>
      <c r="D152" s="49"/>
      <c r="E152" s="49"/>
      <c r="F152" s="57"/>
      <c r="G152" s="57"/>
      <c r="H152" s="57"/>
      <c r="I152" s="57"/>
      <c r="J152" s="407"/>
      <c r="K152" s="28"/>
      <c r="L152" s="28"/>
      <c r="M152" s="99"/>
      <c r="N152" s="99"/>
      <c r="O152" s="99"/>
    </row>
    <row r="153" spans="1:15" s="38" customFormat="1" x14ac:dyDescent="0.25">
      <c r="A153" s="48"/>
      <c r="B153" s="48"/>
      <c r="C153" s="248" t="s">
        <v>204</v>
      </c>
      <c r="D153" s="83"/>
      <c r="E153" s="71"/>
      <c r="F153" s="4">
        <f>F141</f>
        <v>2022</v>
      </c>
      <c r="G153" s="4">
        <f>F153+1</f>
        <v>2023</v>
      </c>
      <c r="H153" s="4">
        <f>G153+1</f>
        <v>2024</v>
      </c>
      <c r="I153" s="4">
        <f>H153+1</f>
        <v>2025</v>
      </c>
      <c r="J153" s="407"/>
      <c r="K153" s="337"/>
      <c r="L153" s="337"/>
      <c r="M153" s="99"/>
      <c r="N153" s="99"/>
      <c r="O153" s="99"/>
    </row>
    <row r="154" spans="1:15" s="38" customFormat="1" x14ac:dyDescent="0.25">
      <c r="A154" s="78"/>
      <c r="B154" s="78"/>
      <c r="C154" s="344"/>
      <c r="D154" s="72"/>
      <c r="E154" s="71"/>
      <c r="F154" s="217"/>
      <c r="G154" s="217"/>
      <c r="H154" s="217"/>
      <c r="I154" s="217"/>
      <c r="J154" s="407"/>
      <c r="K154" s="28"/>
      <c r="L154" s="28"/>
      <c r="M154" s="99"/>
      <c r="N154" s="99"/>
      <c r="O154" s="99"/>
    </row>
    <row r="155" spans="1:15" s="38" customFormat="1" x14ac:dyDescent="0.25">
      <c r="A155" s="48"/>
      <c r="B155" s="78" t="str">
        <f t="shared" ref="B155:B180" si="17">IF(L155,K155&amp;L155,"")</f>
        <v/>
      </c>
      <c r="C155" s="208" t="s">
        <v>205</v>
      </c>
      <c r="D155" s="83"/>
      <c r="E155" s="71"/>
      <c r="F155" s="4">
        <f>F153</f>
        <v>2022</v>
      </c>
      <c r="G155" s="4">
        <f>F155+1</f>
        <v>2023</v>
      </c>
      <c r="H155" s="4">
        <f>G155+1</f>
        <v>2024</v>
      </c>
      <c r="I155" s="4">
        <f>H155+1</f>
        <v>2025</v>
      </c>
      <c r="J155" s="407"/>
      <c r="K155" s="337"/>
      <c r="L155" s="337"/>
      <c r="M155" s="99"/>
      <c r="N155" s="99"/>
      <c r="O155" s="99"/>
    </row>
    <row r="156" spans="1:15" s="38" customFormat="1" x14ac:dyDescent="0.25">
      <c r="A156" s="78" t="s">
        <v>206</v>
      </c>
      <c r="B156" s="78" t="str">
        <f t="shared" si="17"/>
        <v>T1</v>
      </c>
      <c r="C156" s="212" t="s">
        <v>734</v>
      </c>
      <c r="D156" s="72" t="s">
        <v>91</v>
      </c>
      <c r="E156" s="71" t="s">
        <v>24</v>
      </c>
      <c r="F156" s="217">
        <v>500</v>
      </c>
      <c r="G156" s="217">
        <v>500</v>
      </c>
      <c r="H156" s="217">
        <v>500</v>
      </c>
      <c r="I156" s="217">
        <v>500</v>
      </c>
      <c r="J156" s="93" t="s">
        <v>691</v>
      </c>
      <c r="K156" s="28" t="s">
        <v>735</v>
      </c>
      <c r="L156" s="28">
        <v>1</v>
      </c>
      <c r="M156" s="99"/>
      <c r="N156" s="99"/>
      <c r="O156" s="99"/>
    </row>
    <row r="157" spans="1:15" s="38" customFormat="1" ht="25.5" x14ac:dyDescent="0.25">
      <c r="A157" s="78" t="s">
        <v>206</v>
      </c>
      <c r="B157" s="78" t="str">
        <f t="shared" si="17"/>
        <v>T2</v>
      </c>
      <c r="C157" s="212" t="s">
        <v>736</v>
      </c>
      <c r="D157" s="72" t="s">
        <v>91</v>
      </c>
      <c r="E157" s="71" t="s">
        <v>24</v>
      </c>
      <c r="F157" s="217">
        <v>700</v>
      </c>
      <c r="G157" s="217">
        <v>700</v>
      </c>
      <c r="H157" s="217">
        <v>700</v>
      </c>
      <c r="I157" s="217">
        <v>700</v>
      </c>
      <c r="J157" s="93" t="s">
        <v>737</v>
      </c>
      <c r="K157" s="28" t="s">
        <v>735</v>
      </c>
      <c r="L157" s="28">
        <f>L156+1</f>
        <v>2</v>
      </c>
      <c r="M157" s="99"/>
      <c r="N157" s="99"/>
      <c r="O157" s="99"/>
    </row>
    <row r="158" spans="1:15" s="38" customFormat="1" x14ac:dyDescent="0.25">
      <c r="A158" s="78" t="s">
        <v>206</v>
      </c>
      <c r="B158" s="78" t="str">
        <f t="shared" si="17"/>
        <v>T3</v>
      </c>
      <c r="C158" s="212" t="s">
        <v>207</v>
      </c>
      <c r="D158" s="72" t="s">
        <v>91</v>
      </c>
      <c r="E158" s="71" t="s">
        <v>24</v>
      </c>
      <c r="F158" s="217">
        <f>6500-5000</f>
        <v>1500</v>
      </c>
      <c r="G158" s="217">
        <f>8000-5000</f>
        <v>3000</v>
      </c>
      <c r="H158" s="217">
        <f>9000-5000</f>
        <v>4000</v>
      </c>
      <c r="I158" s="217">
        <f>9000-5000</f>
        <v>4000</v>
      </c>
      <c r="J158" s="93" t="s">
        <v>738</v>
      </c>
      <c r="K158" s="28" t="s">
        <v>735</v>
      </c>
      <c r="L158" s="28">
        <f>L157+1</f>
        <v>3</v>
      </c>
      <c r="M158" s="99"/>
      <c r="N158" s="99"/>
      <c r="O158" s="99"/>
    </row>
    <row r="159" spans="1:15" s="38" customFormat="1" ht="25.5" x14ac:dyDescent="0.25">
      <c r="A159" s="78" t="s">
        <v>206</v>
      </c>
      <c r="B159" s="78" t="str">
        <f t="shared" si="17"/>
        <v>T4</v>
      </c>
      <c r="C159" s="212" t="s">
        <v>564</v>
      </c>
      <c r="D159" s="72" t="s">
        <v>91</v>
      </c>
      <c r="E159" s="71" t="s">
        <v>24</v>
      </c>
      <c r="F159" s="217">
        <v>250</v>
      </c>
      <c r="G159" s="217">
        <v>300</v>
      </c>
      <c r="H159" s="217">
        <v>350</v>
      </c>
      <c r="I159" s="217">
        <v>400</v>
      </c>
      <c r="J159" s="93" t="s">
        <v>739</v>
      </c>
      <c r="K159" s="28" t="s">
        <v>735</v>
      </c>
      <c r="L159" s="28">
        <f>L158+1</f>
        <v>4</v>
      </c>
      <c r="M159" s="99"/>
      <c r="N159" s="99"/>
      <c r="O159" s="99"/>
    </row>
    <row r="160" spans="1:15" s="38" customFormat="1" ht="56.25" x14ac:dyDescent="0.25">
      <c r="A160" s="78" t="s">
        <v>206</v>
      </c>
      <c r="B160" s="78" t="str">
        <f t="shared" si="17"/>
        <v>T5</v>
      </c>
      <c r="C160" t="s">
        <v>740</v>
      </c>
      <c r="D160" s="72" t="s">
        <v>91</v>
      </c>
      <c r="E160" s="71" t="s">
        <v>24</v>
      </c>
      <c r="F160" s="217">
        <v>500</v>
      </c>
      <c r="G160" s="217">
        <v>500</v>
      </c>
      <c r="H160" s="217">
        <v>500</v>
      </c>
      <c r="I160" s="217">
        <v>500</v>
      </c>
      <c r="J160" s="430" t="s">
        <v>741</v>
      </c>
      <c r="K160" s="28" t="s">
        <v>735</v>
      </c>
      <c r="L160" s="28">
        <v>5</v>
      </c>
      <c r="M160" s="99"/>
      <c r="N160" s="99"/>
      <c r="O160" s="99"/>
    </row>
    <row r="161" spans="1:15" s="38" customFormat="1" x14ac:dyDescent="0.25">
      <c r="A161" s="78"/>
      <c r="B161" s="78" t="str">
        <f t="shared" si="17"/>
        <v/>
      </c>
      <c r="C161" s="212"/>
      <c r="D161" s="72"/>
      <c r="E161" s="71"/>
      <c r="F161" s="217"/>
      <c r="G161" s="217"/>
      <c r="H161" s="217"/>
      <c r="I161" s="217"/>
      <c r="J161" s="93"/>
      <c r="K161" s="28"/>
      <c r="L161" s="28"/>
      <c r="M161" s="99"/>
      <c r="N161" s="99"/>
      <c r="O161" s="99"/>
    </row>
    <row r="162" spans="1:15" s="38" customFormat="1" x14ac:dyDescent="0.25">
      <c r="A162" s="78"/>
      <c r="B162" s="78" t="str">
        <f t="shared" si="17"/>
        <v/>
      </c>
      <c r="C162" s="208" t="s">
        <v>209</v>
      </c>
      <c r="D162" s="72"/>
      <c r="E162" s="71"/>
      <c r="F162" s="4">
        <f>F155</f>
        <v>2022</v>
      </c>
      <c r="G162" s="4">
        <f>F162+1</f>
        <v>2023</v>
      </c>
      <c r="H162" s="4">
        <f>G162+1</f>
        <v>2024</v>
      </c>
      <c r="I162" s="4">
        <f>H162+1</f>
        <v>2025</v>
      </c>
      <c r="J162" s="407"/>
      <c r="K162" s="337"/>
      <c r="L162" s="337"/>
      <c r="M162" s="99"/>
      <c r="N162" s="99"/>
      <c r="O162" s="99"/>
    </row>
    <row r="163" spans="1:15" s="38" customFormat="1" x14ac:dyDescent="0.25">
      <c r="A163" s="78" t="s">
        <v>206</v>
      </c>
      <c r="B163" s="78" t="str">
        <f t="shared" si="17"/>
        <v>T6</v>
      </c>
      <c r="C163" s="344" t="s">
        <v>211</v>
      </c>
      <c r="D163" s="72" t="s">
        <v>664</v>
      </c>
      <c r="E163" s="71" t="s">
        <v>84</v>
      </c>
      <c r="F163" s="217"/>
      <c r="G163" s="217">
        <v>-450</v>
      </c>
      <c r="H163" s="217">
        <v>-450</v>
      </c>
      <c r="I163" s="217">
        <v>-450</v>
      </c>
      <c r="J163" s="407" t="s">
        <v>742</v>
      </c>
      <c r="K163" s="28" t="s">
        <v>735</v>
      </c>
      <c r="L163" s="28">
        <f>L160+1</f>
        <v>6</v>
      </c>
      <c r="M163" s="99" t="str">
        <f>IF(E163="VEDTATT","VEDTATT",0)</f>
        <v>VEDTATT</v>
      </c>
      <c r="N163" s="99">
        <f>IF(E163="MÅ","Nye tiltak",0)</f>
        <v>0</v>
      </c>
      <c r="O163" s="99"/>
    </row>
    <row r="164" spans="1:15" s="38" customFormat="1" x14ac:dyDescent="0.25">
      <c r="A164" s="78"/>
      <c r="B164" s="78" t="str">
        <f t="shared" si="17"/>
        <v/>
      </c>
      <c r="C164" s="344"/>
      <c r="D164" s="72"/>
      <c r="E164" s="71"/>
      <c r="F164" s="217"/>
      <c r="G164" s="217"/>
      <c r="H164" s="217"/>
      <c r="I164" s="217"/>
      <c r="J164" s="407"/>
      <c r="K164" s="28"/>
      <c r="L164" s="28"/>
      <c r="M164" s="99"/>
      <c r="N164" s="99"/>
      <c r="O164" s="99"/>
    </row>
    <row r="165" spans="1:15" s="38" customFormat="1" x14ac:dyDescent="0.25">
      <c r="A165" s="78"/>
      <c r="B165" s="78" t="str">
        <f t="shared" si="17"/>
        <v/>
      </c>
      <c r="C165" s="208" t="s">
        <v>213</v>
      </c>
      <c r="D165" s="72"/>
      <c r="E165" s="71"/>
      <c r="F165" s="4">
        <f>F162</f>
        <v>2022</v>
      </c>
      <c r="G165" s="4">
        <f>F165+1</f>
        <v>2023</v>
      </c>
      <c r="H165" s="4">
        <f>G165+1</f>
        <v>2024</v>
      </c>
      <c r="I165" s="4">
        <f>H165+1</f>
        <v>2025</v>
      </c>
      <c r="J165" s="407"/>
      <c r="K165" s="337"/>
      <c r="L165" s="337"/>
      <c r="M165" s="99"/>
      <c r="N165" s="99"/>
      <c r="O165" s="99"/>
    </row>
    <row r="166" spans="1:15" s="38" customFormat="1" x14ac:dyDescent="0.25">
      <c r="A166" s="45" t="s">
        <v>206</v>
      </c>
      <c r="B166" s="78" t="str">
        <f t="shared" si="17"/>
        <v>T7</v>
      </c>
      <c r="C166" s="212" t="s">
        <v>743</v>
      </c>
      <c r="D166" s="72" t="s">
        <v>664</v>
      </c>
      <c r="E166" s="71" t="s">
        <v>84</v>
      </c>
      <c r="F166" s="217">
        <v>0</v>
      </c>
      <c r="G166" s="217">
        <v>-350</v>
      </c>
      <c r="H166" s="217">
        <v>-350</v>
      </c>
      <c r="I166" s="217">
        <v>-350</v>
      </c>
      <c r="J166" s="407"/>
      <c r="K166" s="28" t="s">
        <v>735</v>
      </c>
      <c r="L166" s="28">
        <f>+L163+1</f>
        <v>7</v>
      </c>
      <c r="M166" s="99" t="str">
        <f t="shared" ref="M166:M174" si="18">IF(E166="VEDTATT","VEDTATT",0)</f>
        <v>VEDTATT</v>
      </c>
      <c r="N166" s="99"/>
      <c r="O166" s="99"/>
    </row>
    <row r="167" spans="1:15" s="38" customFormat="1" ht="25.5" x14ac:dyDescent="0.25">
      <c r="A167" s="45" t="s">
        <v>206</v>
      </c>
      <c r="B167" s="78" t="str">
        <f t="shared" si="17"/>
        <v>T8</v>
      </c>
      <c r="C167" s="212" t="s">
        <v>744</v>
      </c>
      <c r="D167" s="72" t="s">
        <v>664</v>
      </c>
      <c r="E167" s="71" t="s">
        <v>84</v>
      </c>
      <c r="F167" s="217">
        <v>0</v>
      </c>
      <c r="G167" s="217">
        <v>2500</v>
      </c>
      <c r="H167" s="217">
        <v>2500</v>
      </c>
      <c r="I167" s="217">
        <v>2500</v>
      </c>
      <c r="J167" s="407"/>
      <c r="K167" s="28" t="s">
        <v>735</v>
      </c>
      <c r="L167" s="28">
        <f t="shared" ref="L167:L176" si="19">+L166+1</f>
        <v>8</v>
      </c>
      <c r="M167" s="99" t="str">
        <f t="shared" si="18"/>
        <v>VEDTATT</v>
      </c>
      <c r="N167" s="99"/>
      <c r="O167" s="99"/>
    </row>
    <row r="168" spans="1:15" s="38" customFormat="1" x14ac:dyDescent="0.25">
      <c r="A168" s="45" t="s">
        <v>206</v>
      </c>
      <c r="B168" s="78" t="str">
        <f t="shared" si="17"/>
        <v>T9</v>
      </c>
      <c r="C168" s="212" t="s">
        <v>745</v>
      </c>
      <c r="D168" s="72" t="s">
        <v>664</v>
      </c>
      <c r="E168" s="71" t="s">
        <v>84</v>
      </c>
      <c r="F168" s="217">
        <v>0</v>
      </c>
      <c r="G168" s="217">
        <v>-350</v>
      </c>
      <c r="H168" s="217">
        <v>-350</v>
      </c>
      <c r="I168" s="217">
        <v>-350</v>
      </c>
      <c r="J168" s="407"/>
      <c r="K168" s="28" t="s">
        <v>735</v>
      </c>
      <c r="L168" s="28">
        <f t="shared" si="19"/>
        <v>9</v>
      </c>
      <c r="M168" s="99" t="str">
        <f t="shared" si="18"/>
        <v>VEDTATT</v>
      </c>
      <c r="N168" s="99">
        <f t="shared" ref="N168:N174" si="20">IF(E168="MÅ","Nye tiltak",0)</f>
        <v>0</v>
      </c>
      <c r="O168" s="99"/>
    </row>
    <row r="169" spans="1:15" s="38" customFormat="1" x14ac:dyDescent="0.25">
      <c r="A169" s="45" t="s">
        <v>206</v>
      </c>
      <c r="B169" s="78" t="str">
        <f t="shared" si="17"/>
        <v>T10</v>
      </c>
      <c r="C169" s="212" t="s">
        <v>746</v>
      </c>
      <c r="D169" s="72" t="s">
        <v>91</v>
      </c>
      <c r="E169" s="71" t="s">
        <v>24</v>
      </c>
      <c r="F169" s="110">
        <v>10</v>
      </c>
      <c r="G169" s="110">
        <v>20</v>
      </c>
      <c r="H169" s="110">
        <v>30</v>
      </c>
      <c r="I169" s="110">
        <v>40</v>
      </c>
      <c r="J169" s="209" t="s">
        <v>747</v>
      </c>
      <c r="K169" s="28" t="s">
        <v>735</v>
      </c>
      <c r="L169" s="28">
        <f t="shared" si="19"/>
        <v>10</v>
      </c>
      <c r="M169" s="99">
        <f t="shared" si="18"/>
        <v>0</v>
      </c>
      <c r="N169" s="99" t="str">
        <f t="shared" si="20"/>
        <v>Nye tiltak</v>
      </c>
      <c r="O169" s="99"/>
    </row>
    <row r="170" spans="1:15" s="38" customFormat="1" x14ac:dyDescent="0.25">
      <c r="A170" s="45" t="s">
        <v>206</v>
      </c>
      <c r="B170" s="78" t="str">
        <f t="shared" si="17"/>
        <v>T11</v>
      </c>
      <c r="C170" s="212" t="s">
        <v>748</v>
      </c>
      <c r="D170" s="72" t="s">
        <v>91</v>
      </c>
      <c r="E170" s="71" t="s">
        <v>24</v>
      </c>
      <c r="F170" s="110">
        <v>1300</v>
      </c>
      <c r="G170" s="110">
        <v>1300</v>
      </c>
      <c r="H170" s="110">
        <v>1300</v>
      </c>
      <c r="I170" s="110">
        <v>1300</v>
      </c>
      <c r="J170" s="93" t="s">
        <v>691</v>
      </c>
      <c r="K170" s="28" t="s">
        <v>735</v>
      </c>
      <c r="L170" s="28">
        <f t="shared" si="19"/>
        <v>11</v>
      </c>
      <c r="M170" s="99">
        <f t="shared" si="18"/>
        <v>0</v>
      </c>
      <c r="N170" s="99" t="str">
        <f t="shared" si="20"/>
        <v>Nye tiltak</v>
      </c>
      <c r="O170" s="99"/>
    </row>
    <row r="171" spans="1:15" s="38" customFormat="1" x14ac:dyDescent="0.25">
      <c r="A171" s="45" t="s">
        <v>206</v>
      </c>
      <c r="B171" s="78" t="str">
        <f t="shared" si="17"/>
        <v>T12</v>
      </c>
      <c r="C171" s="212" t="s">
        <v>749</v>
      </c>
      <c r="D171" s="72" t="s">
        <v>91</v>
      </c>
      <c r="E171" s="71" t="s">
        <v>24</v>
      </c>
      <c r="F171" s="110">
        <v>400</v>
      </c>
      <c r="G171" s="110">
        <v>400</v>
      </c>
      <c r="H171" s="110">
        <v>400</v>
      </c>
      <c r="I171" s="110">
        <v>400</v>
      </c>
      <c r="J171" s="93" t="s">
        <v>691</v>
      </c>
      <c r="K171" s="28" t="s">
        <v>735</v>
      </c>
      <c r="L171" s="28">
        <f t="shared" si="19"/>
        <v>12</v>
      </c>
      <c r="M171" s="99">
        <f t="shared" si="18"/>
        <v>0</v>
      </c>
      <c r="N171" s="99" t="str">
        <f t="shared" si="20"/>
        <v>Nye tiltak</v>
      </c>
      <c r="O171" s="99"/>
    </row>
    <row r="172" spans="1:15" s="38" customFormat="1" x14ac:dyDescent="0.25">
      <c r="A172" s="45" t="s">
        <v>206</v>
      </c>
      <c r="B172" s="78" t="str">
        <f t="shared" si="17"/>
        <v>T13</v>
      </c>
      <c r="C172" s="212" t="s">
        <v>750</v>
      </c>
      <c r="D172" s="72" t="s">
        <v>91</v>
      </c>
      <c r="E172" s="71" t="s">
        <v>24</v>
      </c>
      <c r="F172" s="110">
        <v>585</v>
      </c>
      <c r="G172" s="110">
        <v>585</v>
      </c>
      <c r="H172" s="110">
        <v>585</v>
      </c>
      <c r="I172" s="110">
        <v>585</v>
      </c>
      <c r="J172" s="93" t="s">
        <v>691</v>
      </c>
      <c r="K172" s="28" t="s">
        <v>735</v>
      </c>
      <c r="L172" s="28">
        <f t="shared" si="19"/>
        <v>13</v>
      </c>
      <c r="M172" s="99">
        <f t="shared" si="18"/>
        <v>0</v>
      </c>
      <c r="N172" s="99" t="str">
        <f t="shared" si="20"/>
        <v>Nye tiltak</v>
      </c>
      <c r="O172" s="99"/>
    </row>
    <row r="173" spans="1:15" s="38" customFormat="1" ht="33.75" x14ac:dyDescent="0.25">
      <c r="A173" s="45" t="s">
        <v>206</v>
      </c>
      <c r="B173" s="78" t="str">
        <f t="shared" si="17"/>
        <v>T14</v>
      </c>
      <c r="C173" s="462" t="s">
        <v>751</v>
      </c>
      <c r="D173" s="72" t="s">
        <v>91</v>
      </c>
      <c r="E173" s="71" t="s">
        <v>24</v>
      </c>
      <c r="F173" s="482">
        <v>700</v>
      </c>
      <c r="G173" s="482">
        <v>700</v>
      </c>
      <c r="H173" s="482">
        <v>700</v>
      </c>
      <c r="I173" s="482">
        <v>700</v>
      </c>
      <c r="J173" s="406" t="s">
        <v>752</v>
      </c>
      <c r="K173" s="28" t="s">
        <v>735</v>
      </c>
      <c r="L173" s="28">
        <f t="shared" si="19"/>
        <v>14</v>
      </c>
      <c r="M173" s="99">
        <f t="shared" si="18"/>
        <v>0</v>
      </c>
      <c r="N173" s="99" t="str">
        <f t="shared" si="20"/>
        <v>Nye tiltak</v>
      </c>
      <c r="O173" s="99"/>
    </row>
    <row r="174" spans="1:15" s="38" customFormat="1" ht="22.5" x14ac:dyDescent="0.25">
      <c r="A174" s="45" t="s">
        <v>206</v>
      </c>
      <c r="B174" s="78" t="str">
        <f t="shared" si="17"/>
        <v>T15</v>
      </c>
      <c r="C174" s="212" t="s">
        <v>215</v>
      </c>
      <c r="D174" s="72" t="s">
        <v>91</v>
      </c>
      <c r="E174" s="71" t="s">
        <v>24</v>
      </c>
      <c r="F174" s="110">
        <v>300</v>
      </c>
      <c r="G174" s="110">
        <v>300</v>
      </c>
      <c r="H174" s="110"/>
      <c r="I174" s="110"/>
      <c r="J174" s="465" t="s">
        <v>753</v>
      </c>
      <c r="K174" s="28" t="s">
        <v>735</v>
      </c>
      <c r="L174" s="28">
        <f t="shared" si="19"/>
        <v>15</v>
      </c>
      <c r="M174" s="99">
        <f t="shared" si="18"/>
        <v>0</v>
      </c>
      <c r="N174" s="99" t="str">
        <f t="shared" si="20"/>
        <v>Nye tiltak</v>
      </c>
      <c r="O174" s="99"/>
    </row>
    <row r="175" spans="1:15" s="38" customFormat="1" ht="22.5" x14ac:dyDescent="0.25">
      <c r="A175" s="45" t="s">
        <v>206</v>
      </c>
      <c r="B175" s="78" t="str">
        <f t="shared" si="17"/>
        <v>T16</v>
      </c>
      <c r="C175" t="s">
        <v>754</v>
      </c>
      <c r="D175" s="72" t="s">
        <v>91</v>
      </c>
      <c r="E175" s="71" t="s">
        <v>24</v>
      </c>
      <c r="F175" s="110">
        <v>500</v>
      </c>
      <c r="G175" s="110">
        <v>500</v>
      </c>
      <c r="H175" s="110"/>
      <c r="I175" s="110"/>
      <c r="J175" s="465" t="s">
        <v>755</v>
      </c>
      <c r="K175" s="28" t="s">
        <v>735</v>
      </c>
      <c r="L175" s="28">
        <f t="shared" si="19"/>
        <v>16</v>
      </c>
      <c r="M175" s="99"/>
      <c r="N175" s="99"/>
      <c r="O175" s="99"/>
    </row>
    <row r="176" spans="1:15" s="38" customFormat="1" x14ac:dyDescent="0.25">
      <c r="A176" s="45" t="s">
        <v>206</v>
      </c>
      <c r="B176" s="78" t="str">
        <f t="shared" ref="B176" si="21">IF(L176,K176&amp;L176,"")</f>
        <v>T17</v>
      </c>
      <c r="C176" s="212" t="s">
        <v>566</v>
      </c>
      <c r="D176" s="72" t="s">
        <v>661</v>
      </c>
      <c r="E176" s="71" t="s">
        <v>84</v>
      </c>
      <c r="F176" s="484">
        <v>3300</v>
      </c>
      <c r="G176" s="484">
        <v>3300</v>
      </c>
      <c r="H176" s="484">
        <v>3300</v>
      </c>
      <c r="I176" s="484">
        <v>3300</v>
      </c>
      <c r="J176" s="470" t="s">
        <v>696</v>
      </c>
      <c r="K176" s="28" t="s">
        <v>735</v>
      </c>
      <c r="L176" s="28">
        <f t="shared" si="19"/>
        <v>17</v>
      </c>
      <c r="M176" s="99" t="str">
        <f t="shared" ref="M176" si="22">IF(E176="VEDTATT","VEDTATT",0)</f>
        <v>VEDTATT</v>
      </c>
      <c r="N176" s="99">
        <f t="shared" ref="N176" si="23">IF(E176="MÅ","Nye tiltak",0)</f>
        <v>0</v>
      </c>
      <c r="O176" s="99"/>
    </row>
    <row r="177" spans="1:16" s="38" customFormat="1" x14ac:dyDescent="0.2">
      <c r="A177" s="45"/>
      <c r="B177" s="78" t="str">
        <f t="shared" si="17"/>
        <v/>
      </c>
      <c r="C177" s="385"/>
      <c r="D177" s="72"/>
      <c r="E177" s="71"/>
      <c r="F177" s="217"/>
      <c r="G177" s="217"/>
      <c r="H177" s="217"/>
      <c r="I177" s="217"/>
      <c r="J177" s="407"/>
      <c r="K177" s="28"/>
      <c r="L177" s="28"/>
      <c r="M177" s="99">
        <f>IF(E177="VEDTATT","VEDTATT",0)</f>
        <v>0</v>
      </c>
      <c r="N177" s="99">
        <f>IF(E177="MÅ","Nye tiltak",0)</f>
        <v>0</v>
      </c>
      <c r="O177" s="99"/>
    </row>
    <row r="178" spans="1:16" s="38" customFormat="1" x14ac:dyDescent="0.25">
      <c r="A178" s="45"/>
      <c r="B178" s="78" t="str">
        <f t="shared" si="17"/>
        <v/>
      </c>
      <c r="C178" s="208" t="s">
        <v>756</v>
      </c>
      <c r="D178" s="72"/>
      <c r="E178" s="71"/>
      <c r="F178" s="217"/>
      <c r="G178" s="217"/>
      <c r="H178" s="217"/>
      <c r="I178" s="217"/>
      <c r="J178" s="407"/>
      <c r="K178" s="28"/>
      <c r="L178" s="28"/>
      <c r="M178" s="99">
        <f>IF(E178="VEDTATT","VEDTATT",0)</f>
        <v>0</v>
      </c>
      <c r="N178" s="99">
        <f>IF(E178="MÅ","Nye tiltak",0)</f>
        <v>0</v>
      </c>
      <c r="O178" s="99"/>
    </row>
    <row r="179" spans="1:16" s="38" customFormat="1" x14ac:dyDescent="0.25">
      <c r="A179" s="45" t="s">
        <v>206</v>
      </c>
      <c r="B179" s="78" t="str">
        <f t="shared" si="17"/>
        <v>T18</v>
      </c>
      <c r="C179" s="84" t="s">
        <v>757</v>
      </c>
      <c r="D179" s="72" t="s">
        <v>91</v>
      </c>
      <c r="E179" s="71" t="s">
        <v>24</v>
      </c>
      <c r="F179" s="217">
        <v>60</v>
      </c>
      <c r="G179" s="217">
        <v>60</v>
      </c>
      <c r="H179" s="217">
        <v>60</v>
      </c>
      <c r="I179" s="217">
        <v>60</v>
      </c>
      <c r="J179" s="93" t="s">
        <v>691</v>
      </c>
      <c r="K179" s="28" t="s">
        <v>735</v>
      </c>
      <c r="L179" s="28">
        <f>L176+1</f>
        <v>18</v>
      </c>
      <c r="M179" s="99">
        <f>IF(E179="VEDTATT","VEDTATT",0)</f>
        <v>0</v>
      </c>
      <c r="N179" s="99" t="str">
        <f>IF(E179="MÅ","Nye tiltak",0)</f>
        <v>Nye tiltak</v>
      </c>
      <c r="O179" s="99"/>
    </row>
    <row r="180" spans="1:16" s="38" customFormat="1" x14ac:dyDescent="0.25">
      <c r="A180" s="45" t="s">
        <v>206</v>
      </c>
      <c r="B180" s="78" t="str">
        <f t="shared" si="17"/>
        <v/>
      </c>
      <c r="C180" s="212"/>
      <c r="D180" s="72" t="s">
        <v>91</v>
      </c>
      <c r="E180" s="71"/>
      <c r="F180" s="217"/>
      <c r="G180" s="217"/>
      <c r="H180" s="217"/>
      <c r="I180" s="217"/>
      <c r="J180" s="407"/>
      <c r="K180" s="28"/>
      <c r="L180" s="28"/>
      <c r="M180" s="99">
        <f>IF(E180="VEDTATT","VEDTATT",0)</f>
        <v>0</v>
      </c>
      <c r="N180" s="99">
        <f>IF(E180="MÅ","Nye tiltak",0)</f>
        <v>0</v>
      </c>
      <c r="O180" s="99"/>
    </row>
    <row r="181" spans="1:16" s="38" customFormat="1" x14ac:dyDescent="0.25">
      <c r="A181" s="43"/>
      <c r="B181" s="43" t="s">
        <v>127</v>
      </c>
      <c r="C181" s="3" t="s">
        <v>230</v>
      </c>
      <c r="D181" s="52"/>
      <c r="E181" s="52"/>
      <c r="F181" s="56">
        <f>SUMIF($A:$A,"byte",F:F)</f>
        <v>10605</v>
      </c>
      <c r="G181" s="56">
        <f>SUMIF($A:$A,"byte",G:G)</f>
        <v>13515</v>
      </c>
      <c r="H181" s="56">
        <f>SUMIF($A:$A,"byte",H:H)</f>
        <v>13775</v>
      </c>
      <c r="I181" s="56">
        <f>SUMIF($A:$A,"byte",I:I)</f>
        <v>13835</v>
      </c>
      <c r="J181" s="407"/>
      <c r="K181" s="337"/>
      <c r="L181" s="337"/>
      <c r="M181" s="99"/>
      <c r="N181" s="99"/>
      <c r="O181" s="99"/>
    </row>
    <row r="182" spans="1:16" s="38" customFormat="1" x14ac:dyDescent="0.25">
      <c r="A182"/>
      <c r="B182"/>
      <c r="C182"/>
      <c r="D182"/>
      <c r="E182"/>
      <c r="F182"/>
      <c r="G182"/>
      <c r="H182"/>
      <c r="I182"/>
      <c r="J182" s="407"/>
      <c r="K182" s="28"/>
      <c r="L182" s="28"/>
      <c r="M182" s="99"/>
      <c r="N182" s="99"/>
      <c r="O182" s="99"/>
      <c r="P182" s="28"/>
    </row>
    <row r="183" spans="1:16" s="38" customFormat="1" x14ac:dyDescent="0.25">
      <c r="A183" s="78"/>
      <c r="B183" s="78"/>
      <c r="C183" s="208" t="s">
        <v>231</v>
      </c>
      <c r="D183" s="72"/>
      <c r="E183" s="71"/>
      <c r="F183" s="4">
        <f>F165</f>
        <v>2022</v>
      </c>
      <c r="G183" s="4">
        <f>F183+1</f>
        <v>2023</v>
      </c>
      <c r="H183" s="4">
        <f>G183+1</f>
        <v>2024</v>
      </c>
      <c r="I183" s="4">
        <f>H183+1</f>
        <v>2025</v>
      </c>
      <c r="J183" s="407"/>
      <c r="K183" s="337"/>
      <c r="L183" s="337"/>
      <c r="M183" s="99"/>
      <c r="N183" s="99"/>
      <c r="O183" s="99"/>
      <c r="P183" s="28"/>
    </row>
    <row r="184" spans="1:16" s="38" customFormat="1" x14ac:dyDescent="0.25">
      <c r="A184" s="78" t="s">
        <v>232</v>
      </c>
      <c r="B184" s="78" t="str">
        <f>IF(L184,K184&amp;L184,"")</f>
        <v>O1</v>
      </c>
      <c r="C184" s="84" t="s">
        <v>758</v>
      </c>
      <c r="D184" s="72" t="s">
        <v>664</v>
      </c>
      <c r="E184" s="71" t="s">
        <v>84</v>
      </c>
      <c r="F184" s="70">
        <v>0</v>
      </c>
      <c r="G184" s="70">
        <v>-800</v>
      </c>
      <c r="H184" s="70">
        <v>-800</v>
      </c>
      <c r="I184" s="70">
        <v>-800</v>
      </c>
      <c r="J184" s="407"/>
      <c r="K184" s="28" t="s">
        <v>759</v>
      </c>
      <c r="L184" s="28">
        <v>1</v>
      </c>
      <c r="M184" s="99" t="str">
        <f>IF(E184="VEDTATT","VEDTATT",0)</f>
        <v>VEDTATT</v>
      </c>
      <c r="N184" s="99">
        <f>IF(E184="MÅ","Nye tiltak",0)</f>
        <v>0</v>
      </c>
      <c r="O184" s="99"/>
    </row>
    <row r="185" spans="1:16" s="38" customFormat="1" x14ac:dyDescent="0.25">
      <c r="A185" s="78" t="s">
        <v>232</v>
      </c>
      <c r="B185" s="78" t="str">
        <f>IF(L185,K185&amp;L185,"")</f>
        <v>O2</v>
      </c>
      <c r="C185" s="84" t="s">
        <v>760</v>
      </c>
      <c r="D185" s="72" t="s">
        <v>91</v>
      </c>
      <c r="E185" s="71" t="s">
        <v>24</v>
      </c>
      <c r="F185" s="287"/>
      <c r="G185" s="287">
        <v>5000</v>
      </c>
      <c r="H185" s="287">
        <v>10000</v>
      </c>
      <c r="I185" s="287">
        <v>15000</v>
      </c>
      <c r="J185" s="409" t="s">
        <v>833</v>
      </c>
      <c r="K185" s="28" t="s">
        <v>759</v>
      </c>
      <c r="L185" s="28">
        <f>L184+1</f>
        <v>2</v>
      </c>
      <c r="M185" s="99"/>
      <c r="N185" s="99"/>
      <c r="O185" s="99"/>
      <c r="P185" s="28"/>
    </row>
    <row r="186" spans="1:16" s="38" customFormat="1" x14ac:dyDescent="0.25">
      <c r="A186" s="78" t="s">
        <v>232</v>
      </c>
      <c r="B186" s="78" t="str">
        <f>IF(L186,K186&amp;L186,"")</f>
        <v>O3</v>
      </c>
      <c r="C186" s="84" t="s">
        <v>761</v>
      </c>
      <c r="D186" s="72" t="s">
        <v>91</v>
      </c>
      <c r="E186" s="71" t="s">
        <v>24</v>
      </c>
      <c r="F186" s="287">
        <v>220</v>
      </c>
      <c r="G186" s="287">
        <v>220</v>
      </c>
      <c r="H186" s="287">
        <v>220</v>
      </c>
      <c r="I186" s="287">
        <v>220</v>
      </c>
      <c r="J186" s="407"/>
      <c r="K186" s="28" t="s">
        <v>759</v>
      </c>
      <c r="L186" s="28">
        <f>L185+1</f>
        <v>3</v>
      </c>
      <c r="M186" s="99"/>
      <c r="N186" s="99"/>
      <c r="O186" s="99"/>
      <c r="P186" s="28"/>
    </row>
    <row r="187" spans="1:16" s="38" customFormat="1" x14ac:dyDescent="0.25">
      <c r="A187" s="78" t="s">
        <v>232</v>
      </c>
      <c r="B187" s="78" t="str">
        <f>IF(L187,K187&amp;L187,"")</f>
        <v>O4</v>
      </c>
      <c r="C187" s="84" t="s">
        <v>234</v>
      </c>
      <c r="D187" s="72" t="s">
        <v>91</v>
      </c>
      <c r="E187" s="71" t="s">
        <v>24</v>
      </c>
      <c r="F187" s="287">
        <v>12600</v>
      </c>
      <c r="G187" s="287">
        <v>14300</v>
      </c>
      <c r="H187" s="287">
        <v>7900</v>
      </c>
      <c r="I187" s="287">
        <v>7900</v>
      </c>
      <c r="J187" s="407"/>
      <c r="K187" s="38" t="s">
        <v>759</v>
      </c>
      <c r="L187" s="28">
        <f>L186+1</f>
        <v>4</v>
      </c>
      <c r="M187" s="392"/>
      <c r="N187" s="392"/>
      <c r="O187" s="392"/>
    </row>
    <row r="188" spans="1:16" s="38" customFormat="1" x14ac:dyDescent="0.25">
      <c r="A188" s="78" t="s">
        <v>232</v>
      </c>
      <c r="B188" s="78" t="str">
        <f>IF(L188,K188&amp;L188,"")</f>
        <v>O5</v>
      </c>
      <c r="C188" s="502" t="s">
        <v>762</v>
      </c>
      <c r="D188" s="496" t="s">
        <v>91</v>
      </c>
      <c r="E188" s="497" t="s">
        <v>24</v>
      </c>
      <c r="F188" s="107">
        <v>750</v>
      </c>
      <c r="G188" s="107">
        <v>750</v>
      </c>
      <c r="H188" s="107">
        <v>750</v>
      </c>
      <c r="I188" s="107">
        <v>750</v>
      </c>
      <c r="J188" s="407"/>
      <c r="K188" s="38" t="s">
        <v>759</v>
      </c>
      <c r="L188" s="28">
        <f>L187+1</f>
        <v>5</v>
      </c>
      <c r="M188" s="99"/>
      <c r="N188" s="99"/>
      <c r="O188" s="99"/>
      <c r="P188" s="28"/>
    </row>
    <row r="189" spans="1:16" s="38" customFormat="1" x14ac:dyDescent="0.25">
      <c r="A189" s="47"/>
      <c r="B189" s="47"/>
      <c r="C189" s="245"/>
      <c r="D189" s="214"/>
      <c r="E189" s="111"/>
      <c r="F189" s="70"/>
      <c r="G189" s="70"/>
      <c r="H189" s="70"/>
      <c r="I189" s="70"/>
      <c r="J189" s="407"/>
      <c r="M189" s="99"/>
      <c r="N189" s="99"/>
      <c r="O189" s="99"/>
      <c r="P189" s="28"/>
    </row>
    <row r="190" spans="1:16" s="38" customFormat="1" x14ac:dyDescent="0.25">
      <c r="A190" s="43"/>
      <c r="B190" s="43" t="s">
        <v>127</v>
      </c>
      <c r="C190" s="3" t="s">
        <v>240</v>
      </c>
      <c r="D190" s="52"/>
      <c r="E190" s="52"/>
      <c r="F190" s="56">
        <f>SUMIF($A:$A,"ORG",F:F)</f>
        <v>13570</v>
      </c>
      <c r="G190" s="56">
        <f>SUMIF($A:$A,"ORG",G:G)</f>
        <v>19470</v>
      </c>
      <c r="H190" s="56">
        <f>SUMIF($A:$A,"ORG",H:H)</f>
        <v>18070</v>
      </c>
      <c r="I190" s="56">
        <f>SUMIF($A:$A,"ORG",I:I)</f>
        <v>23070</v>
      </c>
      <c r="J190" s="407"/>
      <c r="K190" s="337"/>
      <c r="L190" s="337"/>
      <c r="M190" s="99"/>
      <c r="N190" s="99"/>
      <c r="O190" s="99"/>
      <c r="P190" s="28"/>
    </row>
    <row r="191" spans="1:16" s="38" customFormat="1" x14ac:dyDescent="0.25">
      <c r="A191" s="47"/>
      <c r="B191" s="47"/>
      <c r="C191" s="11"/>
      <c r="D191" s="49"/>
      <c r="E191" s="49"/>
      <c r="F191" s="57"/>
      <c r="G191" s="57"/>
      <c r="H191" s="57"/>
      <c r="I191" s="57"/>
      <c r="J191" s="407"/>
      <c r="K191" s="28"/>
      <c r="L191" s="28"/>
      <c r="M191" s="99"/>
      <c r="N191" s="99"/>
      <c r="O191" s="99"/>
      <c r="P191" s="28"/>
    </row>
    <row r="192" spans="1:16" s="38" customFormat="1" x14ac:dyDescent="0.25">
      <c r="A192" s="48"/>
      <c r="B192" s="48"/>
      <c r="C192" s="13" t="s">
        <v>241</v>
      </c>
      <c r="D192" s="50"/>
      <c r="E192" s="61"/>
      <c r="F192" s="4">
        <f>F183</f>
        <v>2022</v>
      </c>
      <c r="G192" s="4">
        <f>F192+1</f>
        <v>2023</v>
      </c>
      <c r="H192" s="4">
        <f>G192+1</f>
        <v>2024</v>
      </c>
      <c r="I192" s="4">
        <f>H192+1</f>
        <v>2025</v>
      </c>
      <c r="J192" s="407"/>
      <c r="K192" s="337"/>
      <c r="L192" s="337"/>
      <c r="M192" s="99"/>
      <c r="N192" s="99"/>
      <c r="O192" s="99"/>
      <c r="P192" s="28"/>
    </row>
    <row r="193" spans="1:16" s="38" customFormat="1" x14ac:dyDescent="0.25">
      <c r="A193" s="45" t="s">
        <v>242</v>
      </c>
      <c r="B193" s="45" t="str">
        <f>IF(L193,K193&amp;L193,"")</f>
        <v>Ø1</v>
      </c>
      <c r="C193" s="346" t="s">
        <v>763</v>
      </c>
      <c r="D193" s="72" t="s">
        <v>664</v>
      </c>
      <c r="E193" s="71" t="s">
        <v>84</v>
      </c>
      <c r="F193" s="70">
        <v>0</v>
      </c>
      <c r="G193" s="70">
        <v>-1300</v>
      </c>
      <c r="H193" s="70">
        <v>-1300</v>
      </c>
      <c r="I193" s="70">
        <v>-1300</v>
      </c>
      <c r="J193" s="409"/>
      <c r="K193" s="28" t="s">
        <v>764</v>
      </c>
      <c r="L193" s="28">
        <v>1</v>
      </c>
      <c r="M193" s="99" t="str">
        <f>IF(E193="VEDTATT","VEDTATT",0)</f>
        <v>VEDTATT</v>
      </c>
      <c r="N193" s="99">
        <f>IF(E193="MÅ","Nye tiltak",0)</f>
        <v>0</v>
      </c>
      <c r="O193" s="99"/>
      <c r="P193" s="28"/>
    </row>
    <row r="194" spans="1:16" s="38" customFormat="1" x14ac:dyDescent="0.25">
      <c r="A194" s="45" t="s">
        <v>242</v>
      </c>
      <c r="B194" s="45" t="str">
        <f>IF(L194,K194&amp;L194,"")</f>
        <v>Ø2</v>
      </c>
      <c r="C194" s="347" t="s">
        <v>765</v>
      </c>
      <c r="D194" s="72" t="s">
        <v>664</v>
      </c>
      <c r="E194" s="71" t="s">
        <v>84</v>
      </c>
      <c r="F194" s="70">
        <v>0</v>
      </c>
      <c r="G194" s="70">
        <v>1300</v>
      </c>
      <c r="H194" s="70">
        <v>1300</v>
      </c>
      <c r="I194" s="70">
        <v>1300</v>
      </c>
      <c r="J194" s="409"/>
      <c r="K194" s="28" t="s">
        <v>764</v>
      </c>
      <c r="L194" s="28">
        <f>L193+1</f>
        <v>2</v>
      </c>
      <c r="M194" s="99" t="str">
        <f>IF(E194="VEDTATT","VEDTATT",0)</f>
        <v>VEDTATT</v>
      </c>
      <c r="N194" s="99">
        <f>IF(E194="MÅ","Nye tiltak",0)</f>
        <v>0</v>
      </c>
      <c r="O194" s="99"/>
      <c r="P194" s="28"/>
    </row>
    <row r="195" spans="1:16" s="38" customFormat="1" x14ac:dyDescent="0.25">
      <c r="A195" s="45" t="s">
        <v>242</v>
      </c>
      <c r="B195" s="45" t="str">
        <f>IF(L195,K195&amp;L195,"")</f>
        <v>Ø3</v>
      </c>
      <c r="C195" s="346" t="s">
        <v>768</v>
      </c>
      <c r="D195" s="79" t="s">
        <v>91</v>
      </c>
      <c r="E195" s="71" t="s">
        <v>24</v>
      </c>
      <c r="F195" s="191">
        <v>550</v>
      </c>
      <c r="G195" s="191">
        <v>550</v>
      </c>
      <c r="H195" s="191">
        <v>550</v>
      </c>
      <c r="I195" s="191">
        <v>550</v>
      </c>
      <c r="J195" s="94" t="s">
        <v>769</v>
      </c>
      <c r="K195" s="28" t="s">
        <v>764</v>
      </c>
      <c r="L195" s="28">
        <f>L194+1</f>
        <v>3</v>
      </c>
      <c r="M195" s="99">
        <f>IF(E195="VEDTATT","VEDTATT",0)</f>
        <v>0</v>
      </c>
      <c r="N195" s="99" t="str">
        <f>IF(E195="MÅ","Nye tiltak",0)</f>
        <v>Nye tiltak</v>
      </c>
      <c r="O195" s="99"/>
      <c r="P195" s="28"/>
    </row>
    <row r="196" spans="1:16" s="38" customFormat="1" x14ac:dyDescent="0.25">
      <c r="A196" s="45" t="s">
        <v>242</v>
      </c>
      <c r="B196" s="45" t="str">
        <f>IF(L196,K196&amp;L196,"")</f>
        <v>Ø4</v>
      </c>
      <c r="C196" s="346" t="s">
        <v>770</v>
      </c>
      <c r="D196" s="72" t="s">
        <v>91</v>
      </c>
      <c r="E196" s="71" t="s">
        <v>24</v>
      </c>
      <c r="F196" s="70">
        <v>-600</v>
      </c>
      <c r="G196" s="70">
        <v>-600</v>
      </c>
      <c r="H196" s="70">
        <v>-600</v>
      </c>
      <c r="I196" s="70">
        <v>-600</v>
      </c>
      <c r="J196" s="94" t="s">
        <v>771</v>
      </c>
      <c r="K196" s="28" t="s">
        <v>764</v>
      </c>
      <c r="L196" s="28">
        <f>L195+1</f>
        <v>4</v>
      </c>
      <c r="M196" s="99">
        <f>IF(E196="VEDTATT","VEDTATT",0)</f>
        <v>0</v>
      </c>
      <c r="N196" s="99" t="str">
        <f>IF(E196="MÅ","Nye tiltak",0)</f>
        <v>Nye tiltak</v>
      </c>
      <c r="O196" s="99"/>
      <c r="P196" s="28"/>
    </row>
    <row r="197" spans="1:16" s="38" customFormat="1" x14ac:dyDescent="0.25">
      <c r="A197" s="43"/>
      <c r="B197" s="43" t="s">
        <v>127</v>
      </c>
      <c r="C197" s="3" t="s">
        <v>248</v>
      </c>
      <c r="D197" s="52"/>
      <c r="E197" s="52"/>
      <c r="F197" s="56">
        <f>SUMIF($A:$A,"ØK",F:F)</f>
        <v>-50</v>
      </c>
      <c r="G197" s="56">
        <f>SUMIF($A:$A,"ØK",G:G)</f>
        <v>-50</v>
      </c>
      <c r="H197" s="56">
        <f>SUMIF($A:$A,"ØK",H:H)</f>
        <v>-50</v>
      </c>
      <c r="I197" s="56">
        <f>SUMIF($A:$A,"ØK",I:I)</f>
        <v>-50</v>
      </c>
      <c r="J197" s="407"/>
      <c r="K197" s="337"/>
      <c r="L197" s="337"/>
      <c r="M197" s="99"/>
      <c r="N197" s="99"/>
      <c r="O197" s="99"/>
      <c r="P197" s="28"/>
    </row>
    <row r="198" spans="1:16" s="38" customFormat="1" x14ac:dyDescent="0.25">
      <c r="A198" s="47"/>
      <c r="B198" s="47"/>
      <c r="C198" s="11"/>
      <c r="D198" s="49"/>
      <c r="E198" s="49"/>
      <c r="F198" s="57"/>
      <c r="G198" s="57"/>
      <c r="H198" s="57"/>
      <c r="I198" s="57"/>
      <c r="J198" s="407"/>
      <c r="K198" s="28"/>
      <c r="L198" s="28"/>
      <c r="M198" s="99"/>
      <c r="N198" s="99"/>
      <c r="O198" s="99"/>
      <c r="P198" s="28"/>
    </row>
    <row r="199" spans="1:16" s="38" customFormat="1" x14ac:dyDescent="0.25">
      <c r="A199" s="48"/>
      <c r="B199" s="48"/>
      <c r="C199" s="13" t="s">
        <v>249</v>
      </c>
      <c r="D199" s="50"/>
      <c r="E199" s="61"/>
      <c r="F199" s="58"/>
      <c r="G199" s="58"/>
      <c r="H199" s="58"/>
      <c r="I199" s="58"/>
      <c r="J199" s="407"/>
      <c r="M199" s="99"/>
      <c r="N199" s="99"/>
      <c r="O199" s="99"/>
      <c r="P199" s="28"/>
    </row>
    <row r="200" spans="1:16" s="38" customFormat="1" x14ac:dyDescent="0.25">
      <c r="A200" s="249"/>
      <c r="B200" s="249"/>
      <c r="C200" s="82" t="s">
        <v>250</v>
      </c>
      <c r="D200" s="83"/>
      <c r="E200" s="71"/>
      <c r="F200" s="4">
        <f>F192</f>
        <v>2022</v>
      </c>
      <c r="G200" s="4">
        <f>F200+1</f>
        <v>2023</v>
      </c>
      <c r="H200" s="4">
        <f>G200+1</f>
        <v>2024</v>
      </c>
      <c r="I200" s="4">
        <f>H200+1</f>
        <v>2025</v>
      </c>
      <c r="J200" s="407"/>
      <c r="K200" s="337"/>
      <c r="L200" s="337"/>
      <c r="M200" s="99"/>
      <c r="N200" s="99"/>
      <c r="O200" s="99"/>
      <c r="P200" s="28"/>
    </row>
    <row r="201" spans="1:16" s="38" customFormat="1" x14ac:dyDescent="0.25">
      <c r="A201" s="72" t="s">
        <v>251</v>
      </c>
      <c r="B201" s="78"/>
      <c r="C201" s="245"/>
      <c r="D201" s="79"/>
      <c r="E201" s="71"/>
      <c r="F201" s="191"/>
      <c r="G201" s="191"/>
      <c r="H201" s="191"/>
      <c r="I201" s="191"/>
      <c r="J201" s="409"/>
      <c r="K201" s="28" t="s">
        <v>772</v>
      </c>
      <c r="L201" s="28"/>
      <c r="M201" s="99">
        <f>IF(E201="VEDTATT","VEDTATT",0)</f>
        <v>0</v>
      </c>
      <c r="N201" s="99">
        <f>IF(E201="MÅ","Nye tiltak",0)</f>
        <v>0</v>
      </c>
      <c r="O201" s="99"/>
      <c r="P201" s="28"/>
    </row>
    <row r="202" spans="1:16" s="38" customFormat="1" x14ac:dyDescent="0.25">
      <c r="A202" s="72"/>
      <c r="B202" s="78" t="str">
        <f t="shared" ref="B202:B239" si="24">IF(L202,K202&amp;L202,"")</f>
        <v/>
      </c>
      <c r="C202" s="82" t="s">
        <v>257</v>
      </c>
      <c r="D202" s="422"/>
      <c r="E202" s="71"/>
      <c r="F202" s="300">
        <f>F200</f>
        <v>2022</v>
      </c>
      <c r="G202" s="300">
        <f>F202+1</f>
        <v>2023</v>
      </c>
      <c r="H202" s="300">
        <f>G202+1</f>
        <v>2024</v>
      </c>
      <c r="I202" s="300">
        <f>H202+1</f>
        <v>2025</v>
      </c>
      <c r="J202" s="407"/>
      <c r="K202" s="337"/>
      <c r="L202" s="337"/>
      <c r="M202" s="99"/>
      <c r="N202" s="99"/>
      <c r="O202" s="99"/>
      <c r="P202" s="28"/>
    </row>
    <row r="203" spans="1:16" s="38" customFormat="1" ht="25.5" x14ac:dyDescent="0.25">
      <c r="A203" s="72" t="s">
        <v>251</v>
      </c>
      <c r="B203" s="78" t="str">
        <f t="shared" si="24"/>
        <v>F1</v>
      </c>
      <c r="C203" s="84" t="s">
        <v>773</v>
      </c>
      <c r="D203" s="72" t="s">
        <v>664</v>
      </c>
      <c r="E203" s="71" t="s">
        <v>84</v>
      </c>
      <c r="F203" s="255">
        <v>-35</v>
      </c>
      <c r="G203" s="255">
        <v>-65</v>
      </c>
      <c r="H203" s="255">
        <v>-65</v>
      </c>
      <c r="I203" s="255">
        <v>-65</v>
      </c>
      <c r="J203" s="409" t="s">
        <v>834</v>
      </c>
      <c r="K203" s="28" t="s">
        <v>772</v>
      </c>
      <c r="L203" s="28">
        <v>1</v>
      </c>
      <c r="M203" s="99" t="str">
        <f t="shared" ref="M203:M217" si="25">IF(E203="VEDTATT","VEDTATT",0)</f>
        <v>VEDTATT</v>
      </c>
      <c r="N203" s="99">
        <f t="shared" ref="N203:N217" si="26">IF(E203="MÅ","Nye tiltak",0)</f>
        <v>0</v>
      </c>
      <c r="O203" s="99"/>
      <c r="P203" s="28"/>
    </row>
    <row r="204" spans="1:16" s="38" customFormat="1" ht="25.5" x14ac:dyDescent="0.25">
      <c r="A204" s="72" t="s">
        <v>251</v>
      </c>
      <c r="B204" s="78" t="str">
        <f t="shared" si="24"/>
        <v>F2</v>
      </c>
      <c r="C204" s="84" t="s">
        <v>774</v>
      </c>
      <c r="D204" s="72" t="s">
        <v>664</v>
      </c>
      <c r="E204" s="71" t="s">
        <v>84</v>
      </c>
      <c r="F204" s="255">
        <v>-1000</v>
      </c>
      <c r="G204" s="255">
        <v>-1000</v>
      </c>
      <c r="H204" s="255">
        <v>-1000</v>
      </c>
      <c r="I204" s="255">
        <v>-1000</v>
      </c>
      <c r="J204" s="409" t="s">
        <v>775</v>
      </c>
      <c r="K204" s="28" t="s">
        <v>772</v>
      </c>
      <c r="L204" s="28">
        <f t="shared" ref="L204" si="27">L203+1</f>
        <v>2</v>
      </c>
      <c r="M204" s="99" t="str">
        <f t="shared" si="25"/>
        <v>VEDTATT</v>
      </c>
      <c r="N204" s="99">
        <f t="shared" si="26"/>
        <v>0</v>
      </c>
      <c r="O204" s="99"/>
      <c r="P204" s="28"/>
    </row>
    <row r="205" spans="1:16" s="38" customFormat="1" x14ac:dyDescent="0.25">
      <c r="A205" s="72" t="s">
        <v>251</v>
      </c>
      <c r="B205" s="78" t="str">
        <f>IF(L205,K205&amp;L205,"")</f>
        <v>F3</v>
      </c>
      <c r="C205" s="416" t="s">
        <v>384</v>
      </c>
      <c r="D205" s="228" t="s">
        <v>91</v>
      </c>
      <c r="E205" s="231" t="s">
        <v>24</v>
      </c>
      <c r="F205" s="489">
        <v>2068</v>
      </c>
      <c r="G205" s="489">
        <v>1940</v>
      </c>
      <c r="H205" s="489">
        <v>1850</v>
      </c>
      <c r="I205" s="489">
        <v>1709</v>
      </c>
      <c r="J205" s="488" t="s">
        <v>776</v>
      </c>
      <c r="K205" s="28" t="s">
        <v>772</v>
      </c>
      <c r="L205" s="28">
        <f t="shared" ref="L205:L220" si="28">L204+1</f>
        <v>3</v>
      </c>
      <c r="M205" s="99"/>
      <c r="N205" s="99"/>
      <c r="O205" s="99"/>
      <c r="P205" s="28"/>
    </row>
    <row r="206" spans="1:16" s="38" customFormat="1" ht="25.5" x14ac:dyDescent="0.25">
      <c r="A206" s="72" t="s">
        <v>251</v>
      </c>
      <c r="B206" s="78" t="str">
        <f t="shared" si="24"/>
        <v>F4</v>
      </c>
      <c r="C206" s="506" t="s">
        <v>777</v>
      </c>
      <c r="D206" s="72" t="s">
        <v>664</v>
      </c>
      <c r="E206" s="71" t="s">
        <v>84</v>
      </c>
      <c r="F206" s="255">
        <v>-1000</v>
      </c>
      <c r="G206" s="255">
        <v>-1000</v>
      </c>
      <c r="H206" s="255">
        <v>-1000</v>
      </c>
      <c r="I206" s="255">
        <v>-1000</v>
      </c>
      <c r="J206" s="409"/>
      <c r="K206" s="28" t="s">
        <v>772</v>
      </c>
      <c r="L206" s="28">
        <f t="shared" si="28"/>
        <v>4</v>
      </c>
      <c r="M206" s="99" t="str">
        <f t="shared" si="25"/>
        <v>VEDTATT</v>
      </c>
      <c r="N206" s="99">
        <f t="shared" si="26"/>
        <v>0</v>
      </c>
      <c r="O206" s="99"/>
      <c r="P206" s="28"/>
    </row>
    <row r="207" spans="1:16" s="38" customFormat="1" ht="25.5" x14ac:dyDescent="0.25">
      <c r="A207" s="72" t="s">
        <v>251</v>
      </c>
      <c r="B207" s="78" t="str">
        <f t="shared" si="24"/>
        <v>F5</v>
      </c>
      <c r="C207" s="84" t="s">
        <v>778</v>
      </c>
      <c r="D207" s="72" t="s">
        <v>664</v>
      </c>
      <c r="E207" s="71" t="s">
        <v>84</v>
      </c>
      <c r="F207" s="255">
        <v>1800</v>
      </c>
      <c r="G207" s="255">
        <v>3100</v>
      </c>
      <c r="H207" s="255">
        <v>3100</v>
      </c>
      <c r="I207" s="255">
        <v>3100</v>
      </c>
      <c r="J207" s="409" t="s">
        <v>779</v>
      </c>
      <c r="K207" s="28" t="s">
        <v>772</v>
      </c>
      <c r="L207" s="28">
        <f t="shared" si="28"/>
        <v>5</v>
      </c>
      <c r="M207" s="99" t="str">
        <f t="shared" si="25"/>
        <v>VEDTATT</v>
      </c>
      <c r="N207" s="99">
        <f t="shared" si="26"/>
        <v>0</v>
      </c>
      <c r="O207" s="99"/>
      <c r="P207" s="28"/>
    </row>
    <row r="208" spans="1:16" s="38" customFormat="1" x14ac:dyDescent="0.25">
      <c r="A208" s="72" t="s">
        <v>251</v>
      </c>
      <c r="B208" s="78" t="str">
        <f>IF(L208,K208&amp;L208,"")</f>
        <v>F6</v>
      </c>
      <c r="C208" s="416" t="s">
        <v>386</v>
      </c>
      <c r="D208" s="228" t="s">
        <v>91</v>
      </c>
      <c r="E208" s="231" t="s">
        <v>24</v>
      </c>
      <c r="F208" s="290">
        <v>7246</v>
      </c>
      <c r="G208" s="290">
        <v>8746</v>
      </c>
      <c r="H208" s="290">
        <v>6460</v>
      </c>
      <c r="I208" s="290">
        <v>5978</v>
      </c>
      <c r="J208" s="488" t="s">
        <v>776</v>
      </c>
      <c r="K208" s="28" t="s">
        <v>772</v>
      </c>
      <c r="L208" s="28">
        <f t="shared" si="28"/>
        <v>6</v>
      </c>
      <c r="M208" s="99"/>
      <c r="N208" s="99"/>
      <c r="O208" s="99"/>
      <c r="P208" s="28"/>
    </row>
    <row r="209" spans="1:16" s="38" customFormat="1" x14ac:dyDescent="0.25">
      <c r="A209" s="72" t="s">
        <v>251</v>
      </c>
      <c r="B209" s="78" t="str">
        <f t="shared" si="24"/>
        <v>F7</v>
      </c>
      <c r="C209" s="84" t="s">
        <v>451</v>
      </c>
      <c r="D209" s="72" t="s">
        <v>664</v>
      </c>
      <c r="E209" s="71" t="s">
        <v>84</v>
      </c>
      <c r="F209" s="255">
        <v>-470</v>
      </c>
      <c r="G209" s="255">
        <v>-1515</v>
      </c>
      <c r="H209" s="255">
        <v>-2090</v>
      </c>
      <c r="I209" s="255">
        <v>-2090</v>
      </c>
      <c r="J209" s="93"/>
      <c r="K209" s="28" t="s">
        <v>772</v>
      </c>
      <c r="L209" s="28">
        <f t="shared" si="28"/>
        <v>7</v>
      </c>
      <c r="M209" s="99" t="str">
        <f t="shared" si="25"/>
        <v>VEDTATT</v>
      </c>
      <c r="N209" s="99">
        <f t="shared" si="26"/>
        <v>0</v>
      </c>
      <c r="O209" s="99"/>
      <c r="P209" s="28"/>
    </row>
    <row r="210" spans="1:16" s="38" customFormat="1" x14ac:dyDescent="0.25">
      <c r="A210" s="72" t="s">
        <v>251</v>
      </c>
      <c r="B210" s="78" t="str">
        <f t="shared" si="24"/>
        <v>F8</v>
      </c>
      <c r="C210" s="84" t="s">
        <v>780</v>
      </c>
      <c r="D210" s="72" t="s">
        <v>91</v>
      </c>
      <c r="E210" s="71" t="s">
        <v>24</v>
      </c>
      <c r="F210" s="255">
        <v>109000</v>
      </c>
      <c r="G210" s="255">
        <v>109000</v>
      </c>
      <c r="H210" s="255">
        <v>109000</v>
      </c>
      <c r="I210" s="255">
        <v>109000</v>
      </c>
      <c r="J210" s="409" t="s">
        <v>781</v>
      </c>
      <c r="K210" s="28" t="s">
        <v>772</v>
      </c>
      <c r="L210" s="28">
        <f t="shared" si="28"/>
        <v>8</v>
      </c>
      <c r="M210" s="99">
        <f t="shared" si="25"/>
        <v>0</v>
      </c>
      <c r="N210" s="99" t="str">
        <f t="shared" si="26"/>
        <v>Nye tiltak</v>
      </c>
      <c r="O210" s="99"/>
      <c r="P210" s="28"/>
    </row>
    <row r="211" spans="1:16" s="38" customFormat="1" x14ac:dyDescent="0.25">
      <c r="A211" s="72" t="s">
        <v>251</v>
      </c>
      <c r="B211" s="78" t="str">
        <f t="shared" si="24"/>
        <v>F9</v>
      </c>
      <c r="C211" s="84" t="s">
        <v>782</v>
      </c>
      <c r="D211" s="72" t="s">
        <v>91</v>
      </c>
      <c r="E211" s="71" t="s">
        <v>24</v>
      </c>
      <c r="F211" s="255">
        <v>246</v>
      </c>
      <c r="G211" s="255">
        <v>246</v>
      </c>
      <c r="H211" s="255">
        <v>246</v>
      </c>
      <c r="I211" s="255">
        <v>246</v>
      </c>
      <c r="J211" s="409" t="s">
        <v>783</v>
      </c>
      <c r="K211" s="28" t="s">
        <v>772</v>
      </c>
      <c r="L211" s="28">
        <f t="shared" si="28"/>
        <v>9</v>
      </c>
      <c r="M211" s="99">
        <f t="shared" si="25"/>
        <v>0</v>
      </c>
      <c r="N211" s="99" t="str">
        <f t="shared" si="26"/>
        <v>Nye tiltak</v>
      </c>
      <c r="O211" s="99"/>
      <c r="P211" s="28"/>
    </row>
    <row r="212" spans="1:16" s="38" customFormat="1" x14ac:dyDescent="0.25">
      <c r="A212" s="72" t="s">
        <v>251</v>
      </c>
      <c r="B212" s="78" t="str">
        <f t="shared" si="24"/>
        <v>F10</v>
      </c>
      <c r="C212" s="84" t="s">
        <v>784</v>
      </c>
      <c r="D212" s="72" t="s">
        <v>91</v>
      </c>
      <c r="E212" s="71" t="s">
        <v>24</v>
      </c>
      <c r="F212" s="255">
        <v>200</v>
      </c>
      <c r="G212" s="255">
        <v>200</v>
      </c>
      <c r="H212" s="255">
        <v>200</v>
      </c>
      <c r="I212" s="255">
        <v>200</v>
      </c>
      <c r="J212" s="93" t="s">
        <v>691</v>
      </c>
      <c r="K212" s="28" t="s">
        <v>772</v>
      </c>
      <c r="L212" s="28">
        <f t="shared" si="28"/>
        <v>10</v>
      </c>
      <c r="M212" s="99">
        <f t="shared" si="25"/>
        <v>0</v>
      </c>
      <c r="N212" s="99" t="str">
        <f t="shared" si="26"/>
        <v>Nye tiltak</v>
      </c>
      <c r="O212" s="99"/>
      <c r="P212" s="28"/>
    </row>
    <row r="213" spans="1:16" s="38" customFormat="1" x14ac:dyDescent="0.25">
      <c r="A213" s="72" t="s">
        <v>251</v>
      </c>
      <c r="B213" s="78" t="str">
        <f t="shared" si="24"/>
        <v>F11</v>
      </c>
      <c r="C213" s="84" t="s">
        <v>785</v>
      </c>
      <c r="D213" s="72" t="s">
        <v>91</v>
      </c>
      <c r="E213" s="71" t="s">
        <v>24</v>
      </c>
      <c r="F213" s="255">
        <v>494</v>
      </c>
      <c r="G213" s="255">
        <v>494</v>
      </c>
      <c r="H213" s="255">
        <v>494</v>
      </c>
      <c r="I213" s="255">
        <v>494</v>
      </c>
      <c r="J213" s="93" t="s">
        <v>691</v>
      </c>
      <c r="K213" s="28" t="s">
        <v>772</v>
      </c>
      <c r="L213" s="28">
        <f t="shared" si="28"/>
        <v>11</v>
      </c>
      <c r="M213" s="99">
        <f t="shared" si="25"/>
        <v>0</v>
      </c>
      <c r="N213" s="99" t="str">
        <f t="shared" si="26"/>
        <v>Nye tiltak</v>
      </c>
      <c r="O213" s="99"/>
      <c r="P213" s="28"/>
    </row>
    <row r="214" spans="1:16" s="38" customFormat="1" x14ac:dyDescent="0.25">
      <c r="A214" s="72" t="s">
        <v>251</v>
      </c>
      <c r="B214" s="78" t="str">
        <f t="shared" si="24"/>
        <v>F12</v>
      </c>
      <c r="C214" s="507" t="s">
        <v>786</v>
      </c>
      <c r="D214" s="228" t="s">
        <v>91</v>
      </c>
      <c r="E214" s="231" t="s">
        <v>24</v>
      </c>
      <c r="F214" s="290">
        <v>15188</v>
      </c>
      <c r="G214" s="290">
        <v>15188</v>
      </c>
      <c r="H214" s="290">
        <v>15188</v>
      </c>
      <c r="I214" s="290">
        <v>15188</v>
      </c>
      <c r="J214" s="488" t="s">
        <v>776</v>
      </c>
      <c r="K214" s="28" t="s">
        <v>772</v>
      </c>
      <c r="L214" s="28">
        <f t="shared" si="28"/>
        <v>12</v>
      </c>
      <c r="M214" s="99">
        <f t="shared" si="25"/>
        <v>0</v>
      </c>
      <c r="N214" s="99" t="str">
        <f t="shared" si="26"/>
        <v>Nye tiltak</v>
      </c>
      <c r="O214" s="99"/>
      <c r="P214" s="28"/>
    </row>
    <row r="215" spans="1:16" s="38" customFormat="1" x14ac:dyDescent="0.25">
      <c r="A215" s="72" t="s">
        <v>251</v>
      </c>
      <c r="B215" s="78" t="str">
        <f t="shared" si="24"/>
        <v>F13</v>
      </c>
      <c r="C215" s="84" t="s">
        <v>787</v>
      </c>
      <c r="D215" s="72" t="s">
        <v>91</v>
      </c>
      <c r="E215" s="71" t="s">
        <v>24</v>
      </c>
      <c r="F215" s="255">
        <v>1936</v>
      </c>
      <c r="G215" s="255">
        <v>1936</v>
      </c>
      <c r="H215" s="255">
        <v>1936</v>
      </c>
      <c r="I215" s="255">
        <v>1936</v>
      </c>
      <c r="J215" s="417"/>
      <c r="K215" s="28" t="s">
        <v>772</v>
      </c>
      <c r="L215" s="28">
        <f t="shared" si="28"/>
        <v>13</v>
      </c>
      <c r="M215" s="99">
        <f t="shared" si="25"/>
        <v>0</v>
      </c>
      <c r="N215" s="99" t="str">
        <f t="shared" si="26"/>
        <v>Nye tiltak</v>
      </c>
      <c r="O215" s="99"/>
      <c r="P215" s="28"/>
    </row>
    <row r="216" spans="1:16" s="38" customFormat="1" x14ac:dyDescent="0.25">
      <c r="A216" s="72" t="s">
        <v>251</v>
      </c>
      <c r="B216" s="78" t="str">
        <f t="shared" si="24"/>
        <v>F14</v>
      </c>
      <c r="C216" s="84" t="s">
        <v>788</v>
      </c>
      <c r="D216" s="72" t="s">
        <v>91</v>
      </c>
      <c r="E216" s="71" t="s">
        <v>24</v>
      </c>
      <c r="F216" s="255">
        <v>1880</v>
      </c>
      <c r="G216" s="255">
        <v>1880</v>
      </c>
      <c r="H216" s="255">
        <v>1880</v>
      </c>
      <c r="I216" s="255">
        <v>1880</v>
      </c>
      <c r="J216" s="409" t="s">
        <v>789</v>
      </c>
      <c r="K216" s="28" t="s">
        <v>772</v>
      </c>
      <c r="L216" s="28">
        <f t="shared" si="28"/>
        <v>14</v>
      </c>
      <c r="M216" s="99">
        <f t="shared" si="25"/>
        <v>0</v>
      </c>
      <c r="N216" s="99" t="str">
        <f t="shared" si="26"/>
        <v>Nye tiltak</v>
      </c>
      <c r="O216" s="99"/>
      <c r="P216" s="28"/>
    </row>
    <row r="217" spans="1:16" s="38" customFormat="1" ht="25.5" x14ac:dyDescent="0.25">
      <c r="A217" s="72" t="s">
        <v>251</v>
      </c>
      <c r="B217" s="78" t="str">
        <f t="shared" si="24"/>
        <v>F15</v>
      </c>
      <c r="C217" s="84" t="s">
        <v>790</v>
      </c>
      <c r="D217" s="72" t="s">
        <v>91</v>
      </c>
      <c r="E217" s="71" t="s">
        <v>24</v>
      </c>
      <c r="F217" s="255">
        <v>-1880</v>
      </c>
      <c r="G217" s="255"/>
      <c r="H217" s="255"/>
      <c r="I217" s="255"/>
      <c r="J217" s="409" t="s">
        <v>791</v>
      </c>
      <c r="K217" s="28" t="s">
        <v>772</v>
      </c>
      <c r="L217" s="28">
        <f t="shared" si="28"/>
        <v>15</v>
      </c>
      <c r="M217" s="99">
        <f t="shared" si="25"/>
        <v>0</v>
      </c>
      <c r="N217" s="99" t="str">
        <f t="shared" si="26"/>
        <v>Nye tiltak</v>
      </c>
      <c r="O217" s="99"/>
      <c r="P217" s="28"/>
    </row>
    <row r="218" spans="1:16" s="38" customFormat="1" x14ac:dyDescent="0.25">
      <c r="A218" s="72" t="s">
        <v>251</v>
      </c>
      <c r="B218" s="78" t="str">
        <f t="shared" si="24"/>
        <v>F16</v>
      </c>
      <c r="C218" s="386" t="s">
        <v>263</v>
      </c>
      <c r="D218" s="72" t="s">
        <v>91</v>
      </c>
      <c r="E218" s="71" t="s">
        <v>24</v>
      </c>
      <c r="F218" s="255">
        <v>450</v>
      </c>
      <c r="G218" s="255">
        <v>450</v>
      </c>
      <c r="H218" s="255">
        <v>450</v>
      </c>
      <c r="I218" s="255">
        <v>450</v>
      </c>
      <c r="J218" s="409" t="s">
        <v>792</v>
      </c>
      <c r="K218" s="28" t="s">
        <v>772</v>
      </c>
      <c r="L218" s="28">
        <f t="shared" si="28"/>
        <v>16</v>
      </c>
      <c r="M218" s="99"/>
      <c r="N218" s="99"/>
      <c r="O218" s="99"/>
      <c r="P218" s="28"/>
    </row>
    <row r="219" spans="1:16" s="38" customFormat="1" x14ac:dyDescent="0.25">
      <c r="A219" s="72" t="s">
        <v>251</v>
      </c>
      <c r="B219" s="78" t="str">
        <f t="shared" si="24"/>
        <v>F17</v>
      </c>
      <c r="C219" s="84" t="s">
        <v>277</v>
      </c>
      <c r="D219" s="72" t="s">
        <v>91</v>
      </c>
      <c r="E219" s="71" t="s">
        <v>24</v>
      </c>
      <c r="F219" s="503">
        <v>550</v>
      </c>
      <c r="G219" s="503">
        <v>550</v>
      </c>
      <c r="H219" s="503">
        <v>550</v>
      </c>
      <c r="I219" s="503">
        <v>550</v>
      </c>
      <c r="J219" s="488"/>
      <c r="K219" s="28" t="s">
        <v>772</v>
      </c>
      <c r="L219" s="28">
        <f t="shared" si="28"/>
        <v>17</v>
      </c>
      <c r="M219" s="99"/>
      <c r="N219" s="99"/>
      <c r="O219" s="99"/>
      <c r="P219" s="28"/>
    </row>
    <row r="220" spans="1:16" s="38" customFormat="1" x14ac:dyDescent="0.25">
      <c r="A220" s="72" t="s">
        <v>251</v>
      </c>
      <c r="B220" s="78" t="str">
        <f t="shared" si="24"/>
        <v>F18</v>
      </c>
      <c r="C220" s="84" t="s">
        <v>793</v>
      </c>
      <c r="D220" s="72" t="s">
        <v>91</v>
      </c>
      <c r="E220" s="71" t="s">
        <v>24</v>
      </c>
      <c r="F220" s="503">
        <v>850</v>
      </c>
      <c r="G220" s="503">
        <v>850</v>
      </c>
      <c r="H220" s="503">
        <v>850</v>
      </c>
      <c r="I220" s="503">
        <v>850</v>
      </c>
      <c r="J220" s="488"/>
      <c r="K220" s="28" t="s">
        <v>772</v>
      </c>
      <c r="L220" s="28">
        <f t="shared" si="28"/>
        <v>18</v>
      </c>
      <c r="M220" s="99">
        <f>IF(E220="VEDTATT","VEDTATT",0)</f>
        <v>0</v>
      </c>
      <c r="N220" s="99" t="str">
        <f>IF(E220="MÅ","Nye tiltak",0)</f>
        <v>Nye tiltak</v>
      </c>
      <c r="O220" s="99"/>
      <c r="P220" s="28"/>
    </row>
    <row r="221" spans="1:16" s="38" customFormat="1" x14ac:dyDescent="0.25">
      <c r="A221" s="72"/>
      <c r="B221" s="78" t="str">
        <f t="shared" si="24"/>
        <v/>
      </c>
      <c r="C221" s="82" t="s">
        <v>288</v>
      </c>
      <c r="D221" s="83"/>
      <c r="E221" s="71"/>
      <c r="F221" s="4">
        <f>F202</f>
        <v>2022</v>
      </c>
      <c r="G221" s="4">
        <f>F221+1</f>
        <v>2023</v>
      </c>
      <c r="H221" s="4">
        <f>G221+1</f>
        <v>2024</v>
      </c>
      <c r="I221" s="4">
        <f>H221+1</f>
        <v>2025</v>
      </c>
      <c r="J221" s="407"/>
      <c r="K221" s="337"/>
      <c r="L221" s="337"/>
      <c r="M221" s="99"/>
      <c r="N221" s="99"/>
      <c r="O221" s="99"/>
      <c r="P221" s="28"/>
    </row>
    <row r="222" spans="1:16" s="38" customFormat="1" x14ac:dyDescent="0.25">
      <c r="A222" s="72" t="s">
        <v>251</v>
      </c>
      <c r="B222" s="78" t="str">
        <f t="shared" si="24"/>
        <v>F19</v>
      </c>
      <c r="C222" s="38" t="s">
        <v>289</v>
      </c>
      <c r="D222" s="72" t="s">
        <v>661</v>
      </c>
      <c r="E222" s="71" t="s">
        <v>84</v>
      </c>
      <c r="F222" s="70"/>
      <c r="G222" s="191">
        <v>2430</v>
      </c>
      <c r="H222" s="191"/>
      <c r="I222" s="191">
        <v>2430</v>
      </c>
      <c r="J222" s="407"/>
      <c r="K222" s="28" t="s">
        <v>772</v>
      </c>
      <c r="L222" s="28">
        <f>L220+1</f>
        <v>19</v>
      </c>
      <c r="M222" s="99" t="str">
        <f>IF(E222="VEDTATT","VEDTATT",0)</f>
        <v>VEDTATT</v>
      </c>
      <c r="N222" s="99">
        <f>IF(E222="MÅ","Nye tiltak",0)</f>
        <v>0</v>
      </c>
      <c r="O222" s="99"/>
      <c r="P222" s="28"/>
    </row>
    <row r="223" spans="1:16" s="38" customFormat="1" x14ac:dyDescent="0.25">
      <c r="A223" s="72" t="s">
        <v>251</v>
      </c>
      <c r="B223" s="78" t="str">
        <f t="shared" si="24"/>
        <v>F20</v>
      </c>
      <c r="C223" s="295" t="s">
        <v>290</v>
      </c>
      <c r="D223" s="72" t="s">
        <v>661</v>
      </c>
      <c r="E223" s="71" t="s">
        <v>84</v>
      </c>
      <c r="F223" s="70"/>
      <c r="G223" s="191">
        <v>400</v>
      </c>
      <c r="H223" s="191"/>
      <c r="I223" s="191">
        <v>400</v>
      </c>
      <c r="J223" s="407"/>
      <c r="K223" s="28" t="s">
        <v>772</v>
      </c>
      <c r="L223" s="28">
        <f t="shared" ref="L223:L226" si="29">+L222+1</f>
        <v>20</v>
      </c>
      <c r="M223" s="99" t="str">
        <f>IF(E223="VEDTATT","VEDTATT",0)</f>
        <v>VEDTATT</v>
      </c>
      <c r="N223" s="99">
        <f>IF(E223="MÅ","Nye tiltak",0)</f>
        <v>0</v>
      </c>
      <c r="O223" s="99"/>
      <c r="P223" s="28"/>
    </row>
    <row r="224" spans="1:16" s="38" customFormat="1" x14ac:dyDescent="0.25">
      <c r="A224" s="72" t="s">
        <v>251</v>
      </c>
      <c r="B224" s="78" t="str">
        <f t="shared" si="24"/>
        <v>F21</v>
      </c>
      <c r="C224" s="38" t="s">
        <v>291</v>
      </c>
      <c r="D224" s="72" t="s">
        <v>664</v>
      </c>
      <c r="E224" s="71" t="s">
        <v>84</v>
      </c>
      <c r="F224" s="70"/>
      <c r="G224" s="191">
        <v>300</v>
      </c>
      <c r="H224" s="191"/>
      <c r="I224" s="191">
        <v>0</v>
      </c>
      <c r="J224" s="407"/>
      <c r="K224" s="28" t="s">
        <v>772</v>
      </c>
      <c r="L224" s="28">
        <f t="shared" si="29"/>
        <v>21</v>
      </c>
      <c r="M224" s="99" t="str">
        <f>IF(E224="VEDTATT","VEDTATT",0)</f>
        <v>VEDTATT</v>
      </c>
      <c r="N224" s="99">
        <f>IF(E224="MÅ","Nye tiltak",0)</f>
        <v>0</v>
      </c>
      <c r="O224" s="99"/>
      <c r="P224" s="28"/>
    </row>
    <row r="225" spans="1:16" s="38" customFormat="1" x14ac:dyDescent="0.25">
      <c r="A225" s="72" t="s">
        <v>251</v>
      </c>
      <c r="B225" s="78" t="str">
        <f t="shared" si="24"/>
        <v>F22</v>
      </c>
      <c r="C225" s="38" t="s">
        <v>292</v>
      </c>
      <c r="D225" s="72" t="s">
        <v>664</v>
      </c>
      <c r="E225" s="71" t="s">
        <v>84</v>
      </c>
      <c r="F225" s="70"/>
      <c r="G225" s="191">
        <v>200</v>
      </c>
      <c r="H225" s="191"/>
      <c r="I225" s="191">
        <v>0</v>
      </c>
      <c r="J225" s="407"/>
      <c r="K225" s="28" t="s">
        <v>772</v>
      </c>
      <c r="L225" s="28">
        <f t="shared" si="29"/>
        <v>22</v>
      </c>
      <c r="M225" s="99" t="str">
        <f>IF(E225="VEDTATT","VEDTATT",0)</f>
        <v>VEDTATT</v>
      </c>
      <c r="N225" s="99">
        <f>IF(E225="MÅ","Nye tiltak",0)</f>
        <v>0</v>
      </c>
      <c r="O225" s="99"/>
      <c r="P225" s="28"/>
    </row>
    <row r="226" spans="1:16" s="38" customFormat="1" x14ac:dyDescent="0.25">
      <c r="A226" s="72" t="s">
        <v>251</v>
      </c>
      <c r="B226" s="78" t="str">
        <f t="shared" si="24"/>
        <v>F23</v>
      </c>
      <c r="C226" s="38" t="s">
        <v>293</v>
      </c>
      <c r="D226" s="79" t="s">
        <v>664</v>
      </c>
      <c r="E226" s="71" t="s">
        <v>84</v>
      </c>
      <c r="F226" s="191"/>
      <c r="G226" s="191">
        <v>-2000</v>
      </c>
      <c r="H226" s="191">
        <v>-2000</v>
      </c>
      <c r="I226" s="191">
        <v>-2000</v>
      </c>
      <c r="J226" s="407" t="s">
        <v>794</v>
      </c>
      <c r="K226" s="28" t="s">
        <v>772</v>
      </c>
      <c r="L226" s="28">
        <f t="shared" si="29"/>
        <v>23</v>
      </c>
      <c r="M226" s="99" t="str">
        <f>IF(E226="VEDTATT","VEDTATT",0)</f>
        <v>VEDTATT</v>
      </c>
      <c r="N226" s="99">
        <f>IF(E226="MÅ","Nye tiltak",0)</f>
        <v>0</v>
      </c>
      <c r="O226" s="99"/>
      <c r="P226" s="28"/>
    </row>
    <row r="227" spans="1:16" s="38" customFormat="1" x14ac:dyDescent="0.25">
      <c r="A227" s="72" t="s">
        <v>251</v>
      </c>
      <c r="B227" s="78" t="str">
        <f t="shared" si="24"/>
        <v>F24</v>
      </c>
      <c r="C227" s="38" t="s">
        <v>398</v>
      </c>
      <c r="D227" s="79" t="s">
        <v>91</v>
      </c>
      <c r="E227" s="71" t="s">
        <v>24</v>
      </c>
      <c r="F227" s="191"/>
      <c r="G227" s="191">
        <v>400</v>
      </c>
      <c r="H227" s="191"/>
      <c r="I227" s="191">
        <v>400</v>
      </c>
      <c r="J227" s="407"/>
      <c r="K227" s="28" t="s">
        <v>772</v>
      </c>
      <c r="L227" s="28">
        <f>+L226+1</f>
        <v>24</v>
      </c>
      <c r="M227" s="99"/>
      <c r="N227" s="99"/>
      <c r="O227" s="99"/>
      <c r="P227" s="28"/>
    </row>
    <row r="228" spans="1:16" s="38" customFormat="1" x14ac:dyDescent="0.25">
      <c r="A228" s="72" t="s">
        <v>251</v>
      </c>
      <c r="B228" s="78" t="str">
        <f t="shared" si="24"/>
        <v>F25</v>
      </c>
      <c r="C228" s="38" t="s">
        <v>470</v>
      </c>
      <c r="D228" s="79" t="s">
        <v>91</v>
      </c>
      <c r="E228" s="71" t="s">
        <v>24</v>
      </c>
      <c r="F228" s="191"/>
      <c r="G228" s="191">
        <v>300</v>
      </c>
      <c r="H228" s="191"/>
      <c r="I228" s="191">
        <v>300</v>
      </c>
      <c r="J228" s="407"/>
      <c r="K228" s="28" t="s">
        <v>772</v>
      </c>
      <c r="L228" s="28">
        <f>+L227+1</f>
        <v>25</v>
      </c>
      <c r="M228" s="99">
        <f>IF(E228="VEDTATT","VEDTATT",0)</f>
        <v>0</v>
      </c>
      <c r="N228" s="99" t="str">
        <f>IF(E228="MÅ","Nye tiltak",0)</f>
        <v>Nye tiltak</v>
      </c>
      <c r="O228" s="99"/>
      <c r="P228" s="28"/>
    </row>
    <row r="229" spans="1:16" s="38" customFormat="1" x14ac:dyDescent="0.25">
      <c r="A229" s="72" t="s">
        <v>251</v>
      </c>
      <c r="B229" s="78" t="str">
        <f t="shared" si="24"/>
        <v>F26</v>
      </c>
      <c r="C229" s="293" t="s">
        <v>795</v>
      </c>
      <c r="D229" s="79" t="s">
        <v>91</v>
      </c>
      <c r="E229" s="71" t="s">
        <v>24</v>
      </c>
      <c r="F229" s="191">
        <v>50</v>
      </c>
      <c r="G229" s="191">
        <v>50</v>
      </c>
      <c r="H229" s="191">
        <v>50</v>
      </c>
      <c r="I229" s="191">
        <v>50</v>
      </c>
      <c r="J229" s="407"/>
      <c r="K229" s="28" t="s">
        <v>772</v>
      </c>
      <c r="L229" s="28">
        <f>+L228+1</f>
        <v>26</v>
      </c>
      <c r="M229" s="99"/>
      <c r="N229" s="99"/>
      <c r="O229" s="99"/>
      <c r="P229" s="28"/>
    </row>
    <row r="230" spans="1:16" s="38" customFormat="1" x14ac:dyDescent="0.25">
      <c r="A230" s="72" t="s">
        <v>251</v>
      </c>
      <c r="B230" s="78" t="str">
        <f t="shared" si="24"/>
        <v>F27</v>
      </c>
      <c r="C230" s="293" t="s">
        <v>796</v>
      </c>
      <c r="D230" s="79" t="s">
        <v>91</v>
      </c>
      <c r="E230" s="71" t="s">
        <v>24</v>
      </c>
      <c r="F230" s="191"/>
      <c r="G230" s="191"/>
      <c r="H230" s="191">
        <v>1000</v>
      </c>
      <c r="I230" s="191"/>
      <c r="J230" s="407"/>
      <c r="K230" s="28" t="s">
        <v>772</v>
      </c>
      <c r="L230" s="28">
        <f>+L229+1</f>
        <v>27</v>
      </c>
      <c r="M230" s="99"/>
      <c r="N230" s="99"/>
      <c r="O230" s="99"/>
      <c r="P230" s="28"/>
    </row>
    <row r="231" spans="1:16" s="38" customFormat="1" x14ac:dyDescent="0.25">
      <c r="A231" s="72"/>
      <c r="B231" s="78" t="str">
        <f t="shared" si="24"/>
        <v/>
      </c>
      <c r="C231" s="82" t="s">
        <v>282</v>
      </c>
      <c r="D231" s="388"/>
      <c r="E231" s="71"/>
      <c r="F231" s="389"/>
      <c r="G231" s="389"/>
      <c r="H231" s="389"/>
      <c r="I231" s="389"/>
      <c r="J231" s="407"/>
      <c r="M231" s="99"/>
      <c r="N231" s="99"/>
      <c r="O231" s="99"/>
      <c r="P231" s="28"/>
    </row>
    <row r="232" spans="1:16" s="38" customFormat="1" x14ac:dyDescent="0.25">
      <c r="A232" s="72" t="s">
        <v>251</v>
      </c>
      <c r="B232" s="78" t="str">
        <f t="shared" si="24"/>
        <v>F28</v>
      </c>
      <c r="C232" s="84" t="s">
        <v>628</v>
      </c>
      <c r="D232" s="72" t="s">
        <v>661</v>
      </c>
      <c r="E232" s="71" t="s">
        <v>84</v>
      </c>
      <c r="F232" s="484">
        <v>-22250</v>
      </c>
      <c r="G232" s="484">
        <v>-23950</v>
      </c>
      <c r="H232" s="484">
        <v>-23950</v>
      </c>
      <c r="I232" s="484">
        <v>-23950</v>
      </c>
      <c r="J232" s="486" t="s">
        <v>798</v>
      </c>
      <c r="K232" s="28" t="s">
        <v>772</v>
      </c>
      <c r="L232" s="28">
        <f>L230+1</f>
        <v>28</v>
      </c>
      <c r="M232" s="99" t="str">
        <f>IF(E232="VEDTATT","VEDTATT",0)</f>
        <v>VEDTATT</v>
      </c>
      <c r="N232" s="99">
        <f>IF(E232="MÅ","Nye tiltak",0)</f>
        <v>0</v>
      </c>
      <c r="O232" s="99"/>
      <c r="P232" s="28"/>
    </row>
    <row r="233" spans="1:16" s="38" customFormat="1" x14ac:dyDescent="0.25">
      <c r="A233" s="72" t="s">
        <v>251</v>
      </c>
      <c r="B233" s="78" t="str">
        <f t="shared" si="24"/>
        <v>F29</v>
      </c>
      <c r="C233" s="84" t="s">
        <v>629</v>
      </c>
      <c r="D233" s="72" t="s">
        <v>661</v>
      </c>
      <c r="E233" s="71" t="s">
        <v>84</v>
      </c>
      <c r="F233" s="487">
        <v>-4210</v>
      </c>
      <c r="G233" s="487">
        <v>-16430</v>
      </c>
      <c r="H233" s="487">
        <v>-31250</v>
      </c>
      <c r="I233" s="487">
        <v>-37308</v>
      </c>
      <c r="J233" s="486" t="s">
        <v>798</v>
      </c>
      <c r="K233" s="28" t="s">
        <v>772</v>
      </c>
      <c r="L233" s="28">
        <f t="shared" ref="L233:L241" si="30">+L232+1</f>
        <v>29</v>
      </c>
      <c r="M233" s="99" t="str">
        <f>IF(E233="VEDTATT","VEDTATT",0)</f>
        <v>VEDTATT</v>
      </c>
      <c r="N233" s="99">
        <f>IF(E233="MÅ","Nye tiltak",0)</f>
        <v>0</v>
      </c>
      <c r="O233" s="99"/>
      <c r="P233" s="28"/>
    </row>
    <row r="234" spans="1:16" s="38" customFormat="1" x14ac:dyDescent="0.25">
      <c r="A234" s="72" t="s">
        <v>251</v>
      </c>
      <c r="B234" s="78" t="str">
        <f t="shared" si="24"/>
        <v>F30</v>
      </c>
      <c r="C234" s="84" t="s">
        <v>630</v>
      </c>
      <c r="D234" s="72" t="s">
        <v>661</v>
      </c>
      <c r="E234" s="71" t="s">
        <v>84</v>
      </c>
      <c r="F234" s="484">
        <v>-2550</v>
      </c>
      <c r="G234" s="484">
        <v>-2550</v>
      </c>
      <c r="H234" s="484">
        <v>-2550</v>
      </c>
      <c r="I234" s="484">
        <v>-2550</v>
      </c>
      <c r="J234" s="486" t="s">
        <v>799</v>
      </c>
      <c r="K234" s="28" t="s">
        <v>772</v>
      </c>
      <c r="L234" s="28">
        <f t="shared" si="30"/>
        <v>30</v>
      </c>
      <c r="M234" s="99" t="str">
        <f>IF(E234="VEDTATT","VEDTATT",0)</f>
        <v>VEDTATT</v>
      </c>
      <c r="N234" s="99">
        <f>IF(E234="MÅ","Nye tiltak",0)</f>
        <v>0</v>
      </c>
      <c r="O234" s="99"/>
      <c r="P234" s="28"/>
    </row>
    <row r="235" spans="1:16" s="38" customFormat="1" x14ac:dyDescent="0.25">
      <c r="A235" s="72" t="s">
        <v>251</v>
      </c>
      <c r="B235" s="78" t="str">
        <f t="shared" si="24"/>
        <v>F31</v>
      </c>
      <c r="C235" s="84" t="s">
        <v>631</v>
      </c>
      <c r="D235" s="72" t="s">
        <v>661</v>
      </c>
      <c r="E235" s="71" t="s">
        <v>84</v>
      </c>
      <c r="F235" s="484">
        <v>-4420</v>
      </c>
      <c r="G235" s="484">
        <v>-4420</v>
      </c>
      <c r="H235" s="484">
        <v>-4420</v>
      </c>
      <c r="I235" s="484">
        <v>-4420</v>
      </c>
      <c r="J235" s="486" t="s">
        <v>798</v>
      </c>
      <c r="K235" s="28" t="s">
        <v>772</v>
      </c>
      <c r="L235" s="28">
        <f t="shared" si="30"/>
        <v>31</v>
      </c>
      <c r="M235" s="99" t="str">
        <f>IF(E235="VEDTATT","VEDTATT",0)</f>
        <v>VEDTATT</v>
      </c>
      <c r="N235" s="99">
        <f>IF(E235="MÅ","Nye tiltak",0)</f>
        <v>0</v>
      </c>
      <c r="O235" s="99"/>
      <c r="P235" s="28"/>
    </row>
    <row r="236" spans="1:16" s="38" customFormat="1" x14ac:dyDescent="0.25">
      <c r="A236" s="72" t="s">
        <v>251</v>
      </c>
      <c r="B236" s="78" t="str">
        <f t="shared" si="24"/>
        <v>F32</v>
      </c>
      <c r="C236" s="84" t="s">
        <v>632</v>
      </c>
      <c r="D236" s="72" t="s">
        <v>661</v>
      </c>
      <c r="E236" s="61" t="s">
        <v>84</v>
      </c>
      <c r="F236" s="90">
        <v>35700</v>
      </c>
      <c r="G236" s="90">
        <v>50700</v>
      </c>
      <c r="H236" s="90">
        <v>63700</v>
      </c>
      <c r="I236" s="90">
        <v>72700</v>
      </c>
      <c r="J236" s="412" t="s">
        <v>800</v>
      </c>
      <c r="K236" s="28" t="s">
        <v>772</v>
      </c>
      <c r="L236" s="28">
        <f t="shared" si="30"/>
        <v>32</v>
      </c>
      <c r="M236" s="99"/>
      <c r="N236" s="99"/>
      <c r="O236" s="99"/>
      <c r="P236" s="28"/>
    </row>
    <row r="237" spans="1:16" s="38" customFormat="1" x14ac:dyDescent="0.25">
      <c r="A237" s="72" t="s">
        <v>251</v>
      </c>
      <c r="B237" s="78" t="str">
        <f t="shared" si="24"/>
        <v>F33</v>
      </c>
      <c r="C237" s="84" t="s">
        <v>633</v>
      </c>
      <c r="D237" s="72" t="s">
        <v>661</v>
      </c>
      <c r="E237" s="71" t="s">
        <v>84</v>
      </c>
      <c r="F237" s="90">
        <v>-35700</v>
      </c>
      <c r="G237" s="90">
        <v>-50700</v>
      </c>
      <c r="H237" s="90">
        <v>-63700</v>
      </c>
      <c r="I237" s="90">
        <v>-72700</v>
      </c>
      <c r="J237" s="412" t="s">
        <v>800</v>
      </c>
      <c r="K237" s="28" t="s">
        <v>772</v>
      </c>
      <c r="L237" s="28">
        <f t="shared" si="30"/>
        <v>33</v>
      </c>
      <c r="M237" s="99"/>
      <c r="N237" s="99"/>
      <c r="O237" s="99"/>
      <c r="P237" s="28"/>
    </row>
    <row r="238" spans="1:16" s="38" customFormat="1" x14ac:dyDescent="0.25">
      <c r="A238" s="72" t="s">
        <v>251</v>
      </c>
      <c r="B238" s="78" t="str">
        <f t="shared" si="24"/>
        <v>F34</v>
      </c>
      <c r="C238" s="84" t="s">
        <v>631</v>
      </c>
      <c r="D238" s="72" t="s">
        <v>661</v>
      </c>
      <c r="E238" s="71" t="s">
        <v>84</v>
      </c>
      <c r="F238" s="90">
        <v>4420</v>
      </c>
      <c r="G238" s="90">
        <v>4420</v>
      </c>
      <c r="H238" s="90">
        <v>4420</v>
      </c>
      <c r="I238" s="90">
        <v>4420</v>
      </c>
      <c r="J238" s="412" t="s">
        <v>835</v>
      </c>
      <c r="K238" s="28" t="s">
        <v>772</v>
      </c>
      <c r="L238" s="28">
        <f t="shared" si="30"/>
        <v>34</v>
      </c>
      <c r="M238" s="99"/>
      <c r="N238" s="99"/>
      <c r="O238" s="99"/>
      <c r="P238" s="28"/>
    </row>
    <row r="239" spans="1:16" s="38" customFormat="1" ht="25.5" x14ac:dyDescent="0.25">
      <c r="A239" s="72" t="s">
        <v>251</v>
      </c>
      <c r="B239" s="78" t="str">
        <f t="shared" si="24"/>
        <v>F35</v>
      </c>
      <c r="C239" s="84" t="s">
        <v>634</v>
      </c>
      <c r="D239" s="72" t="s">
        <v>661</v>
      </c>
      <c r="E239" s="71" t="s">
        <v>84</v>
      </c>
      <c r="F239" s="90">
        <v>600</v>
      </c>
      <c r="G239" s="90">
        <v>600</v>
      </c>
      <c r="H239" s="90">
        <v>600</v>
      </c>
      <c r="I239" s="90">
        <v>600</v>
      </c>
      <c r="J239" s="412" t="s">
        <v>835</v>
      </c>
      <c r="K239" s="28" t="s">
        <v>772</v>
      </c>
      <c r="L239" s="28">
        <f t="shared" si="30"/>
        <v>35</v>
      </c>
      <c r="M239" s="99"/>
      <c r="N239" s="99"/>
      <c r="O239" s="99"/>
      <c r="P239" s="28"/>
    </row>
    <row r="240" spans="1:16" s="38" customFormat="1" x14ac:dyDescent="0.25">
      <c r="A240" s="72"/>
      <c r="B240" s="78"/>
      <c r="C240" s="84"/>
      <c r="D240" s="72"/>
      <c r="E240" s="71"/>
      <c r="F240" s="90"/>
      <c r="G240" s="90"/>
      <c r="H240" s="90"/>
      <c r="I240" s="90"/>
      <c r="J240" s="412"/>
      <c r="K240" s="28" t="s">
        <v>772</v>
      </c>
      <c r="L240" s="28">
        <f t="shared" si="30"/>
        <v>36</v>
      </c>
      <c r="M240" s="99"/>
      <c r="N240" s="99"/>
      <c r="O240" s="99"/>
      <c r="P240" s="28"/>
    </row>
    <row r="241" spans="1:16" s="38" customFormat="1" x14ac:dyDescent="0.25">
      <c r="A241" s="72"/>
      <c r="B241" s="78"/>
      <c r="C241" s="84"/>
      <c r="D241" s="72"/>
      <c r="E241" s="71"/>
      <c r="F241" s="90"/>
      <c r="G241" s="90"/>
      <c r="H241" s="90"/>
      <c r="I241" s="90"/>
      <c r="J241" s="407"/>
      <c r="K241" s="28" t="s">
        <v>772</v>
      </c>
      <c r="L241" s="28">
        <f t="shared" si="30"/>
        <v>37</v>
      </c>
      <c r="M241" s="99">
        <f>IF(E241="VEDTATT","VEDTATT",0)</f>
        <v>0</v>
      </c>
      <c r="N241" s="99">
        <f>IF(E241="MÅ","Nye tiltak",0)</f>
        <v>0</v>
      </c>
      <c r="O241" s="99"/>
      <c r="P241" s="28"/>
    </row>
    <row r="242" spans="1:16" s="38" customFormat="1" x14ac:dyDescent="0.25">
      <c r="A242" s="72"/>
      <c r="B242" s="78" t="str">
        <f>IF(L242,K242&amp;L242,"")</f>
        <v/>
      </c>
      <c r="C242" s="82"/>
      <c r="D242" s="83"/>
      <c r="E242" s="71"/>
      <c r="F242" s="191"/>
      <c r="G242" s="191"/>
      <c r="H242" s="191"/>
      <c r="I242" s="191"/>
      <c r="J242" s="407"/>
      <c r="K242" s="28"/>
      <c r="L242" s="28"/>
      <c r="M242" s="99"/>
      <c r="N242" s="99"/>
      <c r="O242" s="99"/>
      <c r="P242" s="28"/>
    </row>
    <row r="243" spans="1:16" s="38" customFormat="1" ht="30" x14ac:dyDescent="0.25">
      <c r="A243" s="43"/>
      <c r="B243" s="43" t="s">
        <v>127</v>
      </c>
      <c r="C243" s="3" t="s">
        <v>304</v>
      </c>
      <c r="D243" s="52"/>
      <c r="E243" s="52"/>
      <c r="F243" s="56">
        <f>SUMIF($A:$A,"KOM.FELLES",F:F)</f>
        <v>109163</v>
      </c>
      <c r="G243" s="56">
        <f>SUMIF($A:$A,"KOM.FELLES",G:G)</f>
        <v>100750</v>
      </c>
      <c r="H243" s="56">
        <f>SUMIF($A:$A,"KOM.FELLES",H:H)</f>
        <v>79949</v>
      </c>
      <c r="I243" s="56">
        <f>SUMIF($A:$A,"KOM.FELLES",I:I)</f>
        <v>75798</v>
      </c>
      <c r="J243" s="407"/>
      <c r="K243" s="337"/>
      <c r="L243" s="337"/>
      <c r="M243" s="99"/>
      <c r="N243" s="99"/>
      <c r="O243" s="99"/>
      <c r="P243" s="28"/>
    </row>
    <row r="244" spans="1:16" x14ac:dyDescent="0.25">
      <c r="K244" s="38"/>
      <c r="L244" s="38"/>
      <c r="M244"/>
      <c r="N244"/>
      <c r="O244"/>
    </row>
    <row r="246" spans="1:16" x14ac:dyDescent="0.25">
      <c r="E246" t="s">
        <v>836</v>
      </c>
      <c r="F246" s="256" t="e">
        <f>#REF!+#REF!+#REF!+#REF!</f>
        <v>#REF!</v>
      </c>
      <c r="G246" s="256" t="e">
        <f>#REF!+#REF!+#REF!+#REF!</f>
        <v>#REF!</v>
      </c>
      <c r="H246" s="256" t="e">
        <f>#REF!+#REF!+#REF!+#REF!</f>
        <v>#REF!</v>
      </c>
      <c r="I246" s="256"/>
    </row>
    <row r="247" spans="1:16" x14ac:dyDescent="0.25">
      <c r="E247" t="s">
        <v>837</v>
      </c>
      <c r="F247" s="256">
        <f>30987+13258+710+30241</f>
        <v>75196</v>
      </c>
      <c r="G247" s="256">
        <f>30987+29145+1313+30241</f>
        <v>91686</v>
      </c>
      <c r="H247" s="256">
        <f>30987+29145+1313+30241</f>
        <v>91686</v>
      </c>
      <c r="I247" s="256"/>
    </row>
    <row r="248" spans="1:16" x14ac:dyDescent="0.25">
      <c r="E248" s="202" t="s">
        <v>838</v>
      </c>
      <c r="F248" s="203" t="e">
        <f>F246-F247</f>
        <v>#REF!</v>
      </c>
      <c r="G248" s="203" t="e">
        <f>G246-G247</f>
        <v>#REF!</v>
      </c>
      <c r="H248" s="203" t="e">
        <f>H246-H247</f>
        <v>#REF!</v>
      </c>
      <c r="I248" s="348"/>
    </row>
    <row r="249" spans="1:16" x14ac:dyDescent="0.25">
      <c r="E249" t="s">
        <v>839</v>
      </c>
      <c r="F249" s="183">
        <f>-7929-3038</f>
        <v>-10967</v>
      </c>
      <c r="G249" s="183">
        <f>-9809-3549</f>
        <v>-13358</v>
      </c>
      <c r="H249" s="183">
        <f>-9809-3549</f>
        <v>-13358</v>
      </c>
      <c r="I249" s="183"/>
    </row>
    <row r="250" spans="1:16" x14ac:dyDescent="0.25">
      <c r="E250" s="202" t="s">
        <v>838</v>
      </c>
      <c r="F250" s="203" t="e">
        <f>F249-F248</f>
        <v>#REF!</v>
      </c>
      <c r="G250" s="203" t="e">
        <f>G249-G248</f>
        <v>#REF!</v>
      </c>
      <c r="H250" s="203" t="e">
        <f>H249-H248</f>
        <v>#REF!</v>
      </c>
      <c r="I250" s="348"/>
    </row>
    <row r="252" spans="1:16" x14ac:dyDescent="0.25">
      <c r="F252" s="256" t="e">
        <f>F79+F81+#REF!+#REF!+#REF!+#REF!+#REF!+#REF!+#REF!+#REF!+#REF!+F131+F133+#REF!+#REF!+#REF!+#REF!+#REF!+#REF!+#REF!</f>
        <v>#REF!</v>
      </c>
      <c r="G252" s="256" t="e">
        <f>G79+G81+#REF!+#REF!+#REF!+#REF!+#REF!+#REF!+#REF!+#REF!+#REF!+G131+G133+#REF!+#REF!+#REF!+#REF!+#REF!+#REF!+#REF!</f>
        <v>#REF!</v>
      </c>
      <c r="H252" s="256" t="e">
        <f>H79+H81+#REF!+#REF!+#REF!+#REF!+#REF!+#REF!+#REF!+#REF!+#REF!+H131+H133+#REF!+#REF!+#REF!+#REF!+#REF!+#REF!+#REF!</f>
        <v>#REF!</v>
      </c>
      <c r="I252" s="256"/>
    </row>
    <row r="257" spans="4:21" x14ac:dyDescent="0.25">
      <c r="F257" s="182"/>
      <c r="G257" s="182"/>
      <c r="H257" s="182"/>
      <c r="I257" s="182"/>
    </row>
    <row r="258" spans="4:21" x14ac:dyDescent="0.25">
      <c r="D258" s="256"/>
      <c r="E258" s="256"/>
      <c r="F258" s="256"/>
      <c r="G258" s="256"/>
      <c r="H258" s="256"/>
      <c r="I258" s="256"/>
      <c r="Q258" s="204"/>
      <c r="R258" s="205">
        <v>2019</v>
      </c>
      <c r="S258" s="205">
        <v>2020</v>
      </c>
      <c r="T258" s="205">
        <v>2021</v>
      </c>
      <c r="U258" s="205">
        <v>2022</v>
      </c>
    </row>
    <row r="259" spans="4:21" x14ac:dyDescent="0.25">
      <c r="F259" s="256"/>
      <c r="G259" s="256"/>
      <c r="H259" s="256"/>
      <c r="I259" s="256"/>
      <c r="Q259" s="349" t="s">
        <v>840</v>
      </c>
      <c r="R259" s="186" t="e">
        <f>#REF!+#REF!</f>
        <v>#REF!</v>
      </c>
      <c r="S259" s="186" t="e">
        <f>#REF!+#REF!</f>
        <v>#REF!</v>
      </c>
      <c r="T259" s="186" t="e">
        <f>#REF!+#REF!</f>
        <v>#REF!</v>
      </c>
      <c r="U259" s="186" t="e">
        <f>#REF!+#REF!</f>
        <v>#REF!</v>
      </c>
    </row>
    <row r="260" spans="4:21" x14ac:dyDescent="0.25">
      <c r="F260" s="256"/>
      <c r="G260" s="256"/>
      <c r="H260" s="256"/>
      <c r="I260" s="256"/>
      <c r="Q260" s="349" t="s">
        <v>841</v>
      </c>
      <c r="R260" s="186" t="e">
        <f>#REF!+#REF!</f>
        <v>#REF!</v>
      </c>
      <c r="S260" s="186" t="e">
        <f>#REF!+#REF!</f>
        <v>#REF!</v>
      </c>
      <c r="T260" s="186" t="e">
        <f>#REF!+#REF!</f>
        <v>#REF!</v>
      </c>
      <c r="U260" s="186" t="e">
        <f>#REF!+#REF!</f>
        <v>#REF!</v>
      </c>
    </row>
    <row r="261" spans="4:21" x14ac:dyDescent="0.25">
      <c r="F261" s="256"/>
      <c r="G261" s="256"/>
      <c r="H261" s="256"/>
      <c r="I261" s="256"/>
      <c r="Q261" s="349" t="s">
        <v>803</v>
      </c>
      <c r="R261" s="186" t="e">
        <f>#REF!+#REF!</f>
        <v>#REF!</v>
      </c>
      <c r="S261" s="186" t="e">
        <f>#REF!+#REF!</f>
        <v>#REF!</v>
      </c>
      <c r="T261" s="186" t="e">
        <f>#REF!+#REF!</f>
        <v>#REF!</v>
      </c>
      <c r="U261" s="186" t="e">
        <f>#REF!+#REF!</f>
        <v>#REF!</v>
      </c>
    </row>
    <row r="262" spans="4:21" x14ac:dyDescent="0.25">
      <c r="F262" s="256"/>
      <c r="G262" s="256"/>
      <c r="H262" s="256"/>
      <c r="I262" s="256"/>
      <c r="Q262" s="349" t="s">
        <v>842</v>
      </c>
      <c r="R262" s="186" t="e">
        <f>#REF!</f>
        <v>#REF!</v>
      </c>
      <c r="S262" s="186" t="e">
        <f>#REF!</f>
        <v>#REF!</v>
      </c>
      <c r="T262" s="186" t="e">
        <f>#REF!</f>
        <v>#REF!</v>
      </c>
      <c r="U262" s="186" t="e">
        <f>#REF!</f>
        <v>#REF!</v>
      </c>
    </row>
    <row r="263" spans="4:21" x14ac:dyDescent="0.25">
      <c r="F263" s="256"/>
      <c r="G263" s="256"/>
      <c r="H263" s="256"/>
      <c r="I263" s="256"/>
      <c r="Q263" s="349" t="s">
        <v>808</v>
      </c>
      <c r="R263" s="186" t="e">
        <f>#REF!+#REF!</f>
        <v>#REF!</v>
      </c>
      <c r="S263" s="186" t="e">
        <f>#REF!+#REF!</f>
        <v>#REF!</v>
      </c>
      <c r="T263" s="186" t="e">
        <f>#REF!+#REF!</f>
        <v>#REF!</v>
      </c>
      <c r="U263" s="186" t="e">
        <f>#REF!+#REF!</f>
        <v>#REF!</v>
      </c>
    </row>
    <row r="264" spans="4:21" x14ac:dyDescent="0.25">
      <c r="F264" s="256"/>
      <c r="G264" s="256"/>
      <c r="H264" s="256"/>
      <c r="I264" s="256"/>
      <c r="Q264" s="349" t="s">
        <v>231</v>
      </c>
      <c r="R264" s="186" t="e">
        <f>#REF!</f>
        <v>#REF!</v>
      </c>
      <c r="S264" s="186" t="e">
        <f>#REF!</f>
        <v>#REF!</v>
      </c>
      <c r="T264" s="186" t="e">
        <f>#REF!</f>
        <v>#REF!</v>
      </c>
      <c r="U264" s="186" t="e">
        <f>#REF!</f>
        <v>#REF!</v>
      </c>
    </row>
    <row r="265" spans="4:21" x14ac:dyDescent="0.25">
      <c r="F265" s="256"/>
      <c r="G265" s="256"/>
      <c r="H265" s="256"/>
      <c r="I265" s="256"/>
      <c r="Q265" s="349" t="s">
        <v>241</v>
      </c>
      <c r="R265" s="186" t="e">
        <f>#REF!</f>
        <v>#REF!</v>
      </c>
      <c r="S265" s="186" t="e">
        <f>#REF!</f>
        <v>#REF!</v>
      </c>
      <c r="T265" s="186" t="e">
        <f>#REF!</f>
        <v>#REF!</v>
      </c>
      <c r="U265" s="186" t="e">
        <f>#REF!</f>
        <v>#REF!</v>
      </c>
    </row>
    <row r="266" spans="4:21" ht="30" x14ac:dyDescent="0.25">
      <c r="Q266" s="349" t="s">
        <v>843</v>
      </c>
      <c r="R266" s="186" t="e">
        <f>#REF!+#REF!</f>
        <v>#REF!</v>
      </c>
      <c r="S266" s="186" t="e">
        <f>F201+#REF!</f>
        <v>#REF!</v>
      </c>
      <c r="T266" s="186" t="e">
        <f>G201+#REF!</f>
        <v>#REF!</v>
      </c>
      <c r="U266" s="186" t="e">
        <f>H201+#REF!</f>
        <v>#REF!</v>
      </c>
    </row>
    <row r="267" spans="4:21" x14ac:dyDescent="0.25">
      <c r="Q267" s="185" t="s">
        <v>844</v>
      </c>
      <c r="R267" s="187" t="e">
        <f>SUBTOTAL(9,R259:R266)</f>
        <v>#REF!</v>
      </c>
      <c r="S267" s="187" t="e">
        <f>SUBTOTAL(9,S259:S266)</f>
        <v>#REF!</v>
      </c>
      <c r="T267" s="187" t="e">
        <f>SUBTOTAL(9,T259:T266)</f>
        <v>#REF!</v>
      </c>
      <c r="U267" s="187" t="e">
        <f>SUBTOTAL(9,U259:U266)</f>
        <v>#REF!</v>
      </c>
    </row>
  </sheetData>
  <mergeCells count="16">
    <mergeCell ref="AO1:AR1"/>
    <mergeCell ref="AS1:AV1"/>
    <mergeCell ref="Q2:T2"/>
    <mergeCell ref="U2:X2"/>
    <mergeCell ref="Y2:AB2"/>
    <mergeCell ref="AC2:AF2"/>
    <mergeCell ref="AG2:AJ2"/>
    <mergeCell ref="AK2:AN2"/>
    <mergeCell ref="AO2:AR2"/>
    <mergeCell ref="AS2:AV2"/>
    <mergeCell ref="Q1:T1"/>
    <mergeCell ref="U1:X1"/>
    <mergeCell ref="Y1:AB1"/>
    <mergeCell ref="AC1:AF1"/>
    <mergeCell ref="AG1:AJ1"/>
    <mergeCell ref="AK1:AN1"/>
  </mergeCells>
  <conditionalFormatting sqref="F18:I18">
    <cfRule type="cellIs" dxfId="7" priority="2" operator="notEqual">
      <formula>0</formula>
    </cfRule>
  </conditionalFormatting>
  <conditionalFormatting sqref="I18">
    <cfRule type="cellIs" dxfId="6" priority="1" operator="notEqual">
      <formula>0</formula>
    </cfRule>
  </conditionalFormatting>
  <dataValidations count="1">
    <dataValidation type="list" allowBlank="1" showInputMessage="1" showErrorMessage="1" sqref="D177:D180 E150" xr:uid="{10846EE2-F920-45FD-AA59-34CF24CE1FFA}">
      <formula1>#REF!</formula1>
    </dataValidation>
  </dataValidations>
  <pageMargins left="0.25" right="0.25" top="0.75" bottom="0.75" header="0.3" footer="0.3"/>
  <pageSetup paperSize="9" scale="2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C32A335-0C8F-4CF9-9189-733DB49593C9}">
          <x14:formula1>
            <xm:f>Div!$A$3:$A$13</xm:f>
          </x14:formula1>
          <xm:sqref>A75:A81 A68:A73 A84:A89 A91:A106</xm:sqref>
        </x14:dataValidation>
        <x14:dataValidation type="list" allowBlank="1" showInputMessage="1" showErrorMessage="1" xr:uid="{7CF7C54D-E971-400F-B673-07D46AB3154A}">
          <x14:formula1>
            <xm:f>Div!$A$3:$A$11</xm:f>
          </x14:formula1>
          <xm:sqref>A29:A67 A82:A83 A90 A107:A243</xm:sqref>
        </x14:dataValidation>
        <x14:dataValidation type="list" allowBlank="1" showInputMessage="1" showErrorMessage="1" xr:uid="{AC2EA59D-94F9-434D-B830-BC0A913EC2F2}">
          <x14:formula1>
            <xm:f>Div!$B$3:$B$8</xm:f>
          </x14:formula1>
          <xm:sqref>D147:D150 D130:D137 D29:D61 D84:D89 D142:D145 D193:D196 D232:D241 D184:D189 D222:D230 D201 D110:D128 D154:D176 D68:D81 D91:D104 D203:D220</xm:sqref>
        </x14:dataValidation>
        <x14:dataValidation type="list" allowBlank="1" showInputMessage="1" showErrorMessage="1" xr:uid="{DF714D2E-E426-4315-8522-7CD2FE0839FA}">
          <x14:formula1>
            <xm:f>Div!$C$3:$C$58</xm:f>
          </x14:formula1>
          <xm:sqref>D62:D67 D146 D243:E243 D90:E90 D129 D138:D141 D190:D192 D197:D200 D202 D221 D231 D242 D151:D153 D155 D119 D134 D107:D109 D181:D183 E147:E149 E29:E61 E151:E152 E107 E130:E139 E84:E89 E142:E145 E193:E198 E240:F240 E232:E239 E241 E184:E191 E222:E230 E201 E110:E128 E154:E182 D77:E77 D83 E68:E76 E78:E81 E91:E104 E203:E220</xm:sqref>
        </x14:dataValidation>
        <x14:dataValidation type="list" allowBlank="1" showInputMessage="1" showErrorMessage="1" xr:uid="{FFCFB82F-25A8-446E-AD74-D6F4A0D8D394}">
          <x14:formula1>
            <xm:f>Div!$B$3:$B$6</xm:f>
          </x14:formula1>
          <xm:sqref>E62:E67 E199:E200 E231 E129 E183 E242 E192 E140:E141 E146 E202 E221 E153 E155 E119 E134 E108:E109 E77 E83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AFC40-4BAA-43A8-9CA5-51197E910EFD}">
  <sheetPr codeName="Ark5">
    <tabColor rgb="FFFF0000"/>
  </sheetPr>
  <dimension ref="A1:AW283"/>
  <sheetViews>
    <sheetView topLeftCell="A145" workbookViewId="0">
      <selection activeCell="J95" sqref="J95"/>
    </sheetView>
  </sheetViews>
  <sheetFormatPr baseColWidth="10" defaultColWidth="11.42578125" defaultRowHeight="15" x14ac:dyDescent="0.25"/>
  <cols>
    <col min="1" max="1" width="10.140625" customWidth="1"/>
    <col min="2" max="2" width="6.140625" customWidth="1"/>
    <col min="3" max="3" width="58.5703125" customWidth="1"/>
    <col min="4" max="4" width="14.42578125" bestFit="1" customWidth="1"/>
    <col min="5" max="5" width="11.28515625" bestFit="1" customWidth="1"/>
    <col min="6" max="6" width="12" bestFit="1" customWidth="1"/>
    <col min="7" max="7" width="13.42578125" customWidth="1"/>
    <col min="8" max="8" width="13.5703125" customWidth="1"/>
    <col min="9" max="9" width="13" customWidth="1"/>
    <col min="10" max="10" width="65" customWidth="1"/>
    <col min="11" max="11" width="7.42578125" style="28" customWidth="1"/>
    <col min="12" max="12" width="7.5703125" style="28" bestFit="1" customWidth="1"/>
    <col min="13" max="13" width="8.5703125" style="94" customWidth="1"/>
    <col min="14" max="14" width="9.5703125" style="94" customWidth="1"/>
    <col min="15" max="15" width="13.42578125" style="94" customWidth="1"/>
    <col min="16" max="16" width="13.5703125" bestFit="1" customWidth="1"/>
    <col min="17" max="17" width="31.5703125" customWidth="1"/>
    <col min="18" max="21" width="14.42578125" customWidth="1"/>
    <col min="22" max="48" width="11.42578125" bestFit="1" customWidth="1"/>
    <col min="49" max="49" width="20.42578125" customWidth="1"/>
  </cols>
  <sheetData>
    <row r="1" spans="1:48" s="28" customFormat="1" ht="23.25" x14ac:dyDescent="0.25">
      <c r="A1" s="294" t="s">
        <v>635</v>
      </c>
      <c r="B1" s="295"/>
      <c r="C1" s="296"/>
      <c r="D1" s="93"/>
      <c r="E1" s="93"/>
      <c r="F1" s="294"/>
      <c r="G1" s="294"/>
      <c r="H1" s="294"/>
      <c r="I1" s="294"/>
      <c r="J1" s="286"/>
      <c r="K1" s="38"/>
      <c r="L1" s="38"/>
      <c r="M1" s="93"/>
      <c r="N1" s="51"/>
      <c r="O1" s="51"/>
      <c r="Q1" s="635" t="s">
        <v>801</v>
      </c>
      <c r="R1" s="635"/>
      <c r="S1" s="635"/>
      <c r="T1" s="635"/>
      <c r="U1" s="635" t="s">
        <v>802</v>
      </c>
      <c r="V1" s="635"/>
      <c r="W1" s="635"/>
      <c r="X1" s="635"/>
      <c r="Y1" s="635" t="s">
        <v>803</v>
      </c>
      <c r="Z1" s="635"/>
      <c r="AA1" s="635"/>
      <c r="AB1" s="635"/>
      <c r="AC1" s="635" t="s">
        <v>804</v>
      </c>
      <c r="AD1" s="635"/>
      <c r="AE1" s="635"/>
      <c r="AF1" s="635"/>
      <c r="AG1" s="635" t="s">
        <v>805</v>
      </c>
      <c r="AH1" s="635"/>
      <c r="AI1" s="635"/>
      <c r="AJ1" s="635"/>
      <c r="AK1" s="635" t="s">
        <v>232</v>
      </c>
      <c r="AL1" s="635"/>
      <c r="AM1" s="635"/>
      <c r="AN1" s="635"/>
      <c r="AO1" s="635" t="s">
        <v>242</v>
      </c>
      <c r="AP1" s="635"/>
      <c r="AQ1" s="635"/>
      <c r="AR1" s="635"/>
      <c r="AS1" s="635" t="s">
        <v>251</v>
      </c>
      <c r="AT1" s="635"/>
      <c r="AU1" s="635"/>
      <c r="AV1" s="635"/>
    </row>
    <row r="2" spans="1:48" s="28" customFormat="1" x14ac:dyDescent="0.25">
      <c r="A2" s="38"/>
      <c r="B2" s="295"/>
      <c r="C2" s="295"/>
      <c r="D2" s="93"/>
      <c r="E2" s="93"/>
      <c r="F2" s="38"/>
      <c r="G2" s="38"/>
      <c r="H2" s="38"/>
      <c r="I2" s="38"/>
      <c r="J2" s="286"/>
      <c r="K2" s="38"/>
      <c r="L2" s="38"/>
      <c r="M2" s="93"/>
      <c r="N2" s="93"/>
      <c r="O2" s="93"/>
      <c r="Q2" s="636" t="s">
        <v>801</v>
      </c>
      <c r="R2" s="636"/>
      <c r="S2" s="636"/>
      <c r="T2" s="636"/>
      <c r="U2" s="636" t="s">
        <v>806</v>
      </c>
      <c r="V2" s="636"/>
      <c r="W2" s="636"/>
      <c r="X2" s="636"/>
      <c r="Y2" s="636" t="s">
        <v>803</v>
      </c>
      <c r="Z2" s="636"/>
      <c r="AA2" s="636"/>
      <c r="AB2" s="636"/>
      <c r="AC2" s="636" t="s">
        <v>807</v>
      </c>
      <c r="AD2" s="636"/>
      <c r="AE2" s="636"/>
      <c r="AF2" s="636"/>
      <c r="AG2" s="636" t="s">
        <v>808</v>
      </c>
      <c r="AH2" s="636"/>
      <c r="AI2" s="636"/>
      <c r="AJ2" s="636"/>
      <c r="AK2" s="636" t="s">
        <v>231</v>
      </c>
      <c r="AL2" s="636"/>
      <c r="AM2" s="636"/>
      <c r="AN2" s="636"/>
      <c r="AO2" s="636" t="s">
        <v>241</v>
      </c>
      <c r="AP2" s="636"/>
      <c r="AQ2" s="636"/>
      <c r="AR2" s="636"/>
      <c r="AS2" s="636" t="s">
        <v>809</v>
      </c>
      <c r="AT2" s="636"/>
      <c r="AU2" s="636"/>
      <c r="AV2" s="636"/>
    </row>
    <row r="3" spans="1:48" s="38" customFormat="1" x14ac:dyDescent="0.25">
      <c r="A3" s="297"/>
      <c r="B3" s="298"/>
      <c r="C3" s="298"/>
      <c r="D3" s="299"/>
      <c r="E3" s="299"/>
      <c r="F3" s="300">
        <v>2020</v>
      </c>
      <c r="G3" s="300">
        <v>46210</v>
      </c>
      <c r="H3" s="300">
        <v>2022</v>
      </c>
      <c r="I3" s="300"/>
      <c r="M3" s="93"/>
      <c r="N3" s="93"/>
      <c r="O3" s="93"/>
      <c r="P3" s="28"/>
      <c r="Q3" s="29">
        <v>2018</v>
      </c>
      <c r="R3" s="29">
        <v>2019</v>
      </c>
      <c r="S3" s="29">
        <v>2020</v>
      </c>
      <c r="T3" s="29">
        <v>2021</v>
      </c>
      <c r="U3" s="29">
        <v>2018</v>
      </c>
      <c r="V3" s="29">
        <v>2019</v>
      </c>
      <c r="W3" s="29">
        <v>2020</v>
      </c>
      <c r="X3" s="29">
        <v>2021</v>
      </c>
      <c r="Y3" s="29">
        <v>2018</v>
      </c>
      <c r="Z3" s="29">
        <v>2019</v>
      </c>
      <c r="AA3" s="29">
        <v>2020</v>
      </c>
      <c r="AB3" s="29">
        <v>2021</v>
      </c>
      <c r="AC3" s="29">
        <v>2018</v>
      </c>
      <c r="AD3" s="29">
        <v>2019</v>
      </c>
      <c r="AE3" s="29">
        <v>2020</v>
      </c>
      <c r="AF3" s="29">
        <v>2021</v>
      </c>
      <c r="AG3" s="29">
        <v>2018</v>
      </c>
      <c r="AH3" s="29">
        <v>2019</v>
      </c>
      <c r="AI3" s="29">
        <v>2020</v>
      </c>
      <c r="AJ3" s="29">
        <v>2021</v>
      </c>
      <c r="AK3" s="29">
        <v>2018</v>
      </c>
      <c r="AL3" s="29">
        <v>2019</v>
      </c>
      <c r="AM3" s="29">
        <v>2020</v>
      </c>
      <c r="AN3" s="29">
        <v>2021</v>
      </c>
      <c r="AO3" s="29">
        <v>2018</v>
      </c>
      <c r="AP3" s="29">
        <v>2019</v>
      </c>
      <c r="AQ3" s="29">
        <v>2020</v>
      </c>
      <c r="AR3" s="29">
        <v>2021</v>
      </c>
      <c r="AS3" s="29">
        <v>2018</v>
      </c>
      <c r="AT3" s="29">
        <v>2019</v>
      </c>
      <c r="AU3" s="29">
        <v>2020</v>
      </c>
      <c r="AV3" s="29">
        <v>2021</v>
      </c>
    </row>
    <row r="4" spans="1:48" s="38" customFormat="1" x14ac:dyDescent="0.25">
      <c r="A4" s="301" t="s">
        <v>636</v>
      </c>
      <c r="B4" s="302"/>
      <c r="C4" s="303"/>
      <c r="D4" s="304"/>
      <c r="E4" s="304"/>
      <c r="F4" s="305">
        <v>4546363</v>
      </c>
      <c r="G4" s="305">
        <v>4546363</v>
      </c>
      <c r="H4" s="305">
        <v>4546363</v>
      </c>
      <c r="I4" s="305">
        <v>4546363</v>
      </c>
      <c r="J4" s="1"/>
      <c r="M4" s="306">
        <v>29670</v>
      </c>
      <c r="N4" s="93">
        <v>13290</v>
      </c>
      <c r="O4" s="93"/>
      <c r="P4" s="29" t="s">
        <v>810</v>
      </c>
      <c r="Q4" s="12" t="e">
        <f>SUMIFS(#REF!,$O:$O,$P$4,$A:$A,$Q$1)</f>
        <v>#REF!</v>
      </c>
      <c r="R4" s="12" t="e">
        <f>SUMIFS(#REF!,$O:$O,$P$4,$A:$A,$Q$1)</f>
        <v>#REF!</v>
      </c>
      <c r="S4" s="12">
        <f>SUMIFS(F:F,$O:$O,$P$4,$A:$A,$Q$1)</f>
        <v>0</v>
      </c>
      <c r="T4" s="12">
        <f>SUMIFS(G:G,$O:$O,$P$4,$A:$A,$Q$1)</f>
        <v>0</v>
      </c>
      <c r="U4" s="12" t="e">
        <f>SUMIFS(#REF!,$O:$O,$P$4,$A:$A,$U$1)</f>
        <v>#REF!</v>
      </c>
      <c r="V4" s="12" t="e">
        <f>SUMIFS(#REF!,$O:$O,$P$4,$A:$A,$U$1)</f>
        <v>#REF!</v>
      </c>
      <c r="W4" s="12">
        <f>SUMIFS(F:F,$O:$O,$P$4,$A:$A,$U$1)</f>
        <v>0</v>
      </c>
      <c r="X4" s="12">
        <f>SUMIFS(G:G,$O:$O,$P$4,$A:$A,$U$1)</f>
        <v>0</v>
      </c>
      <c r="Y4" s="12" t="e">
        <f>SUMIFS(#REF!,$O:$O,$P$4,$A:$A,$Y$1)</f>
        <v>#REF!</v>
      </c>
      <c r="Z4" s="12" t="e">
        <f>SUMIFS(#REF!,$O:$O,$P$4,$A:$A,$Y$1)</f>
        <v>#REF!</v>
      </c>
      <c r="AA4" s="12">
        <f>SUMIFS(F:F,$O:$O,$P$4,$A:$A,$Y$1)</f>
        <v>0</v>
      </c>
      <c r="AB4" s="12">
        <f>SUMIFS(G:G,$O:$O,$P$4,$A:$A,$Y$1)</f>
        <v>0</v>
      </c>
      <c r="AC4" s="12" t="e">
        <f>SUMIFS(#REF!,$O:$O,$P$4,$A:$A,$AC$1)</f>
        <v>#REF!</v>
      </c>
      <c r="AD4" s="12" t="e">
        <f>SUMIFS(#REF!,$O:$O,$P$4,$A:$A,$AC$1)</f>
        <v>#REF!</v>
      </c>
      <c r="AE4" s="12">
        <f>SUMIFS(F:F,$O:$O,$P$4,$A:$A,$AC$1)</f>
        <v>0</v>
      </c>
      <c r="AF4" s="12">
        <f>SUMIFS(G:G,$O:$O,$P$4,$A:$A,$AC$1)</f>
        <v>0</v>
      </c>
      <c r="AG4" s="12" t="e">
        <f>SUMIFS(#REF!,$O:$O,$P$4,$A:$A,$AG$1)</f>
        <v>#REF!</v>
      </c>
      <c r="AH4" s="12" t="e">
        <f>SUMIFS(#REF!,$O:$O,$P$4,$A:$A,$AG$1)</f>
        <v>#REF!</v>
      </c>
      <c r="AI4" s="12">
        <f>SUMIFS(F:F,$O:$O,$P$4,$A:$A,$AG$1)</f>
        <v>0</v>
      </c>
      <c r="AJ4" s="12">
        <f>SUMIFS(G:G,$O:$O,$P$4,$A:$A,$AG$1)</f>
        <v>0</v>
      </c>
      <c r="AK4" s="12" t="e">
        <f>SUMIFS(#REF!,$O:$O,$P$4,$A:$A,$AK$1)</f>
        <v>#REF!</v>
      </c>
      <c r="AL4" s="12" t="e">
        <f>SUMIFS(#REF!,$O:$O,$P$4,$A:$A,$AK$1)</f>
        <v>#REF!</v>
      </c>
      <c r="AM4" s="12">
        <f>SUMIFS(F:F,$O:$O,$P$4,$A:$A,$AK$1)</f>
        <v>0</v>
      </c>
      <c r="AN4" s="12">
        <f>SUMIFS(G:G,$O:$O,$P$4,$A:$A,$AK$1)</f>
        <v>0</v>
      </c>
      <c r="AO4" s="12" t="e">
        <f>SUMIFS(#REF!,$O:$O,$P$4,$A:$A,$AO$1)</f>
        <v>#REF!</v>
      </c>
      <c r="AP4" s="12" t="e">
        <f>SUMIFS(#REF!,$O:$O,$P$4,$A:$A,$AO$1)</f>
        <v>#REF!</v>
      </c>
      <c r="AQ4" s="12">
        <f>SUMIFS(F:F,$O:$O,$P$4,$A:$A,$AO$1)</f>
        <v>0</v>
      </c>
      <c r="AR4" s="12">
        <f>SUMIFS(G:G,$O:$O,$P$4,$A:$A,$AO$1)</f>
        <v>0</v>
      </c>
      <c r="AS4" s="12" t="e">
        <f>SUMIFS(#REF!,$O:$O,$P$4,$A:$A,$AS$1)</f>
        <v>#REF!</v>
      </c>
      <c r="AT4" s="12" t="e">
        <f>SUMIFS(#REF!,$O:$O,$P$4,$A:$A,$AS$1)</f>
        <v>#REF!</v>
      </c>
      <c r="AU4" s="12">
        <f>SUMIFS(F:F,$O:$O,$P$4,$A:$A,$AS$1)</f>
        <v>0</v>
      </c>
      <c r="AV4" s="12">
        <f>SUMIFS(G:G,$O:$O,$P$4,$A:$A,$AS$1)</f>
        <v>0</v>
      </c>
    </row>
    <row r="5" spans="1:48" s="38" customFormat="1" x14ac:dyDescent="0.25">
      <c r="A5" s="38" t="str">
        <f>C62</f>
        <v>SUM SENTRALE INNTEKTER OG FINANSPOSTER</v>
      </c>
      <c r="B5" s="295"/>
      <c r="C5" s="123"/>
      <c r="D5" s="93"/>
      <c r="E5" s="93"/>
      <c r="F5" s="2">
        <f>F62</f>
        <v>-4776621</v>
      </c>
      <c r="G5" s="2">
        <f>G62</f>
        <v>-4795708</v>
      </c>
      <c r="H5" s="2">
        <f>H62</f>
        <v>-4800741</v>
      </c>
      <c r="I5" s="2">
        <f>I62</f>
        <v>-4836489</v>
      </c>
      <c r="M5" s="93">
        <v>9340</v>
      </c>
      <c r="N5" s="93">
        <v>6220</v>
      </c>
      <c r="O5" s="93"/>
      <c r="P5" s="1" t="s">
        <v>811</v>
      </c>
      <c r="Q5" s="12" t="e">
        <f>SUMIFS(#REF!,$M:$M,"VEDTATT",$A:$A,$Q$1)</f>
        <v>#REF!</v>
      </c>
      <c r="R5" s="12" t="e">
        <f>SUMIFS(#REF!,$M:$M,"VEDTATT",$A:$A,$Q$1)</f>
        <v>#REF!</v>
      </c>
      <c r="S5" s="12">
        <f>SUMIFS(F:F,$M:$M,"VEDTATT",$A:$A,$Q$1)</f>
        <v>0</v>
      </c>
      <c r="T5" s="12">
        <f>SUMIFS(G:G,$M:$M,"VEDTATT",$A:$A,$Q$1)</f>
        <v>0</v>
      </c>
      <c r="U5" s="12" t="e">
        <f>SUMIFS(#REF!,$M:$M,"VEDTATT",$A:$A,$U$1)</f>
        <v>#REF!</v>
      </c>
      <c r="V5" s="12" t="e">
        <f>SUMIFS(#REF!,$M:$M,"VEDTATT",$A:$A,$U$1)</f>
        <v>#REF!</v>
      </c>
      <c r="W5" s="12">
        <f>SUMIFS(F:F,$M:$M,"VEDTATT",$A:$A,$U$1)</f>
        <v>0</v>
      </c>
      <c r="X5" s="12">
        <f>SUMIFS(G:G,$M:$M,"VEDTATT",$A:$A,$U$1)</f>
        <v>0</v>
      </c>
      <c r="Y5" s="12" t="e">
        <f>SUMIFS(#REF!,$M:$M,"VEDTATT",$A:$A,$Y$1)</f>
        <v>#REF!</v>
      </c>
      <c r="Z5" s="12" t="e">
        <f>SUMIFS(#REF!,$M:$M,"VEDTATT",$A:$A,$Y$1)</f>
        <v>#REF!</v>
      </c>
      <c r="AA5" s="12">
        <f>SUMIFS(F:F,$M:$M,"VEDTATT",$A:$A,$Y$1)</f>
        <v>0</v>
      </c>
      <c r="AB5" s="12">
        <f>SUMIFS(G:G,$M:$M,"VEDTATT",$A:$A,$Y$1)</f>
        <v>0</v>
      </c>
      <c r="AC5" s="12" t="e">
        <f>SUMIFS(#REF!,$M:$M,"VEDTATT",$A:$A,$AC$1)</f>
        <v>#REF!</v>
      </c>
      <c r="AD5" s="12" t="e">
        <f>SUMIFS(#REF!,$M:$M,"VEDTATT",$A:$A,$AC$1)</f>
        <v>#REF!</v>
      </c>
      <c r="AE5" s="12">
        <f>SUMIFS(F:F,$M:$M,"VEDTATT",$A:$A,$AC$1)</f>
        <v>0</v>
      </c>
      <c r="AF5" s="12">
        <f>SUMIFS(G:G,$M:$M,"VEDTATT",$A:$A,$AC$1)</f>
        <v>0</v>
      </c>
      <c r="AG5" s="12" t="e">
        <f>SUMIFS(#REF!,$M:$M,"VEDTATT",$A:$A,$AG$1)</f>
        <v>#REF!</v>
      </c>
      <c r="AH5" s="12" t="e">
        <f>SUMIFS(#REF!,$M:$M,"VEDTATT",$A:$A,$AG$1)</f>
        <v>#REF!</v>
      </c>
      <c r="AI5" s="12">
        <f>SUMIFS(F:F,$M:$M,"VEDTATT",$A:$A,$AG$1)</f>
        <v>0</v>
      </c>
      <c r="AJ5" s="12">
        <f>SUMIFS(G:G,$M:$M,"VEDTATT",$A:$A,$AG$1)</f>
        <v>0</v>
      </c>
      <c r="AK5" s="12" t="e">
        <f>SUMIFS(#REF!,$M:$M,"VEDTATT",$A:$A,$AK$1)</f>
        <v>#REF!</v>
      </c>
      <c r="AL5" s="12" t="e">
        <f>SUMIFS(#REF!,$M:$M,"VEDTATT",$A:$A,$AK$1)</f>
        <v>#REF!</v>
      </c>
      <c r="AM5" s="12">
        <f>SUMIFS(F:F,$M:$M,"VEDTATT",$A:$A,$AK$1)</f>
        <v>0</v>
      </c>
      <c r="AN5" s="12">
        <f>SUMIFS(G:G,$M:$M,"VEDTATT",$A:$A,$AK$1)</f>
        <v>-800</v>
      </c>
      <c r="AO5" s="12" t="e">
        <f>SUMIFS(#REF!,$M:$M,"VEDTATT",$A:$A,$AO$1)</f>
        <v>#REF!</v>
      </c>
      <c r="AP5" s="12" t="e">
        <f>SUMIFS(#REF!,$M:$M,"VEDTATT",$A:$A,$AO$1)</f>
        <v>#REF!</v>
      </c>
      <c r="AQ5" s="12">
        <f>SUMIFS(F:F,$M:$M,"VEDTATT",$A:$A,$AO$1)</f>
        <v>0</v>
      </c>
      <c r="AR5" s="12">
        <f>SUMIFS(G:G,$M:$M,"VEDTATT",$A:$A,$AO$1)</f>
        <v>0</v>
      </c>
      <c r="AS5" s="12" t="e">
        <f>SUMIFS(#REF!,$M:$M,"VEDTATT",$A:$A,$AS$1)</f>
        <v>#REF!</v>
      </c>
      <c r="AT5" s="12" t="e">
        <f>SUMIFS(#REF!,$M:$M,"VEDTATT",$A:$A,$AS$1)</f>
        <v>#REF!</v>
      </c>
      <c r="AU5" s="12">
        <f>SUMIFS(F:F,$M:$M,"VEDTATT",$A:$A,$AS$1)</f>
        <v>-34135</v>
      </c>
      <c r="AV5" s="12">
        <f>SUMIFS(G:G,$M:$M,"VEDTATT",$A:$A,$AS$1)</f>
        <v>-46500</v>
      </c>
    </row>
    <row r="6" spans="1:48" s="38" customFormat="1" x14ac:dyDescent="0.25">
      <c r="A6" s="307" t="s">
        <v>2</v>
      </c>
      <c r="B6" s="308"/>
      <c r="C6" s="309"/>
      <c r="D6" s="310"/>
      <c r="E6" s="310"/>
      <c r="F6" s="311">
        <f>SUM(F4:F5)</f>
        <v>-230258</v>
      </c>
      <c r="G6" s="311">
        <f>SUM(G4:G5)</f>
        <v>-249345</v>
      </c>
      <c r="H6" s="311">
        <f>SUM(H4:H5)</f>
        <v>-254378</v>
      </c>
      <c r="I6" s="311">
        <f>SUM(I4:I5)</f>
        <v>-290126</v>
      </c>
      <c r="M6" s="93"/>
      <c r="N6" s="93"/>
      <c r="O6" s="93"/>
      <c r="P6" s="29" t="s">
        <v>812</v>
      </c>
      <c r="Q6" s="12" t="e">
        <f>SUMIFS(#REF!,$N:$N,$P$6,$A:$A,$Q$1)</f>
        <v>#REF!</v>
      </c>
      <c r="R6" s="12" t="e">
        <f>SUMIFS(#REF!,$N:$N,$P$6,$A:$A,$Q$1)</f>
        <v>#REF!</v>
      </c>
      <c r="S6" s="12">
        <f>SUMIFS(F:F,$N:$N,$P$6,$A:$A,$Q$1)</f>
        <v>0</v>
      </c>
      <c r="T6" s="12">
        <f>SUMIFS(G:G,$N:$N,$P$6,$A:$A,$Q$1)</f>
        <v>0</v>
      </c>
      <c r="U6" s="12" t="e">
        <f>SUMIFS(#REF!,$N:$N,$P$6,$A:$A,$U$1)</f>
        <v>#REF!</v>
      </c>
      <c r="V6" s="12" t="e">
        <f>SUMIFS(#REF!,$N:$N,$P$6,$A:$A,$U$1)</f>
        <v>#REF!</v>
      </c>
      <c r="W6" s="12">
        <f>SUMIFS(F:F,$N:$N,$P$6,$A:$A,$U$1)</f>
        <v>0</v>
      </c>
      <c r="X6" s="12">
        <f>SUMIFS(G:G,$N:$N,$P$6,$A:$A,$U$1)</f>
        <v>0</v>
      </c>
      <c r="Y6" s="12" t="e">
        <f>SUMIFS(#REF!,$N:$N,$P$6,$A:$A,$Y$1)</f>
        <v>#REF!</v>
      </c>
      <c r="Z6" s="12" t="e">
        <f>SUMIFS(#REF!,$N:$N,$P$6,$A:$A,$Y$1)</f>
        <v>#REF!</v>
      </c>
      <c r="AA6" s="12">
        <f>SUMIFS(F:F,$N:$N,$P$6,$A:$A,$Y$1)</f>
        <v>0</v>
      </c>
      <c r="AB6" s="12">
        <f>SUMIFS(G:G,$N:$N,$P$6,$A:$A,$Y$1)</f>
        <v>0</v>
      </c>
      <c r="AC6" s="12" t="e">
        <f>SUMIFS(#REF!,$N:$N,$P$6,$A:$A,$AC$1)</f>
        <v>#REF!</v>
      </c>
      <c r="AD6" s="12" t="e">
        <f>SUMIFS(#REF!,$N:$N,$P$6,$A:$A,$AC$1)</f>
        <v>#REF!</v>
      </c>
      <c r="AE6" s="12">
        <f>SUMIFS(F:F,$N:$N,$P$6,$A:$A,$AC$1)</f>
        <v>0</v>
      </c>
      <c r="AF6" s="12">
        <f>SUMIFS(G:G,$N:$N,$P$6,$A:$A,$AC$1)</f>
        <v>0</v>
      </c>
      <c r="AG6" s="12" t="e">
        <f>SUMIFS(#REF!,$N:$N,$P$6,$A:$A,$AG$1)</f>
        <v>#REF!</v>
      </c>
      <c r="AH6" s="12" t="e">
        <f>SUMIFS(#REF!,$N:$N,$P$6,$A:$A,$AG$1)</f>
        <v>#REF!</v>
      </c>
      <c r="AI6" s="12">
        <f>SUMIFS(F:F,$N:$N,$P$6,$A:$A,$AG$1)</f>
        <v>0</v>
      </c>
      <c r="AJ6" s="12">
        <f>SUMIFS(G:G,$N:$N,$P$6,$A:$A,$AG$1)</f>
        <v>0</v>
      </c>
      <c r="AK6" s="12" t="e">
        <f>SUMIFS(#REF!,$N:$N,$P$6,$A:$A,$AK$1)</f>
        <v>#REF!</v>
      </c>
      <c r="AL6" s="12" t="e">
        <f>SUMIFS(#REF!,$N:$N,$P$6,$A:$A,$AK$1)</f>
        <v>#REF!</v>
      </c>
      <c r="AM6" s="12">
        <f>SUMIFS(F:F,$N:$N,$P$6,$A:$A,$AK$1)</f>
        <v>0</v>
      </c>
      <c r="AN6" s="12">
        <f>SUMIFS(G:G,$N:$N,$P$6,$A:$A,$AK$1)</f>
        <v>0</v>
      </c>
      <c r="AO6" s="12" t="e">
        <f>SUMIFS(#REF!,$N:$N,$P$6,$A:$A,$AO$1)</f>
        <v>#REF!</v>
      </c>
      <c r="AP6" s="12" t="e">
        <f>SUMIFS(#REF!,$N:$N,$P$6,$A:$A,$AO$1)</f>
        <v>#REF!</v>
      </c>
      <c r="AQ6" s="12">
        <f>SUMIFS(F:F,$N:$N,$P$6,$A:$A,$AO$1)</f>
        <v>-50</v>
      </c>
      <c r="AR6" s="12">
        <f>SUMIFS(G:G,$N:$N,$P$6,$A:$A,$AO$1)</f>
        <v>-50</v>
      </c>
      <c r="AS6" s="12" t="e">
        <f>SUMIFS(#REF!,$N:$N,$P$6,$A:$A,$AS$1)</f>
        <v>#REF!</v>
      </c>
      <c r="AT6" s="12" t="e">
        <f>SUMIFS(#REF!,$N:$N,$P$6,$A:$A,$AS$1)</f>
        <v>#REF!</v>
      </c>
      <c r="AU6" s="12">
        <f>SUMIFS(F:F,$N:$N,$P$6,$A:$A,$AS$1)</f>
        <v>133317</v>
      </c>
      <c r="AV6" s="12">
        <f>SUMIFS(G:G,$N:$N,$P$6,$A:$A,$AS$1)</f>
        <v>135497</v>
      </c>
    </row>
    <row r="7" spans="1:48" s="38" customFormat="1" x14ac:dyDescent="0.25">
      <c r="A7" s="312"/>
      <c r="B7" s="302"/>
      <c r="C7" s="302"/>
      <c r="D7" s="304"/>
      <c r="E7" s="304"/>
      <c r="F7" s="313"/>
      <c r="G7" s="313"/>
      <c r="H7" s="313"/>
      <c r="I7" s="313"/>
      <c r="M7" s="93"/>
      <c r="N7" s="93"/>
      <c r="O7" s="93"/>
      <c r="P7" s="29" t="s">
        <v>813</v>
      </c>
      <c r="Q7" s="12" t="e">
        <f>SUMIFS(#REF!,$O:$O,$P$7,$A:$A,$Q$1)</f>
        <v>#REF!</v>
      </c>
      <c r="R7" s="12" t="e">
        <f>SUMIFS(#REF!,$O:$O,$P$7,$A:$A,$Q$1)</f>
        <v>#REF!</v>
      </c>
      <c r="S7" s="12">
        <f>SUMIFS(F:F,$O:$O,$P$7,$A:$A,$Q$1)</f>
        <v>0</v>
      </c>
      <c r="T7" s="12">
        <f>SUMIFS(G:G,$O:$O,$P$7,$A:$A,$Q$1)</f>
        <v>0</v>
      </c>
      <c r="U7" s="12" t="e">
        <f>SUMIFS(#REF!,$O:$O,$P$7,$A:$A,$U$1)</f>
        <v>#REF!</v>
      </c>
      <c r="V7" s="12" t="e">
        <f>SUMIFS(#REF!,$O:$O,$P$7,$A:$A,$U$1)</f>
        <v>#REF!</v>
      </c>
      <c r="W7" s="12">
        <f>SUMIFS(F:F,$O:$O,$P$7,$A:$A,$U$1)</f>
        <v>0</v>
      </c>
      <c r="X7" s="12">
        <f>SUMIFS(G:G,$O:$O,$P$7,$A:$A,$U$1)</f>
        <v>0</v>
      </c>
      <c r="Y7" s="12" t="e">
        <f>SUMIFS(#REF!,$O:$O,$P$7,$A:$A,$Y$1)</f>
        <v>#REF!</v>
      </c>
      <c r="Z7" s="12" t="e">
        <f>SUMIFS(#REF!,$O:$O,$P$7,$A:$A,$Y$1)</f>
        <v>#REF!</v>
      </c>
      <c r="AA7" s="12">
        <f>SUMIFS(F:F,$O:$O,$P$7,$A:$A,$Y$1)</f>
        <v>0</v>
      </c>
      <c r="AB7" s="12">
        <f>SUMIFS(G:G,$O:$O,$P$7,$A:$A,$Y$1)</f>
        <v>0</v>
      </c>
      <c r="AC7" s="12" t="e">
        <f>SUMIFS(#REF!,$O:$O,$P$7,$A:$A,$AC$1)</f>
        <v>#REF!</v>
      </c>
      <c r="AD7" s="12" t="e">
        <f>SUMIFS(#REF!,$O:$O,$P$7,$A:$A,$AC$1)</f>
        <v>#REF!</v>
      </c>
      <c r="AE7" s="12">
        <f>SUMIFS(F:F,$O:$O,$P$7,$A:$A,$AC$1)</f>
        <v>0</v>
      </c>
      <c r="AF7" s="12">
        <f>SUMIFS(G:G,$O:$O,$P$7,$A:$A,$AC$1)</f>
        <v>0</v>
      </c>
      <c r="AG7" s="12" t="e">
        <f>SUMIFS(#REF!,$O:$O,$P$7,$A:$A,$AG$1)</f>
        <v>#REF!</v>
      </c>
      <c r="AH7" s="12" t="e">
        <f>SUMIFS(#REF!,$O:$O,$P$7,$A:$A,$AG$1)</f>
        <v>#REF!</v>
      </c>
      <c r="AI7" s="12">
        <f>SUMIFS(F:F,$O:$O,$P$7,$A:$A,$AG$1)</f>
        <v>0</v>
      </c>
      <c r="AJ7" s="12">
        <f>SUMIFS(G:G,$O:$O,$P$7,$A:$A,$AG$1)</f>
        <v>0</v>
      </c>
      <c r="AK7" s="12" t="e">
        <f>SUMIFS(#REF!,$O:$O,$P$7,$A:$A,$AK$1)</f>
        <v>#REF!</v>
      </c>
      <c r="AL7" s="12" t="e">
        <f>SUMIFS(#REF!,$O:$O,$P$7,$A:$A,$AK$1)</f>
        <v>#REF!</v>
      </c>
      <c r="AM7" s="12">
        <f>SUMIFS(F:F,$O:$O,$P$7,$A:$A,$AK$1)</f>
        <v>0</v>
      </c>
      <c r="AN7" s="12">
        <f>SUMIFS(G:G,$O:$O,$P$7,$A:$A,$AK$1)</f>
        <v>0</v>
      </c>
      <c r="AO7" s="12" t="e">
        <f>SUMIFS(#REF!,$O:$O,$P$7,$A:$A,$AO$1)</f>
        <v>#REF!</v>
      </c>
      <c r="AP7" s="12" t="e">
        <f>SUMIFS(#REF!,$O:$O,$P$7,$A:$A,$AO$1)</f>
        <v>#REF!</v>
      </c>
      <c r="AQ7" s="12">
        <f>SUMIFS(F:F,$O:$O,$P$7,$A:$A,$AO$1)</f>
        <v>0</v>
      </c>
      <c r="AR7" s="12">
        <f>SUMIFS(G:G,$O:$O,$P$7,$A:$A,$AO$1)</f>
        <v>0</v>
      </c>
      <c r="AS7" s="12" t="e">
        <f>SUMIFS(#REF!,$O:$O,$P$7,$A:$A,$AS$1)</f>
        <v>#REF!</v>
      </c>
      <c r="AT7" s="12" t="e">
        <f>SUMIFS(#REF!,$O:$O,$P$7,$A:$A,$AS$1)</f>
        <v>#REF!</v>
      </c>
      <c r="AU7" s="12">
        <f>SUMIFS(F:F,$O:$O,$P$7,$A:$A,$AS$1)</f>
        <v>0</v>
      </c>
      <c r="AV7" s="12">
        <f>SUMIFS(G:G,$O:$O,$P$7,$A:$A,$AS$1)</f>
        <v>0</v>
      </c>
    </row>
    <row r="8" spans="1:48" s="38" customFormat="1" x14ac:dyDescent="0.25">
      <c r="A8" s="314" t="s">
        <v>637</v>
      </c>
      <c r="B8" s="207"/>
      <c r="C8" s="207"/>
      <c r="D8" s="315"/>
      <c r="E8" s="315"/>
      <c r="F8" s="39">
        <f>SUMIF($D:$D,"ØP 21-24",F:F)</f>
        <v>-14891</v>
      </c>
      <c r="G8" s="39">
        <f>SUMIF($D:$D,"ØP 21-24",G:G)</f>
        <v>-6136</v>
      </c>
      <c r="H8" s="39">
        <f>SUMIF($D:$D,"ØP 21-24",H:H)</f>
        <v>5191.5833333333321</v>
      </c>
      <c r="I8" s="39">
        <f>SUMIF($D:$D,"ØP 21-24",I:I)</f>
        <v>29860</v>
      </c>
      <c r="M8" s="93"/>
      <c r="N8" s="51"/>
      <c r="O8" s="51"/>
      <c r="P8" s="28" t="s">
        <v>305</v>
      </c>
      <c r="Q8" s="233" t="e">
        <f t="shared" ref="Q8:AV8" si="0">SUBTOTAL(9,Q4:Q7)</f>
        <v>#REF!</v>
      </c>
      <c r="R8" s="233" t="e">
        <f t="shared" si="0"/>
        <v>#REF!</v>
      </c>
      <c r="S8" s="233">
        <f t="shared" si="0"/>
        <v>0</v>
      </c>
      <c r="T8" s="233">
        <f t="shared" si="0"/>
        <v>0</v>
      </c>
      <c r="U8" s="233" t="e">
        <f t="shared" si="0"/>
        <v>#REF!</v>
      </c>
      <c r="V8" s="233" t="e">
        <f t="shared" si="0"/>
        <v>#REF!</v>
      </c>
      <c r="W8" s="233">
        <f t="shared" si="0"/>
        <v>0</v>
      </c>
      <c r="X8" s="233">
        <f t="shared" si="0"/>
        <v>0</v>
      </c>
      <c r="Y8" s="233" t="e">
        <f t="shared" si="0"/>
        <v>#REF!</v>
      </c>
      <c r="Z8" s="233" t="e">
        <f t="shared" si="0"/>
        <v>#REF!</v>
      </c>
      <c r="AA8" s="233">
        <f t="shared" si="0"/>
        <v>0</v>
      </c>
      <c r="AB8" s="233">
        <f t="shared" si="0"/>
        <v>0</v>
      </c>
      <c r="AC8" s="233" t="e">
        <f t="shared" si="0"/>
        <v>#REF!</v>
      </c>
      <c r="AD8" s="233" t="e">
        <f t="shared" si="0"/>
        <v>#REF!</v>
      </c>
      <c r="AE8" s="233">
        <f t="shared" si="0"/>
        <v>0</v>
      </c>
      <c r="AF8" s="233">
        <f t="shared" si="0"/>
        <v>0</v>
      </c>
      <c r="AG8" s="233" t="e">
        <f t="shared" si="0"/>
        <v>#REF!</v>
      </c>
      <c r="AH8" s="233" t="e">
        <f t="shared" si="0"/>
        <v>#REF!</v>
      </c>
      <c r="AI8" s="233">
        <f t="shared" si="0"/>
        <v>0</v>
      </c>
      <c r="AJ8" s="233">
        <f t="shared" si="0"/>
        <v>0</v>
      </c>
      <c r="AK8" s="233" t="e">
        <f t="shared" si="0"/>
        <v>#REF!</v>
      </c>
      <c r="AL8" s="233" t="e">
        <f t="shared" si="0"/>
        <v>#REF!</v>
      </c>
      <c r="AM8" s="233">
        <f t="shared" si="0"/>
        <v>0</v>
      </c>
      <c r="AN8" s="233">
        <f t="shared" si="0"/>
        <v>-800</v>
      </c>
      <c r="AO8" s="233" t="e">
        <f t="shared" si="0"/>
        <v>#REF!</v>
      </c>
      <c r="AP8" s="233" t="e">
        <f t="shared" si="0"/>
        <v>#REF!</v>
      </c>
      <c r="AQ8" s="233">
        <f t="shared" si="0"/>
        <v>-50</v>
      </c>
      <c r="AR8" s="233">
        <f t="shared" si="0"/>
        <v>-50</v>
      </c>
      <c r="AS8" s="233" t="e">
        <f t="shared" si="0"/>
        <v>#REF!</v>
      </c>
      <c r="AT8" s="233" t="e">
        <f t="shared" si="0"/>
        <v>#REF!</v>
      </c>
      <c r="AU8" s="233">
        <f t="shared" si="0"/>
        <v>99182</v>
      </c>
      <c r="AV8" s="233">
        <f t="shared" si="0"/>
        <v>88997</v>
      </c>
    </row>
    <row r="9" spans="1:48" s="38" customFormat="1" x14ac:dyDescent="0.25">
      <c r="A9" s="316" t="s">
        <v>4</v>
      </c>
      <c r="B9" s="317"/>
      <c r="C9" s="317"/>
      <c r="D9" s="318"/>
      <c r="E9" s="318"/>
      <c r="F9" s="267">
        <f>SUMIF($D:$D,"ØP 21-24 REKALK",F:F)</f>
        <v>35196</v>
      </c>
      <c r="G9" s="267">
        <f>SUMIF($D:$D,"ØP 21-24 REKALK",G:G)</f>
        <v>34638</v>
      </c>
      <c r="H9" s="267">
        <f>SUMIF($D:$D,"ØP 21-24 REKALK",H:H)</f>
        <v>35983</v>
      </c>
      <c r="I9" s="267">
        <f>SUMIF($D:$D,"ØP 21-24 REKALK",I:I)</f>
        <v>39473</v>
      </c>
      <c r="M9" s="93"/>
      <c r="N9" s="51"/>
      <c r="O9" s="51"/>
      <c r="P9" s="28"/>
    </row>
    <row r="10" spans="1:48" s="38" customFormat="1" x14ac:dyDescent="0.25">
      <c r="A10" s="319" t="s">
        <v>5</v>
      </c>
      <c r="B10" s="320"/>
      <c r="C10" s="320"/>
      <c r="D10" s="321"/>
      <c r="E10" s="321"/>
      <c r="F10" s="322">
        <f>F6+F8+F9</f>
        <v>-209953</v>
      </c>
      <c r="G10" s="322">
        <f>G6+G8+G9</f>
        <v>-220843</v>
      </c>
      <c r="H10" s="322">
        <f>H6+H8+H9</f>
        <v>-213203.41666666666</v>
      </c>
      <c r="I10" s="322">
        <f>I6+I8+I9</f>
        <v>-220793</v>
      </c>
      <c r="M10" s="93"/>
      <c r="N10" s="51"/>
      <c r="O10" s="51"/>
      <c r="P10" s="28"/>
    </row>
    <row r="11" spans="1:48" s="28" customFormat="1" x14ac:dyDescent="0.25">
      <c r="A11" s="38"/>
      <c r="B11" s="295"/>
      <c r="C11" s="295"/>
      <c r="D11" s="93"/>
      <c r="E11" s="93"/>
      <c r="F11" s="2"/>
      <c r="G11" s="2"/>
      <c r="H11" s="2"/>
      <c r="I11" s="2"/>
      <c r="J11" s="38"/>
      <c r="K11" s="38"/>
      <c r="L11" s="38"/>
      <c r="M11" s="93"/>
      <c r="N11" s="51"/>
      <c r="O11" s="51"/>
      <c r="Q11" s="95"/>
      <c r="R11" s="95"/>
      <c r="S11" s="95"/>
      <c r="T11" s="95"/>
    </row>
    <row r="12" spans="1:48" s="28" customFormat="1" x14ac:dyDescent="0.25">
      <c r="A12" s="312" t="s">
        <v>638</v>
      </c>
      <c r="B12" s="295"/>
      <c r="C12" s="295"/>
      <c r="D12" s="93"/>
      <c r="E12" s="93"/>
      <c r="F12" s="2">
        <f>SUMIFS(F:F,$D:$D,"NYTT",$E:$E,"INNSP")</f>
        <v>-800</v>
      </c>
      <c r="G12" s="2">
        <f>SUMIFS(G:G,$D:$D,"NYTT",$E:$E,"INNSP")</f>
        <v>0</v>
      </c>
      <c r="H12" s="2">
        <f>SUMIFS(H:H,$D:$D,"NYTT",$E:$E,"INNSP")</f>
        <v>-1300</v>
      </c>
      <c r="I12" s="2">
        <f>SUMIFS(I:I,$D:$D,"NYTT",$E:$E,"INNSP")</f>
        <v>-1300</v>
      </c>
      <c r="J12" s="38"/>
      <c r="K12" s="38"/>
      <c r="L12" s="38"/>
      <c r="M12" s="93"/>
      <c r="N12" s="51"/>
      <c r="O12" s="51"/>
      <c r="Q12" s="95"/>
      <c r="R12" s="95"/>
      <c r="S12" s="95"/>
      <c r="T12" s="95"/>
    </row>
    <row r="13" spans="1:48" s="38" customFormat="1" x14ac:dyDescent="0.25">
      <c r="A13" s="316" t="s">
        <v>639</v>
      </c>
      <c r="B13" s="317"/>
      <c r="C13" s="317"/>
      <c r="D13" s="318"/>
      <c r="E13" s="318"/>
      <c r="F13" s="267">
        <f>SUMIFS(F:F,$D:$D,"NYTT",$E:$E,"MÅ")</f>
        <v>210753</v>
      </c>
      <c r="G13" s="267">
        <f>SUMIFS(G:G,$D:$D,"NYTT",$E:$E,"MÅ")</f>
        <v>220843</v>
      </c>
      <c r="H13" s="267">
        <f>SUMIFS(H:H,$D:$D,"NYTT",$E:$E,"MÅ")</f>
        <v>214503</v>
      </c>
      <c r="I13" s="267">
        <f>SUMIFS(I:I,$D:$D,"NYTT",$E:$E,"MÅ")</f>
        <v>222093</v>
      </c>
      <c r="M13" s="93"/>
      <c r="N13" s="51"/>
      <c r="O13" s="51"/>
      <c r="P13" s="29" t="s">
        <v>810</v>
      </c>
      <c r="Q13" s="95" t="e">
        <f t="shared" ref="Q13:T17" si="1">Q4+U4+Y4+AC4+AG4+AK4+AO4+AS4</f>
        <v>#REF!</v>
      </c>
      <c r="R13" s="95" t="e">
        <f t="shared" si="1"/>
        <v>#REF!</v>
      </c>
      <c r="S13" s="95">
        <f t="shared" si="1"/>
        <v>0</v>
      </c>
      <c r="T13" s="95">
        <f t="shared" si="1"/>
        <v>0</v>
      </c>
    </row>
    <row r="14" spans="1:48" s="38" customFormat="1" x14ac:dyDescent="0.25">
      <c r="A14" s="307" t="s">
        <v>8</v>
      </c>
      <c r="B14" s="309"/>
      <c r="C14" s="309"/>
      <c r="D14" s="323"/>
      <c r="E14" s="323"/>
      <c r="F14" s="324">
        <f>F6+F8+F9+F12+F13</f>
        <v>0</v>
      </c>
      <c r="G14" s="324">
        <f>G6+G8+G9+G12+G13</f>
        <v>0</v>
      </c>
      <c r="H14" s="324">
        <f>H6+H8+H9+H12+H13</f>
        <v>-0.41666666665696539</v>
      </c>
      <c r="I14" s="324">
        <f>I6+I8+I9+I12+I13</f>
        <v>0</v>
      </c>
      <c r="M14" s="93"/>
      <c r="N14" s="51"/>
      <c r="O14" s="51"/>
      <c r="P14" s="1" t="s">
        <v>811</v>
      </c>
      <c r="Q14" s="95" t="e">
        <f t="shared" si="1"/>
        <v>#REF!</v>
      </c>
      <c r="R14" s="95" t="e">
        <f t="shared" si="1"/>
        <v>#REF!</v>
      </c>
      <c r="S14" s="95">
        <f t="shared" si="1"/>
        <v>-34135</v>
      </c>
      <c r="T14" s="95">
        <f t="shared" si="1"/>
        <v>-47300</v>
      </c>
    </row>
    <row r="15" spans="1:48" s="38" customFormat="1" x14ac:dyDescent="0.25">
      <c r="A15" s="312"/>
      <c r="B15" s="302"/>
      <c r="C15" s="302"/>
      <c r="D15" s="304"/>
      <c r="E15" s="304"/>
      <c r="F15" s="491"/>
      <c r="G15" s="313"/>
      <c r="H15" s="313"/>
      <c r="I15" s="313"/>
      <c r="M15" s="93"/>
      <c r="N15" s="51"/>
      <c r="O15" s="51"/>
      <c r="P15" s="29" t="s">
        <v>812</v>
      </c>
      <c r="Q15" s="95" t="e">
        <f t="shared" si="1"/>
        <v>#REF!</v>
      </c>
      <c r="R15" s="95" t="e">
        <f t="shared" si="1"/>
        <v>#REF!</v>
      </c>
      <c r="S15" s="95">
        <f t="shared" si="1"/>
        <v>133267</v>
      </c>
      <c r="T15" s="95">
        <f t="shared" si="1"/>
        <v>135447</v>
      </c>
    </row>
    <row r="16" spans="1:48" s="38" customFormat="1" x14ac:dyDescent="0.25">
      <c r="A16" s="314" t="s">
        <v>640</v>
      </c>
      <c r="B16" s="207"/>
      <c r="C16" s="207"/>
      <c r="D16" s="315"/>
      <c r="E16" s="315"/>
      <c r="F16" s="39">
        <f>SUMIF($D:$D,"NYTT",F:F)-F17-F13-F12</f>
        <v>0</v>
      </c>
      <c r="G16" s="39">
        <f>SUMIF($D:$D,"NYTT",G:G)-G17-G13-G12</f>
        <v>0</v>
      </c>
      <c r="H16" s="39">
        <f>SUMIF($D:$D,"NYTT",H:H)-H17-H13-H12</f>
        <v>0</v>
      </c>
      <c r="I16" s="39">
        <f>SUMIF($D:$D,"NYTT",I:I)-I17-I13-I12</f>
        <v>0</v>
      </c>
      <c r="M16" s="93"/>
      <c r="N16" s="51"/>
      <c r="O16" s="51"/>
      <c r="P16" s="29" t="s">
        <v>813</v>
      </c>
      <c r="Q16" s="95" t="e">
        <f t="shared" si="1"/>
        <v>#REF!</v>
      </c>
      <c r="R16" s="95" t="e">
        <f t="shared" si="1"/>
        <v>#REF!</v>
      </c>
      <c r="S16" s="95">
        <f t="shared" si="1"/>
        <v>0</v>
      </c>
      <c r="T16" s="95">
        <f t="shared" si="1"/>
        <v>0</v>
      </c>
    </row>
    <row r="17" spans="1:49" s="38" customFormat="1" x14ac:dyDescent="0.25">
      <c r="A17" s="325" t="s">
        <v>641</v>
      </c>
      <c r="B17" s="207"/>
      <c r="C17" s="326"/>
      <c r="D17" s="315"/>
      <c r="E17" s="315"/>
      <c r="F17" s="327">
        <f>SUMIFS(F:F,$D:$D,"NYTT",$E:$E,"IKKE PRI")</f>
        <v>1700</v>
      </c>
      <c r="G17" s="327">
        <f>SUMIFS(G:G,$D:$D,"NYTT",$E:$E,"IKKE PRI")</f>
        <v>1700</v>
      </c>
      <c r="H17" s="327">
        <f>SUMIFS(H:H,$D:$D,"NYTT",$E:$E,"IKKE PRI")</f>
        <v>1700</v>
      </c>
      <c r="I17" s="327">
        <f>SUMIFS(I:I,$D:$D,"NYTT",$E:$E,"IKKE PRI")</f>
        <v>1700</v>
      </c>
      <c r="M17" s="93"/>
      <c r="N17" s="51"/>
      <c r="O17" s="51"/>
      <c r="P17" s="28" t="s">
        <v>305</v>
      </c>
      <c r="Q17" s="95" t="e">
        <f t="shared" si="1"/>
        <v>#REF!</v>
      </c>
      <c r="R17" s="95" t="e">
        <f t="shared" si="1"/>
        <v>#REF!</v>
      </c>
      <c r="S17" s="95">
        <f t="shared" si="1"/>
        <v>99132</v>
      </c>
      <c r="T17" s="95">
        <f t="shared" si="1"/>
        <v>88147</v>
      </c>
    </row>
    <row r="18" spans="1:49" s="38" customFormat="1" x14ac:dyDescent="0.25">
      <c r="A18" s="325"/>
      <c r="B18" s="207"/>
      <c r="C18" s="326"/>
      <c r="D18" s="315"/>
      <c r="E18" s="315"/>
      <c r="F18" s="292">
        <f>(F8+F9+F13+F16+F17+F12)-SUMIF($B:$B,"X",F:F)</f>
        <v>0</v>
      </c>
      <c r="G18" s="292">
        <f>(G8+G9+G13+G16+G17+G12)-SUMIF($B:$B,"X",G:G)</f>
        <v>0</v>
      </c>
      <c r="H18" s="292">
        <f>(H8+H9+H13+H16+H17+H12)-SUMIF($B:$B,"X",H:H)</f>
        <v>0</v>
      </c>
      <c r="I18" s="292">
        <f>(I8+I9+I13+I16+I17+I12)-SUMIF($B:$B,"X",I:I)</f>
        <v>0</v>
      </c>
      <c r="M18" s="93"/>
      <c r="N18" s="51"/>
      <c r="O18" s="51"/>
      <c r="P18" s="28"/>
    </row>
    <row r="19" spans="1:49" s="38" customFormat="1" x14ac:dyDescent="0.25">
      <c r="A19" s="328"/>
      <c r="B19" s="329"/>
      <c r="C19" s="298"/>
      <c r="D19" s="330"/>
      <c r="E19" s="330"/>
      <c r="F19" s="331"/>
      <c r="G19" s="331"/>
      <c r="H19" s="331"/>
      <c r="I19" s="331"/>
      <c r="M19" s="93"/>
      <c r="N19" s="51"/>
      <c r="O19" s="51"/>
      <c r="P19" s="28"/>
    </row>
    <row r="20" spans="1:49" s="38" customFormat="1" x14ac:dyDescent="0.25">
      <c r="A20" s="332"/>
      <c r="B20" s="295"/>
      <c r="C20" s="333"/>
      <c r="D20" s="93"/>
      <c r="E20" s="93"/>
      <c r="F20" s="334">
        <f>F8+F9+F13+F12</f>
        <v>230258</v>
      </c>
      <c r="G20" s="334">
        <f>G8+G9+G13+G12</f>
        <v>249345</v>
      </c>
      <c r="H20" s="334">
        <f>H8+H9+H13+H12</f>
        <v>254377.58333333331</v>
      </c>
      <c r="I20" s="334">
        <f>I8+I9+I13+I12</f>
        <v>290126</v>
      </c>
      <c r="M20" s="93"/>
      <c r="N20" s="51"/>
      <c r="O20" s="51"/>
      <c r="P20" s="28"/>
    </row>
    <row r="21" spans="1:49" s="38" customFormat="1" x14ac:dyDescent="0.25">
      <c r="A21" s="332"/>
      <c r="B21" s="295"/>
      <c r="C21" s="333"/>
      <c r="D21" s="93"/>
      <c r="E21" s="93"/>
      <c r="F21" s="334"/>
      <c r="G21" s="334"/>
      <c r="H21" s="334"/>
      <c r="I21" s="334"/>
      <c r="M21" s="93"/>
      <c r="N21" s="51"/>
      <c r="O21" s="51"/>
      <c r="P21" s="28"/>
    </row>
    <row r="22" spans="1:49" s="38" customFormat="1" hidden="1" x14ac:dyDescent="0.25">
      <c r="A22" s="192" t="s">
        <v>12</v>
      </c>
      <c r="B22" s="335"/>
      <c r="C22" s="236"/>
      <c r="D22" s="237"/>
      <c r="E22" s="237"/>
      <c r="F22" s="193"/>
      <c r="G22" s="193"/>
      <c r="H22" s="193"/>
      <c r="I22" s="193"/>
      <c r="J22" s="28"/>
      <c r="K22" s="28"/>
      <c r="L22" s="28"/>
      <c r="M22" s="51"/>
      <c r="N22" s="51"/>
      <c r="O22" s="51"/>
      <c r="P22" s="28"/>
    </row>
    <row r="23" spans="1:49" s="125" customFormat="1" hidden="1" x14ac:dyDescent="0.25">
      <c r="A23" s="194" t="s">
        <v>13</v>
      </c>
      <c r="B23" s="238"/>
      <c r="C23" s="195"/>
      <c r="D23" s="239"/>
      <c r="E23" s="239"/>
      <c r="F23" s="196">
        <f>SUMIF($N:$N,"FOND",F:F)</f>
        <v>0</v>
      </c>
      <c r="G23" s="196">
        <f>SUMIF($N:$N,"FOND",G:G)</f>
        <v>0</v>
      </c>
      <c r="H23" s="196">
        <f>SUMIF($N:$N,"FOND",H:H)</f>
        <v>0</v>
      </c>
      <c r="I23" s="196">
        <f>SUMIF($N:$N,"FOND",I:I)</f>
        <v>0</v>
      </c>
      <c r="J23" s="240"/>
      <c r="K23" s="240"/>
      <c r="L23" s="240"/>
      <c r="M23" s="241"/>
      <c r="N23" s="241"/>
      <c r="O23" s="241"/>
      <c r="P23" s="240"/>
      <c r="AW23" s="38"/>
    </row>
    <row r="24" spans="1:49" s="38" customFormat="1" hidden="1" x14ac:dyDescent="0.25">
      <c r="A24" s="197" t="s">
        <v>14</v>
      </c>
      <c r="B24" s="335"/>
      <c r="C24" s="236"/>
      <c r="D24" s="237"/>
      <c r="E24" s="237"/>
      <c r="F24" s="198">
        <f>SUBTOTAL(9,F22:F23)</f>
        <v>0</v>
      </c>
      <c r="G24" s="198">
        <f>SUBTOTAL(9,G22:G23)</f>
        <v>0</v>
      </c>
      <c r="H24" s="198">
        <f>SUBTOTAL(9,H22:H23)</f>
        <v>0</v>
      </c>
      <c r="I24" s="198">
        <f>SUBTOTAL(9,I22:I23)</f>
        <v>0</v>
      </c>
      <c r="J24" s="28"/>
      <c r="K24" s="28"/>
      <c r="L24" s="28"/>
      <c r="M24" s="51"/>
      <c r="N24" s="51"/>
      <c r="O24" s="51"/>
      <c r="P24" s="28"/>
    </row>
    <row r="25" spans="1:49" s="38" customFormat="1" x14ac:dyDescent="0.25">
      <c r="A25" s="28"/>
      <c r="B25" s="11"/>
      <c r="C25" s="11"/>
      <c r="D25" s="242"/>
      <c r="E25" s="242"/>
      <c r="F25" s="336">
        <f>(F8+F9+F13+F16+F17+F12)-SUMIF($B:$B,"X",F:F)</f>
        <v>0</v>
      </c>
      <c r="G25" s="336">
        <f>(G8+G9+G13+G16+G17+G12)-SUMIF($B:$B,"X",G:G)</f>
        <v>0</v>
      </c>
      <c r="H25" s="336">
        <f>(H8+H9+H13+H16+H17+H12)-SUMIF($B:$B,"X",H:H)</f>
        <v>0</v>
      </c>
      <c r="I25" s="336">
        <f>(I8+I9+I13+I16+I17+I12)-SUMIF($B:$B,"X",I:I)</f>
        <v>0</v>
      </c>
      <c r="J25" s="28"/>
      <c r="K25" s="28"/>
      <c r="L25" s="28"/>
      <c r="M25" s="51"/>
      <c r="N25" s="51"/>
      <c r="O25" s="51"/>
      <c r="P25" s="28"/>
    </row>
    <row r="26" spans="1:49" s="38" customFormat="1" x14ac:dyDescent="0.25">
      <c r="A26" s="4" t="s">
        <v>15</v>
      </c>
      <c r="B26" s="5" t="s">
        <v>16</v>
      </c>
      <c r="C26" s="3" t="s">
        <v>17</v>
      </c>
      <c r="D26" s="8" t="s">
        <v>18</v>
      </c>
      <c r="E26" s="46" t="s">
        <v>19</v>
      </c>
      <c r="F26" s="4">
        <v>2022</v>
      </c>
      <c r="G26" s="4">
        <v>2023</v>
      </c>
      <c r="H26" s="4">
        <v>2024</v>
      </c>
      <c r="I26" s="4">
        <v>2025</v>
      </c>
      <c r="J26" s="4" t="s">
        <v>642</v>
      </c>
      <c r="K26" s="28" t="s">
        <v>643</v>
      </c>
      <c r="L26" s="28" t="s">
        <v>644</v>
      </c>
      <c r="M26" s="51"/>
      <c r="N26" s="51"/>
      <c r="O26" s="51"/>
      <c r="P26" s="28"/>
    </row>
    <row r="27" spans="1:49" s="38" customFormat="1" x14ac:dyDescent="0.25">
      <c r="A27" s="234"/>
      <c r="B27" s="11"/>
      <c r="C27" s="17"/>
      <c r="D27" s="51"/>
      <c r="E27" s="86" t="s">
        <v>645</v>
      </c>
      <c r="F27" s="235">
        <v>-2691000</v>
      </c>
      <c r="G27" s="235">
        <v>-2721000</v>
      </c>
      <c r="H27" s="235">
        <v>-2752000</v>
      </c>
      <c r="I27" s="235"/>
      <c r="J27" s="39"/>
      <c r="K27" s="28"/>
      <c r="L27" s="28"/>
      <c r="M27" s="28"/>
      <c r="N27" s="28"/>
      <c r="O27" s="28"/>
      <c r="P27" s="28"/>
      <c r="R27" s="235"/>
      <c r="S27" s="235"/>
      <c r="T27" s="235"/>
    </row>
    <row r="28" spans="1:49" s="38" customFormat="1" x14ac:dyDescent="0.25">
      <c r="A28" s="15"/>
      <c r="B28" s="44"/>
      <c r="C28" s="16" t="s">
        <v>21</v>
      </c>
      <c r="D28" s="41"/>
      <c r="E28" s="87" t="s">
        <v>646</v>
      </c>
      <c r="F28" s="85">
        <v>-1958000</v>
      </c>
      <c r="G28" s="85">
        <v>-1989000</v>
      </c>
      <c r="H28" s="85">
        <v>-2013000</v>
      </c>
      <c r="I28" s="85"/>
      <c r="J28" s="39"/>
      <c r="K28" s="337"/>
      <c r="L28" s="337"/>
      <c r="M28" s="77"/>
      <c r="N28" s="243"/>
      <c r="O28" s="243"/>
      <c r="P28" s="243"/>
      <c r="Q28" s="243"/>
      <c r="R28" s="85"/>
      <c r="S28" s="85"/>
      <c r="T28" s="85"/>
    </row>
    <row r="29" spans="1:49" s="38" customFormat="1" x14ac:dyDescent="0.25">
      <c r="A29" s="78" t="s">
        <v>22</v>
      </c>
      <c r="B29" s="338" t="str">
        <f t="shared" ref="B29:B60" si="2">IF(L29,K29&amp;L29,"")</f>
        <v>I1</v>
      </c>
      <c r="C29" s="98" t="s">
        <v>23</v>
      </c>
      <c r="D29" s="79" t="s">
        <v>22</v>
      </c>
      <c r="E29" s="79" t="s">
        <v>24</v>
      </c>
      <c r="F29" s="90">
        <v>-2791000</v>
      </c>
      <c r="G29" s="90">
        <v>-2822000</v>
      </c>
      <c r="H29" s="90">
        <v>-2853000</v>
      </c>
      <c r="I29" s="90">
        <v>-2884000</v>
      </c>
      <c r="J29" s="292" t="s">
        <v>814</v>
      </c>
      <c r="K29" s="28" t="s">
        <v>648</v>
      </c>
      <c r="L29" s="28">
        <f t="shared" ref="L29:L61" si="3">L28+1</f>
        <v>1</v>
      </c>
      <c r="M29" s="199"/>
      <c r="N29" s="200"/>
      <c r="O29" s="200"/>
      <c r="P29" s="28"/>
      <c r="R29" s="90"/>
      <c r="S29" s="90"/>
      <c r="T29" s="90"/>
      <c r="U29" s="90"/>
      <c r="V29" s="95"/>
    </row>
    <row r="30" spans="1:49" s="38" customFormat="1" x14ac:dyDescent="0.25">
      <c r="A30" s="78" t="s">
        <v>22</v>
      </c>
      <c r="B30" s="338" t="str">
        <f t="shared" si="2"/>
        <v>I2</v>
      </c>
      <c r="C30" s="98" t="s">
        <v>29</v>
      </c>
      <c r="D30" s="79" t="s">
        <v>22</v>
      </c>
      <c r="E30" s="79" t="s">
        <v>24</v>
      </c>
      <c r="F30" s="90">
        <f>-2064000-20000</f>
        <v>-2084000</v>
      </c>
      <c r="G30" s="90">
        <f>-2095000-20000</f>
        <v>-2115000</v>
      </c>
      <c r="H30" s="90">
        <f>-2121000-20000</f>
        <v>-2141000</v>
      </c>
      <c r="I30" s="90">
        <f>-2144000-20000</f>
        <v>-2164000</v>
      </c>
      <c r="J30" s="292" t="s">
        <v>814</v>
      </c>
      <c r="K30" s="28" t="s">
        <v>648</v>
      </c>
      <c r="L30" s="28">
        <f t="shared" si="3"/>
        <v>2</v>
      </c>
      <c r="M30" s="199"/>
      <c r="N30" s="200"/>
      <c r="O30" s="200"/>
      <c r="P30" s="28"/>
      <c r="R30" s="90"/>
      <c r="S30" s="90"/>
      <c r="T30" s="90"/>
      <c r="U30" s="90"/>
      <c r="V30" s="95"/>
    </row>
    <row r="31" spans="1:49" s="38" customFormat="1" x14ac:dyDescent="0.25">
      <c r="A31" s="78" t="s">
        <v>22</v>
      </c>
      <c r="B31" s="338" t="str">
        <f t="shared" si="2"/>
        <v>I3</v>
      </c>
      <c r="C31" s="98" t="s">
        <v>32</v>
      </c>
      <c r="D31" s="79" t="s">
        <v>22</v>
      </c>
      <c r="E31" s="79" t="s">
        <v>24</v>
      </c>
      <c r="F31" s="90">
        <v>-63000</v>
      </c>
      <c r="G31" s="90">
        <v>-64000</v>
      </c>
      <c r="H31" s="90">
        <v>-64000</v>
      </c>
      <c r="I31" s="90">
        <v>-64000</v>
      </c>
      <c r="J31" s="292" t="s">
        <v>649</v>
      </c>
      <c r="K31" s="28" t="s">
        <v>648</v>
      </c>
      <c r="L31" s="28">
        <f t="shared" si="3"/>
        <v>3</v>
      </c>
      <c r="M31" s="199"/>
      <c r="N31" s="258">
        <f>1-N32</f>
        <v>0.13649999999999995</v>
      </c>
      <c r="O31" s="200"/>
      <c r="P31" s="28"/>
      <c r="R31" s="90"/>
      <c r="S31" s="90"/>
      <c r="T31" s="90"/>
      <c r="U31" s="90"/>
      <c r="V31" s="95"/>
    </row>
    <row r="32" spans="1:49" s="38" customFormat="1" x14ac:dyDescent="0.25">
      <c r="A32" s="78" t="s">
        <v>22</v>
      </c>
      <c r="B32" s="338" t="str">
        <f t="shared" si="2"/>
        <v>I4</v>
      </c>
      <c r="C32" s="98" t="s">
        <v>34</v>
      </c>
      <c r="D32" s="79" t="s">
        <v>22</v>
      </c>
      <c r="E32" s="79" t="s">
        <v>24</v>
      </c>
      <c r="F32" s="90">
        <v>-30000</v>
      </c>
      <c r="G32" s="90">
        <v>-15000</v>
      </c>
      <c r="H32" s="90">
        <v>-15000</v>
      </c>
      <c r="I32" s="90">
        <v>-15000</v>
      </c>
      <c r="J32" s="292" t="s">
        <v>650</v>
      </c>
      <c r="K32" s="28" t="s">
        <v>648</v>
      </c>
      <c r="L32" s="28">
        <f t="shared" si="3"/>
        <v>4</v>
      </c>
      <c r="M32" s="199"/>
      <c r="N32" s="258">
        <v>0.86350000000000005</v>
      </c>
      <c r="O32" s="200"/>
      <c r="P32" s="28"/>
      <c r="R32" s="250"/>
      <c r="S32" s="250"/>
      <c r="T32" s="250"/>
      <c r="U32" s="250"/>
      <c r="V32" s="339"/>
    </row>
    <row r="33" spans="1:22" s="38" customFormat="1" x14ac:dyDescent="0.25">
      <c r="A33" s="78" t="s">
        <v>22</v>
      </c>
      <c r="B33" s="338" t="str">
        <f t="shared" si="2"/>
        <v>I5</v>
      </c>
      <c r="C33" s="98" t="s">
        <v>36</v>
      </c>
      <c r="D33" s="79" t="s">
        <v>22</v>
      </c>
      <c r="E33" s="79" t="s">
        <v>24</v>
      </c>
      <c r="F33" s="90">
        <v>-10300</v>
      </c>
      <c r="G33" s="90">
        <v>-10300</v>
      </c>
      <c r="H33" s="90">
        <v>-10300</v>
      </c>
      <c r="I33" s="90">
        <v>-10300</v>
      </c>
      <c r="J33" s="292" t="s">
        <v>651</v>
      </c>
      <c r="K33" s="28" t="s">
        <v>648</v>
      </c>
      <c r="L33" s="28">
        <f t="shared" si="3"/>
        <v>5</v>
      </c>
      <c r="M33" s="199"/>
      <c r="N33" s="200"/>
      <c r="O33" s="200"/>
      <c r="P33" s="28"/>
      <c r="R33" s="340"/>
      <c r="S33" s="340"/>
      <c r="T33" s="340"/>
      <c r="U33" s="340"/>
      <c r="V33" s="339"/>
    </row>
    <row r="34" spans="1:22" s="38" customFormat="1" x14ac:dyDescent="0.25">
      <c r="A34" s="78" t="s">
        <v>22</v>
      </c>
      <c r="B34" s="338" t="str">
        <f t="shared" si="2"/>
        <v>I6</v>
      </c>
      <c r="C34" s="98" t="s">
        <v>38</v>
      </c>
      <c r="D34" s="79" t="s">
        <v>22</v>
      </c>
      <c r="E34" s="79" t="s">
        <v>24</v>
      </c>
      <c r="F34" s="90">
        <v>10300</v>
      </c>
      <c r="G34" s="90">
        <v>10300</v>
      </c>
      <c r="H34" s="90">
        <v>10300</v>
      </c>
      <c r="I34" s="90">
        <v>10300</v>
      </c>
      <c r="J34" s="292" t="s">
        <v>651</v>
      </c>
      <c r="K34" s="28" t="s">
        <v>648</v>
      </c>
      <c r="L34" s="28">
        <f t="shared" si="3"/>
        <v>6</v>
      </c>
      <c r="M34" s="199"/>
      <c r="N34" s="200">
        <f>G31+G34</f>
        <v>-53700</v>
      </c>
      <c r="O34" s="200">
        <f>H31+H34</f>
        <v>-53700</v>
      </c>
      <c r="P34" s="200">
        <f>I31+I34</f>
        <v>-53700</v>
      </c>
      <c r="Q34" s="200"/>
      <c r="R34" s="340"/>
      <c r="S34" s="340"/>
      <c r="T34" s="340"/>
      <c r="U34" s="340"/>
      <c r="V34" s="339"/>
    </row>
    <row r="35" spans="1:22" s="38" customFormat="1" x14ac:dyDescent="0.25">
      <c r="A35" s="78" t="s">
        <v>22</v>
      </c>
      <c r="B35" s="338" t="str">
        <f t="shared" si="2"/>
        <v>I7</v>
      </c>
      <c r="C35" s="98" t="s">
        <v>39</v>
      </c>
      <c r="D35" s="79" t="s">
        <v>22</v>
      </c>
      <c r="E35" s="79" t="s">
        <v>24</v>
      </c>
      <c r="F35" s="90">
        <v>-9900</v>
      </c>
      <c r="G35" s="90">
        <v>-9900</v>
      </c>
      <c r="H35" s="90">
        <v>-9500</v>
      </c>
      <c r="I35" s="90">
        <v>-9100</v>
      </c>
      <c r="J35" s="292" t="s">
        <v>845</v>
      </c>
      <c r="K35" s="28" t="s">
        <v>648</v>
      </c>
      <c r="L35" s="28">
        <f t="shared" si="3"/>
        <v>7</v>
      </c>
      <c r="M35" s="199"/>
      <c r="N35" s="200"/>
      <c r="O35" s="200"/>
      <c r="P35" s="28"/>
      <c r="R35" s="340"/>
      <c r="S35" s="340"/>
      <c r="T35" s="340"/>
      <c r="U35" s="340"/>
      <c r="V35" s="339"/>
    </row>
    <row r="36" spans="1:22" s="38" customFormat="1" x14ac:dyDescent="0.25">
      <c r="A36" s="78" t="s">
        <v>22</v>
      </c>
      <c r="B36" s="338" t="str">
        <f t="shared" si="2"/>
        <v>I8</v>
      </c>
      <c r="C36" s="98" t="s">
        <v>41</v>
      </c>
      <c r="D36" s="79" t="s">
        <v>22</v>
      </c>
      <c r="E36" s="79" t="s">
        <v>24</v>
      </c>
      <c r="F36" s="90">
        <v>-42649</v>
      </c>
      <c r="G36" s="90">
        <v>-44032</v>
      </c>
      <c r="H36" s="90">
        <v>-44772</v>
      </c>
      <c r="I36" s="90">
        <v>-46620</v>
      </c>
      <c r="J36" s="292" t="s">
        <v>815</v>
      </c>
      <c r="K36" s="28" t="s">
        <v>648</v>
      </c>
      <c r="L36" s="28">
        <f t="shared" si="3"/>
        <v>8</v>
      </c>
      <c r="M36" s="199"/>
      <c r="N36" s="200"/>
      <c r="O36" s="200"/>
      <c r="P36" s="28"/>
      <c r="R36" s="340"/>
      <c r="S36" s="340"/>
      <c r="T36" s="340"/>
      <c r="U36" s="340"/>
      <c r="V36" s="339"/>
    </row>
    <row r="37" spans="1:22" s="38" customFormat="1" x14ac:dyDescent="0.25">
      <c r="A37" s="78" t="s">
        <v>22</v>
      </c>
      <c r="B37" s="338" t="str">
        <f t="shared" si="2"/>
        <v>I9</v>
      </c>
      <c r="C37" s="283" t="s">
        <v>43</v>
      </c>
      <c r="D37" s="284" t="s">
        <v>22</v>
      </c>
      <c r="E37" s="284" t="s">
        <v>24</v>
      </c>
      <c r="F37" s="285">
        <v>101000</v>
      </c>
      <c r="G37" s="285">
        <v>119000</v>
      </c>
      <c r="H37" s="285">
        <v>127000</v>
      </c>
      <c r="I37" s="285">
        <v>136000</v>
      </c>
      <c r="J37" s="292" t="s">
        <v>845</v>
      </c>
      <c r="K37" s="28" t="s">
        <v>648</v>
      </c>
      <c r="L37" s="28">
        <f t="shared" si="3"/>
        <v>9</v>
      </c>
      <c r="M37" s="199"/>
      <c r="N37" s="200"/>
      <c r="O37" s="200"/>
      <c r="P37" s="28"/>
      <c r="R37" s="340"/>
      <c r="S37" s="340"/>
      <c r="T37" s="340"/>
      <c r="U37" s="340"/>
      <c r="V37" s="339"/>
    </row>
    <row r="38" spans="1:22" s="38" customFormat="1" x14ac:dyDescent="0.25">
      <c r="A38" s="78" t="s">
        <v>22</v>
      </c>
      <c r="B38" s="338" t="str">
        <f t="shared" si="2"/>
        <v>I10</v>
      </c>
      <c r="C38" s="283" t="s">
        <v>47</v>
      </c>
      <c r="D38" s="284" t="s">
        <v>22</v>
      </c>
      <c r="E38" s="284" t="s">
        <v>24</v>
      </c>
      <c r="F38" s="285">
        <v>295000</v>
      </c>
      <c r="G38" s="285">
        <v>310000</v>
      </c>
      <c r="H38" s="285">
        <v>323000</v>
      </c>
      <c r="I38" s="285">
        <v>338000</v>
      </c>
      <c r="J38" s="292" t="s">
        <v>845</v>
      </c>
      <c r="K38" s="28" t="s">
        <v>648</v>
      </c>
      <c r="L38" s="28">
        <f t="shared" si="3"/>
        <v>10</v>
      </c>
      <c r="M38" s="199"/>
      <c r="N38" s="200"/>
      <c r="O38" s="200"/>
      <c r="P38" s="28"/>
      <c r="R38" s="340"/>
      <c r="S38" s="340"/>
      <c r="T38" s="340"/>
      <c r="U38" s="340"/>
      <c r="V38" s="339"/>
    </row>
    <row r="39" spans="1:22" s="38" customFormat="1" x14ac:dyDescent="0.25">
      <c r="A39" s="78" t="s">
        <v>22</v>
      </c>
      <c r="B39" s="338" t="str">
        <f t="shared" si="2"/>
        <v>I11</v>
      </c>
      <c r="C39" s="98" t="s">
        <v>50</v>
      </c>
      <c r="D39" s="79" t="s">
        <v>22</v>
      </c>
      <c r="E39" s="79" t="s">
        <v>24</v>
      </c>
      <c r="F39" s="90">
        <v>-17500</v>
      </c>
      <c r="G39" s="90">
        <v>-21800</v>
      </c>
      <c r="H39" s="90">
        <v>-23900</v>
      </c>
      <c r="I39" s="90">
        <v>-25800</v>
      </c>
      <c r="J39" s="292" t="s">
        <v>845</v>
      </c>
      <c r="K39" s="28" t="s">
        <v>648</v>
      </c>
      <c r="L39" s="28">
        <f t="shared" si="3"/>
        <v>11</v>
      </c>
      <c r="M39" s="199"/>
      <c r="N39" s="199"/>
      <c r="O39" s="199"/>
      <c r="P39" s="28"/>
    </row>
    <row r="40" spans="1:22" s="38" customFormat="1" x14ac:dyDescent="0.25">
      <c r="A40" s="78" t="s">
        <v>22</v>
      </c>
      <c r="B40" s="338" t="str">
        <f t="shared" si="2"/>
        <v>I12</v>
      </c>
      <c r="C40" s="98" t="s">
        <v>51</v>
      </c>
      <c r="D40" s="79" t="s">
        <v>22</v>
      </c>
      <c r="E40" s="79" t="s">
        <v>24</v>
      </c>
      <c r="F40" s="90">
        <v>-35900</v>
      </c>
      <c r="G40" s="90">
        <v>-44800</v>
      </c>
      <c r="H40" s="90">
        <v>-49900</v>
      </c>
      <c r="I40" s="90">
        <v>-54600</v>
      </c>
      <c r="J40" s="292" t="s">
        <v>845</v>
      </c>
      <c r="K40" s="28" t="s">
        <v>648</v>
      </c>
      <c r="L40" s="28">
        <f t="shared" si="3"/>
        <v>12</v>
      </c>
      <c r="M40" s="199"/>
      <c r="N40" s="199"/>
      <c r="O40" s="199"/>
      <c r="P40" s="12"/>
      <c r="Q40" s="2"/>
      <c r="R40" s="2"/>
      <c r="S40" s="2"/>
      <c r="T40" s="95"/>
      <c r="U40" s="95"/>
    </row>
    <row r="41" spans="1:22" s="38" customFormat="1" x14ac:dyDescent="0.25">
      <c r="A41" s="78" t="s">
        <v>22</v>
      </c>
      <c r="B41" s="338" t="str">
        <f t="shared" si="2"/>
        <v>I13</v>
      </c>
      <c r="C41" s="98" t="s">
        <v>52</v>
      </c>
      <c r="D41" s="79" t="s">
        <v>22</v>
      </c>
      <c r="E41" s="79" t="s">
        <v>24</v>
      </c>
      <c r="F41" s="90">
        <v>35900</v>
      </c>
      <c r="G41" s="90">
        <v>44800</v>
      </c>
      <c r="H41" s="90">
        <v>49900</v>
      </c>
      <c r="I41" s="90">
        <v>54600</v>
      </c>
      <c r="J41" s="292" t="s">
        <v>845</v>
      </c>
      <c r="K41" s="28" t="s">
        <v>648</v>
      </c>
      <c r="L41" s="28">
        <f t="shared" si="3"/>
        <v>13</v>
      </c>
      <c r="M41" s="199"/>
      <c r="N41" s="199"/>
      <c r="O41" s="199"/>
      <c r="P41" s="200"/>
      <c r="Q41" s="2"/>
      <c r="R41" s="2"/>
      <c r="S41" s="2"/>
    </row>
    <row r="42" spans="1:22" s="38" customFormat="1" x14ac:dyDescent="0.25">
      <c r="A42" s="78" t="s">
        <v>22</v>
      </c>
      <c r="B42" s="338" t="str">
        <f t="shared" si="2"/>
        <v>I14</v>
      </c>
      <c r="C42" s="98" t="s">
        <v>53</v>
      </c>
      <c r="D42" s="79" t="s">
        <v>22</v>
      </c>
      <c r="E42" s="79" t="s">
        <v>24</v>
      </c>
      <c r="F42" s="90">
        <v>-10400</v>
      </c>
      <c r="G42" s="90">
        <v>-11100</v>
      </c>
      <c r="H42" s="90">
        <v>-11000</v>
      </c>
      <c r="I42" s="90">
        <v>-10800</v>
      </c>
      <c r="J42" s="292" t="s">
        <v>845</v>
      </c>
      <c r="K42" s="28" t="s">
        <v>648</v>
      </c>
      <c r="L42" s="28">
        <f t="shared" si="3"/>
        <v>14</v>
      </c>
      <c r="M42" s="199"/>
      <c r="N42" s="199"/>
      <c r="O42" s="199"/>
      <c r="P42" s="201"/>
      <c r="Q42" s="201"/>
      <c r="R42" s="201"/>
      <c r="S42" s="201"/>
    </row>
    <row r="43" spans="1:22" s="38" customFormat="1" x14ac:dyDescent="0.25">
      <c r="A43" s="78" t="s">
        <v>22</v>
      </c>
      <c r="B43" s="338" t="str">
        <f t="shared" si="2"/>
        <v>I15</v>
      </c>
      <c r="C43" s="98" t="s">
        <v>54</v>
      </c>
      <c r="D43" s="79" t="s">
        <v>22</v>
      </c>
      <c r="E43" s="79" t="s">
        <v>24</v>
      </c>
      <c r="F43" s="90">
        <v>-123000</v>
      </c>
      <c r="G43" s="90">
        <v>-127000</v>
      </c>
      <c r="H43" s="90">
        <v>-131000</v>
      </c>
      <c r="I43" s="90">
        <v>-135000</v>
      </c>
      <c r="J43" s="292" t="s">
        <v>846</v>
      </c>
      <c r="K43" s="28" t="s">
        <v>648</v>
      </c>
      <c r="L43" s="28">
        <f t="shared" si="3"/>
        <v>15</v>
      </c>
      <c r="M43" s="199"/>
      <c r="N43" s="199"/>
      <c r="O43" s="199"/>
      <c r="P43" s="201"/>
      <c r="Q43" s="201"/>
      <c r="R43" s="201"/>
      <c r="S43" s="201"/>
    </row>
    <row r="44" spans="1:22" s="38" customFormat="1" x14ac:dyDescent="0.25">
      <c r="A44" s="78" t="s">
        <v>22</v>
      </c>
      <c r="B44" s="338" t="str">
        <f t="shared" si="2"/>
        <v>I16</v>
      </c>
      <c r="C44" s="98" t="s">
        <v>55</v>
      </c>
      <c r="D44" s="79" t="s">
        <v>22</v>
      </c>
      <c r="E44" s="79" t="s">
        <v>24</v>
      </c>
      <c r="F44" s="90">
        <v>-1250</v>
      </c>
      <c r="G44" s="90">
        <v>-1339</v>
      </c>
      <c r="H44" s="90">
        <v>-1428</v>
      </c>
      <c r="I44" s="90">
        <v>-1428</v>
      </c>
      <c r="J44" s="292" t="s">
        <v>655</v>
      </c>
      <c r="K44" s="28" t="s">
        <v>648</v>
      </c>
      <c r="L44" s="28">
        <f t="shared" si="3"/>
        <v>16</v>
      </c>
      <c r="M44" s="199"/>
      <c r="N44" s="199"/>
      <c r="O44" s="199"/>
      <c r="P44" s="201"/>
      <c r="Q44" s="201"/>
      <c r="R44" s="201"/>
      <c r="S44" s="201"/>
    </row>
    <row r="45" spans="1:22" s="38" customFormat="1" x14ac:dyDescent="0.25">
      <c r="A45" s="78" t="s">
        <v>22</v>
      </c>
      <c r="B45" s="338" t="str">
        <f t="shared" si="2"/>
        <v>I17</v>
      </c>
      <c r="C45" s="98" t="s">
        <v>57</v>
      </c>
      <c r="D45" s="79" t="s">
        <v>22</v>
      </c>
      <c r="E45" s="79" t="s">
        <v>24</v>
      </c>
      <c r="F45" s="90">
        <v>-2000</v>
      </c>
      <c r="G45" s="90">
        <v>-2000</v>
      </c>
      <c r="H45" s="90">
        <v>-2000</v>
      </c>
      <c r="I45" s="90">
        <v>-2000</v>
      </c>
      <c r="J45" s="292" t="s">
        <v>655</v>
      </c>
      <c r="K45" s="28" t="s">
        <v>648</v>
      </c>
      <c r="L45" s="28">
        <f t="shared" si="3"/>
        <v>17</v>
      </c>
      <c r="M45" s="199"/>
      <c r="N45" s="199"/>
      <c r="O45" s="199"/>
      <c r="P45" s="201"/>
      <c r="Q45" s="201"/>
      <c r="R45" s="201"/>
      <c r="S45" s="201"/>
    </row>
    <row r="46" spans="1:22" s="38" customFormat="1" x14ac:dyDescent="0.25">
      <c r="A46" s="78" t="s">
        <v>22</v>
      </c>
      <c r="B46" s="338" t="str">
        <f t="shared" si="2"/>
        <v>I18</v>
      </c>
      <c r="C46" s="98" t="s">
        <v>59</v>
      </c>
      <c r="D46" s="79" t="s">
        <v>22</v>
      </c>
      <c r="E46" s="79" t="s">
        <v>24</v>
      </c>
      <c r="F46" s="90">
        <v>-3600</v>
      </c>
      <c r="G46" s="90">
        <v>-3800</v>
      </c>
      <c r="H46" s="90">
        <v>-3800</v>
      </c>
      <c r="I46" s="90">
        <v>-3800</v>
      </c>
      <c r="J46" s="292" t="s">
        <v>845</v>
      </c>
      <c r="K46" s="28" t="s">
        <v>648</v>
      </c>
      <c r="L46" s="28">
        <f t="shared" si="3"/>
        <v>18</v>
      </c>
      <c r="M46" s="199"/>
      <c r="N46" s="199"/>
      <c r="O46" s="199"/>
      <c r="P46" s="199"/>
    </row>
    <row r="47" spans="1:22" s="38" customFormat="1" x14ac:dyDescent="0.25">
      <c r="A47" s="78" t="s">
        <v>22</v>
      </c>
      <c r="B47" s="338" t="str">
        <f t="shared" si="2"/>
        <v>I19</v>
      </c>
      <c r="C47" s="98" t="s">
        <v>60</v>
      </c>
      <c r="D47" s="79" t="s">
        <v>22</v>
      </c>
      <c r="E47" s="79" t="s">
        <v>24</v>
      </c>
      <c r="F47" s="90"/>
      <c r="G47" s="90"/>
      <c r="H47" s="90"/>
      <c r="I47" s="90"/>
      <c r="J47" s="292" t="s">
        <v>847</v>
      </c>
      <c r="K47" s="28" t="s">
        <v>648</v>
      </c>
      <c r="L47" s="28">
        <f t="shared" si="3"/>
        <v>19</v>
      </c>
      <c r="M47" s="199"/>
      <c r="N47" s="199"/>
      <c r="O47" s="199"/>
      <c r="P47" s="199"/>
    </row>
    <row r="48" spans="1:22" s="38" customFormat="1" x14ac:dyDescent="0.25">
      <c r="A48" s="78" t="s">
        <v>22</v>
      </c>
      <c r="B48" s="338" t="str">
        <f t="shared" si="2"/>
        <v>I20</v>
      </c>
      <c r="C48" s="98" t="s">
        <v>62</v>
      </c>
      <c r="D48" s="79" t="s">
        <v>22</v>
      </c>
      <c r="E48" s="79" t="s">
        <v>24</v>
      </c>
      <c r="F48" s="90">
        <v>-500</v>
      </c>
      <c r="G48" s="90">
        <v>-500</v>
      </c>
      <c r="H48" s="90">
        <v>-500</v>
      </c>
      <c r="I48" s="90">
        <v>-500</v>
      </c>
      <c r="J48" s="292" t="s">
        <v>848</v>
      </c>
      <c r="K48" s="28" t="s">
        <v>648</v>
      </c>
      <c r="L48" s="28">
        <f t="shared" si="3"/>
        <v>20</v>
      </c>
      <c r="M48" s="199"/>
      <c r="N48" s="199"/>
      <c r="O48" s="199"/>
      <c r="P48" s="199"/>
    </row>
    <row r="49" spans="1:49" s="38" customFormat="1" x14ac:dyDescent="0.25">
      <c r="A49" s="78" t="s">
        <v>22</v>
      </c>
      <c r="B49" s="338" t="str">
        <f t="shared" si="2"/>
        <v>I21</v>
      </c>
      <c r="C49" s="283" t="s">
        <v>64</v>
      </c>
      <c r="D49" s="284" t="s">
        <v>22</v>
      </c>
      <c r="E49" s="284" t="s">
        <v>24</v>
      </c>
      <c r="F49" s="285">
        <f>73857-750</f>
        <v>73107</v>
      </c>
      <c r="G49" s="285">
        <v>85987</v>
      </c>
      <c r="H49" s="285">
        <v>121608</v>
      </c>
      <c r="I49" s="285">
        <v>125175</v>
      </c>
      <c r="J49" s="292" t="s">
        <v>849</v>
      </c>
      <c r="K49" s="28" t="s">
        <v>648</v>
      </c>
      <c r="L49" s="28">
        <f t="shared" si="3"/>
        <v>21</v>
      </c>
      <c r="M49" s="38">
        <v>47663</v>
      </c>
      <c r="N49" s="38">
        <v>42964</v>
      </c>
      <c r="O49" s="38">
        <v>35638</v>
      </c>
      <c r="P49" s="38">
        <v>35638</v>
      </c>
    </row>
    <row r="50" spans="1:49" s="38" customFormat="1" x14ac:dyDescent="0.25">
      <c r="A50" s="78" t="s">
        <v>22</v>
      </c>
      <c r="B50" s="338" t="str">
        <f t="shared" si="2"/>
        <v>I22</v>
      </c>
      <c r="C50" s="98" t="s">
        <v>68</v>
      </c>
      <c r="D50" s="79" t="s">
        <v>22</v>
      </c>
      <c r="E50" s="79" t="s">
        <v>24</v>
      </c>
      <c r="F50" s="90">
        <v>-5500</v>
      </c>
      <c r="G50" s="90">
        <v>-5500</v>
      </c>
      <c r="H50" s="90"/>
      <c r="I50" s="90"/>
      <c r="J50" s="252" t="s">
        <v>850</v>
      </c>
      <c r="K50" s="28" t="s">
        <v>648</v>
      </c>
      <c r="L50" s="28">
        <f t="shared" si="3"/>
        <v>22</v>
      </c>
      <c r="M50" s="28"/>
      <c r="N50" s="28"/>
      <c r="O50" s="28"/>
      <c r="P50" s="28"/>
    </row>
    <row r="51" spans="1:49" s="38" customFormat="1" x14ac:dyDescent="0.25">
      <c r="A51" s="45" t="s">
        <v>22</v>
      </c>
      <c r="B51" s="338" t="str">
        <f t="shared" si="2"/>
        <v>I23</v>
      </c>
      <c r="C51" s="98" t="s">
        <v>69</v>
      </c>
      <c r="D51" s="79" t="s">
        <v>22</v>
      </c>
      <c r="E51" s="79" t="s">
        <v>24</v>
      </c>
      <c r="F51" s="90">
        <v>270000</v>
      </c>
      <c r="G51" s="90">
        <v>283000</v>
      </c>
      <c r="H51" s="90">
        <v>296000</v>
      </c>
      <c r="I51" s="90">
        <v>309000</v>
      </c>
      <c r="J51" s="292" t="s">
        <v>659</v>
      </c>
      <c r="K51" s="28" t="s">
        <v>648</v>
      </c>
      <c r="L51" s="28">
        <f t="shared" si="3"/>
        <v>23</v>
      </c>
      <c r="M51" s="28"/>
      <c r="N51" s="28"/>
      <c r="O51" s="28"/>
      <c r="P51" s="28"/>
    </row>
    <row r="52" spans="1:49" s="38" customFormat="1" x14ac:dyDescent="0.25">
      <c r="A52" s="45" t="s">
        <v>22</v>
      </c>
      <c r="B52" s="338" t="str">
        <f t="shared" si="2"/>
        <v>I24</v>
      </c>
      <c r="C52" s="98" t="s">
        <v>71</v>
      </c>
      <c r="D52" s="79" t="s">
        <v>22</v>
      </c>
      <c r="E52" s="79" t="s">
        <v>24</v>
      </c>
      <c r="F52" s="90">
        <v>-270000</v>
      </c>
      <c r="G52" s="90">
        <v>-283000</v>
      </c>
      <c r="H52" s="90">
        <v>-296000</v>
      </c>
      <c r="I52" s="90">
        <v>-309000</v>
      </c>
      <c r="J52" s="292" t="s">
        <v>659</v>
      </c>
      <c r="K52" s="28" t="s">
        <v>648</v>
      </c>
      <c r="L52" s="28">
        <f t="shared" si="3"/>
        <v>24</v>
      </c>
      <c r="M52" s="28"/>
      <c r="N52" s="28"/>
      <c r="O52" s="28"/>
      <c r="P52" s="28"/>
    </row>
    <row r="53" spans="1:49" s="38" customFormat="1" x14ac:dyDescent="0.25">
      <c r="A53" s="45" t="s">
        <v>22</v>
      </c>
      <c r="B53" s="338" t="str">
        <f t="shared" si="2"/>
        <v>I25</v>
      </c>
      <c r="C53" s="98" t="s">
        <v>72</v>
      </c>
      <c r="D53" s="79" t="s">
        <v>22</v>
      </c>
      <c r="E53" s="79" t="s">
        <v>24</v>
      </c>
      <c r="F53" s="90">
        <v>-19941</v>
      </c>
      <c r="G53" s="90">
        <v>-21381</v>
      </c>
      <c r="H53" s="90">
        <v>-21189</v>
      </c>
      <c r="I53" s="90">
        <v>-21619</v>
      </c>
      <c r="J53" s="292" t="s">
        <v>660</v>
      </c>
      <c r="K53" s="28" t="s">
        <v>648</v>
      </c>
      <c r="L53" s="28">
        <f t="shared" si="3"/>
        <v>25</v>
      </c>
      <c r="M53" s="28"/>
      <c r="N53" s="28"/>
      <c r="O53" s="28"/>
      <c r="P53" s="28"/>
    </row>
    <row r="54" spans="1:49" s="38" customFormat="1" x14ac:dyDescent="0.25">
      <c r="A54" s="45" t="s">
        <v>22</v>
      </c>
      <c r="B54" s="338" t="str">
        <f t="shared" si="2"/>
        <v>I26</v>
      </c>
      <c r="C54" s="98" t="s">
        <v>74</v>
      </c>
      <c r="D54" s="79" t="s">
        <v>22</v>
      </c>
      <c r="E54" s="79" t="s">
        <v>24</v>
      </c>
      <c r="F54" s="90">
        <v>-41629</v>
      </c>
      <c r="G54" s="90">
        <v>-46431</v>
      </c>
      <c r="H54" s="90">
        <v>-50107</v>
      </c>
      <c r="I54" s="90">
        <v>-50938</v>
      </c>
      <c r="J54" s="292" t="s">
        <v>660</v>
      </c>
      <c r="K54" s="28" t="s">
        <v>648</v>
      </c>
      <c r="L54" s="28">
        <f t="shared" si="3"/>
        <v>26</v>
      </c>
      <c r="M54" s="28"/>
      <c r="N54" s="28"/>
      <c r="O54" s="28"/>
      <c r="P54" s="28"/>
    </row>
    <row r="55" spans="1:49" s="38" customFormat="1" x14ac:dyDescent="0.25">
      <c r="A55" s="45" t="s">
        <v>22</v>
      </c>
      <c r="B55" s="338" t="str">
        <f t="shared" si="2"/>
        <v>I27</v>
      </c>
      <c r="C55" s="98" t="s">
        <v>75</v>
      </c>
      <c r="D55" s="79" t="s">
        <v>22</v>
      </c>
      <c r="E55" s="79" t="s">
        <v>24</v>
      </c>
      <c r="F55" s="90">
        <v>141</v>
      </c>
      <c r="G55" s="90">
        <v>88</v>
      </c>
      <c r="H55" s="90">
        <v>-153</v>
      </c>
      <c r="I55" s="90">
        <v>-1059</v>
      </c>
      <c r="J55" s="292" t="s">
        <v>660</v>
      </c>
      <c r="K55" s="28" t="s">
        <v>648</v>
      </c>
      <c r="L55" s="28">
        <f t="shared" si="3"/>
        <v>27</v>
      </c>
      <c r="M55" s="28"/>
      <c r="N55" s="28"/>
      <c r="O55" s="28"/>
      <c r="P55" s="28"/>
    </row>
    <row r="56" spans="1:49" s="38" customFormat="1" x14ac:dyDescent="0.25">
      <c r="A56" s="78" t="s">
        <v>22</v>
      </c>
      <c r="B56" s="338" t="str">
        <f t="shared" si="2"/>
        <v>I28</v>
      </c>
      <c r="C56" s="98"/>
      <c r="D56" s="79" t="s">
        <v>22</v>
      </c>
      <c r="E56" s="79" t="s">
        <v>24</v>
      </c>
      <c r="F56" s="90"/>
      <c r="G56" s="90"/>
      <c r="H56" s="90"/>
      <c r="I56" s="90"/>
      <c r="J56" s="292"/>
      <c r="K56" s="28" t="s">
        <v>648</v>
      </c>
      <c r="L56" s="28">
        <f t="shared" si="3"/>
        <v>28</v>
      </c>
      <c r="M56" s="28"/>
      <c r="N56" s="28"/>
      <c r="O56" s="28"/>
      <c r="P56" s="28"/>
    </row>
    <row r="57" spans="1:49" s="38" customFormat="1" x14ac:dyDescent="0.25">
      <c r="A57" s="78" t="s">
        <v>22</v>
      </c>
      <c r="B57" s="338" t="str">
        <f t="shared" si="2"/>
        <v>I29</v>
      </c>
      <c r="C57" s="98"/>
      <c r="D57" s="79" t="s">
        <v>22</v>
      </c>
      <c r="E57" s="79" t="s">
        <v>24</v>
      </c>
      <c r="F57" s="90"/>
      <c r="G57" s="90"/>
      <c r="H57" s="90"/>
      <c r="I57" s="90"/>
      <c r="J57" s="292"/>
      <c r="K57" s="28" t="s">
        <v>648</v>
      </c>
      <c r="L57" s="28">
        <f t="shared" si="3"/>
        <v>29</v>
      </c>
      <c r="M57" s="28"/>
      <c r="N57" s="28"/>
      <c r="O57" s="28"/>
      <c r="P57" s="28"/>
    </row>
    <row r="58" spans="1:49" s="38" customFormat="1" x14ac:dyDescent="0.25">
      <c r="A58" s="78" t="s">
        <v>22</v>
      </c>
      <c r="B58" s="338" t="str">
        <f t="shared" si="2"/>
        <v>I30</v>
      </c>
      <c r="C58" s="98"/>
      <c r="D58" s="79" t="s">
        <v>22</v>
      </c>
      <c r="E58" s="79" t="s">
        <v>24</v>
      </c>
      <c r="F58" s="90"/>
      <c r="G58" s="90"/>
      <c r="H58" s="90"/>
      <c r="I58" s="90"/>
      <c r="J58" s="292"/>
      <c r="K58" s="28" t="s">
        <v>648</v>
      </c>
      <c r="L58" s="28">
        <f t="shared" si="3"/>
        <v>30</v>
      </c>
      <c r="M58" s="28"/>
      <c r="N58" s="28"/>
      <c r="O58" s="28"/>
      <c r="P58" s="28"/>
      <c r="AW58" s="95"/>
    </row>
    <row r="59" spans="1:49" s="38" customFormat="1" x14ac:dyDescent="0.25">
      <c r="A59" s="78" t="s">
        <v>22</v>
      </c>
      <c r="B59" s="338" t="str">
        <f t="shared" si="2"/>
        <v>I31</v>
      </c>
      <c r="C59" s="98"/>
      <c r="D59" s="79" t="s">
        <v>22</v>
      </c>
      <c r="E59" s="79" t="s">
        <v>24</v>
      </c>
      <c r="F59" s="90"/>
      <c r="G59" s="90"/>
      <c r="H59" s="90"/>
      <c r="I59" s="90"/>
      <c r="J59" s="292"/>
      <c r="K59" s="28" t="s">
        <v>648</v>
      </c>
      <c r="L59" s="28">
        <f t="shared" si="3"/>
        <v>31</v>
      </c>
      <c r="M59" s="28"/>
      <c r="N59" s="28"/>
      <c r="O59" s="28"/>
      <c r="P59" s="28"/>
    </row>
    <row r="60" spans="1:49" s="38" customFormat="1" x14ac:dyDescent="0.25">
      <c r="A60" s="78" t="s">
        <v>22</v>
      </c>
      <c r="B60" s="338" t="str">
        <f t="shared" si="2"/>
        <v>I32</v>
      </c>
      <c r="C60" s="98"/>
      <c r="D60" s="79" t="s">
        <v>22</v>
      </c>
      <c r="E60" s="79" t="s">
        <v>24</v>
      </c>
      <c r="F60" s="90"/>
      <c r="G60" s="90"/>
      <c r="H60" s="90"/>
      <c r="I60" s="90"/>
      <c r="J60" s="292"/>
      <c r="K60" s="28" t="s">
        <v>648</v>
      </c>
      <c r="L60" s="28">
        <f t="shared" si="3"/>
        <v>32</v>
      </c>
      <c r="M60" s="28"/>
      <c r="N60" s="28"/>
      <c r="O60" s="28"/>
      <c r="P60" s="28"/>
    </row>
    <row r="61" spans="1:49" s="38" customFormat="1" x14ac:dyDescent="0.25">
      <c r="A61" s="244"/>
      <c r="B61" s="244"/>
      <c r="C61" s="245"/>
      <c r="D61" s="214"/>
      <c r="E61" s="111"/>
      <c r="F61" s="110"/>
      <c r="G61" s="110"/>
      <c r="H61" s="110"/>
      <c r="I61" s="110"/>
      <c r="J61" s="39"/>
      <c r="K61" s="28" t="s">
        <v>648</v>
      </c>
      <c r="L61" s="28">
        <f t="shared" si="3"/>
        <v>33</v>
      </c>
      <c r="M61" s="28"/>
      <c r="N61" s="28"/>
      <c r="O61" s="28"/>
      <c r="P61" s="28"/>
    </row>
    <row r="62" spans="1:49" s="38" customFormat="1" x14ac:dyDescent="0.25">
      <c r="A62" s="43"/>
      <c r="B62" s="43"/>
      <c r="C62" s="3" t="s">
        <v>76</v>
      </c>
      <c r="D62" s="63"/>
      <c r="E62" s="63"/>
      <c r="F62" s="9">
        <f>SUMIF($A:$A,"SENT.INNT",F:F)</f>
        <v>-4776621</v>
      </c>
      <c r="G62" s="9">
        <f>SUMIF($A:$A,"SENT.INNT",G:G)</f>
        <v>-4795708</v>
      </c>
      <c r="H62" s="9">
        <f>SUMIF($A:$A,"SENT.INNT",H:H)</f>
        <v>-4800741</v>
      </c>
      <c r="I62" s="9">
        <f>SUMIF($A:$A,"SENT.INNT",I:I)</f>
        <v>-4836489</v>
      </c>
      <c r="J62" s="39"/>
      <c r="K62" s="28"/>
      <c r="L62" s="28"/>
      <c r="M62" s="28"/>
      <c r="N62" s="28"/>
      <c r="O62" s="28"/>
      <c r="P62" s="28"/>
    </row>
    <row r="63" spans="1:49" s="38" customFormat="1" x14ac:dyDescent="0.25">
      <c r="A63" s="46"/>
      <c r="B63" s="46"/>
      <c r="C63" s="3" t="s">
        <v>77</v>
      </c>
      <c r="D63" s="52"/>
      <c r="E63" s="52"/>
      <c r="F63" s="9">
        <f>F4</f>
        <v>4546363</v>
      </c>
      <c r="G63" s="9">
        <f>G4</f>
        <v>4546363</v>
      </c>
      <c r="H63" s="9">
        <f>H4</f>
        <v>4546363</v>
      </c>
      <c r="I63" s="9">
        <f>I4</f>
        <v>4546363</v>
      </c>
      <c r="J63" s="39"/>
      <c r="K63" s="28"/>
      <c r="L63" s="28"/>
      <c r="M63" s="28"/>
      <c r="N63" s="28"/>
      <c r="O63" s="28"/>
      <c r="P63" s="28"/>
    </row>
    <row r="64" spans="1:49" s="38" customFormat="1" x14ac:dyDescent="0.25">
      <c r="A64" s="43"/>
      <c r="B64" s="43"/>
      <c r="C64" s="3" t="s">
        <v>78</v>
      </c>
      <c r="D64" s="52"/>
      <c r="E64" s="52"/>
      <c r="F64" s="9">
        <f>F62+F63</f>
        <v>-230258</v>
      </c>
      <c r="G64" s="9">
        <f>G62+G63</f>
        <v>-249345</v>
      </c>
      <c r="H64" s="9">
        <f>H62+H63</f>
        <v>-254378</v>
      </c>
      <c r="I64" s="9">
        <f>I62+I63</f>
        <v>-290126</v>
      </c>
      <c r="J64" s="39"/>
      <c r="K64" s="28"/>
      <c r="L64" s="28"/>
      <c r="M64" s="28"/>
      <c r="N64" s="28"/>
      <c r="O64" s="28"/>
      <c r="P64" s="28"/>
    </row>
    <row r="65" spans="1:20" s="38" customFormat="1" x14ac:dyDescent="0.25">
      <c r="A65" s="47"/>
      <c r="B65" s="47"/>
      <c r="C65" s="11"/>
      <c r="D65" s="49"/>
      <c r="E65" s="49"/>
      <c r="F65" s="12"/>
      <c r="G65" s="12"/>
      <c r="H65" s="12"/>
      <c r="I65" s="12"/>
      <c r="J65" s="39"/>
      <c r="K65" s="28"/>
      <c r="L65" s="28"/>
      <c r="M65" s="28"/>
      <c r="N65" s="28"/>
      <c r="O65" s="28"/>
      <c r="P65" s="28"/>
    </row>
    <row r="66" spans="1:20" s="1" customFormat="1" x14ac:dyDescent="0.25">
      <c r="A66" s="48"/>
      <c r="B66" s="48"/>
      <c r="C66" s="13" t="s">
        <v>79</v>
      </c>
      <c r="D66" s="50"/>
      <c r="E66" s="50"/>
      <c r="F66" s="14"/>
      <c r="G66" s="14"/>
      <c r="H66" s="14"/>
      <c r="I66" s="14"/>
      <c r="J66" s="39"/>
      <c r="K66" s="38"/>
      <c r="L66" s="38"/>
      <c r="M66" s="29"/>
      <c r="N66" s="29"/>
      <c r="O66" s="29"/>
      <c r="P66" s="29"/>
    </row>
    <row r="67" spans="1:20" s="38" customFormat="1" x14ac:dyDescent="0.25">
      <c r="A67" s="72"/>
      <c r="B67" s="341"/>
      <c r="C67" s="246" t="s">
        <v>80</v>
      </c>
      <c r="D67" s="83"/>
      <c r="E67" s="83"/>
      <c r="F67" s="4">
        <v>2022</v>
      </c>
      <c r="G67" s="4">
        <v>2023</v>
      </c>
      <c r="H67" s="4">
        <f>G67+1</f>
        <v>2024</v>
      </c>
      <c r="I67" s="4">
        <f>H67+1</f>
        <v>2025</v>
      </c>
      <c r="J67" s="39"/>
      <c r="K67" s="337"/>
      <c r="L67" s="337"/>
      <c r="M67" s="99" t="s">
        <v>817</v>
      </c>
      <c r="N67" s="99" t="s">
        <v>818</v>
      </c>
      <c r="O67" s="99" t="s">
        <v>819</v>
      </c>
      <c r="P67" s="28"/>
    </row>
    <row r="68" spans="1:20" s="38" customFormat="1" x14ac:dyDescent="0.25">
      <c r="A68" s="78" t="s">
        <v>81</v>
      </c>
      <c r="B68" s="78" t="str">
        <f t="shared" ref="B68:B80" si="4">IF(L68,K68&amp;L68,"")</f>
        <v>OV1</v>
      </c>
      <c r="C68" s="245" t="s">
        <v>82</v>
      </c>
      <c r="D68" s="72" t="s">
        <v>661</v>
      </c>
      <c r="E68" s="79" t="s">
        <v>84</v>
      </c>
      <c r="F68" s="90">
        <v>5635</v>
      </c>
      <c r="G68" s="90">
        <v>9873</v>
      </c>
      <c r="H68" s="90">
        <v>12885</v>
      </c>
      <c r="I68" s="90">
        <v>13033</v>
      </c>
      <c r="J68" s="470" t="s">
        <v>662</v>
      </c>
      <c r="K68" s="28" t="s">
        <v>663</v>
      </c>
      <c r="L68" s="38">
        <v>1</v>
      </c>
      <c r="M68" s="99" t="str">
        <f>IF(E68="VEDTATT","VEDTATT",0)</f>
        <v>VEDTATT</v>
      </c>
      <c r="N68" s="99">
        <f>IF(E68="MÅ","Nye tiltak",0)</f>
        <v>0</v>
      </c>
      <c r="O68" s="99"/>
      <c r="P68" s="28"/>
      <c r="Q68" s="95"/>
      <c r="R68" s="95"/>
      <c r="S68" s="95"/>
      <c r="T68" s="95"/>
    </row>
    <row r="69" spans="1:20" s="38" customFormat="1" x14ac:dyDescent="0.25">
      <c r="A69" s="78" t="s">
        <v>81</v>
      </c>
      <c r="B69" s="78" t="str">
        <f>IF(L69,K69&amp;L69,"")</f>
        <v>OV2</v>
      </c>
      <c r="C69" s="245" t="s">
        <v>85</v>
      </c>
      <c r="D69" s="72" t="s">
        <v>661</v>
      </c>
      <c r="E69" s="79" t="s">
        <v>84</v>
      </c>
      <c r="F69" s="90">
        <v>-1894</v>
      </c>
      <c r="G69" s="90">
        <v>-1894</v>
      </c>
      <c r="H69" s="90">
        <v>-1894</v>
      </c>
      <c r="I69" s="90">
        <v>-1894</v>
      </c>
      <c r="J69" s="470" t="s">
        <v>662</v>
      </c>
      <c r="K69" s="28" t="s">
        <v>663</v>
      </c>
      <c r="L69" s="38">
        <f t="shared" ref="L69:L80" si="5">L68+1</f>
        <v>2</v>
      </c>
      <c r="M69" s="99"/>
      <c r="N69" s="99"/>
      <c r="O69" s="99"/>
      <c r="P69" s="28"/>
      <c r="Q69" s="95"/>
      <c r="R69" s="95"/>
      <c r="S69" s="95"/>
      <c r="T69" s="95"/>
    </row>
    <row r="70" spans="1:20" s="38" customFormat="1" x14ac:dyDescent="0.25">
      <c r="A70" s="78" t="s">
        <v>81</v>
      </c>
      <c r="B70" s="78" t="str">
        <f t="shared" si="4"/>
        <v>OV3</v>
      </c>
      <c r="C70" s="245" t="s">
        <v>86</v>
      </c>
      <c r="D70" s="72" t="s">
        <v>661</v>
      </c>
      <c r="E70" s="79" t="s">
        <v>84</v>
      </c>
      <c r="F70" s="90">
        <v>1126</v>
      </c>
      <c r="G70" s="90">
        <v>1974</v>
      </c>
      <c r="H70" s="90">
        <v>2576</v>
      </c>
      <c r="I70" s="90">
        <v>2605</v>
      </c>
      <c r="J70" s="470" t="s">
        <v>662</v>
      </c>
      <c r="K70" s="28" t="s">
        <v>663</v>
      </c>
      <c r="L70" s="38">
        <f t="shared" si="5"/>
        <v>3</v>
      </c>
      <c r="M70" s="99" t="str">
        <f>IF(E70="VEDTATT","VEDTATT",0)</f>
        <v>VEDTATT</v>
      </c>
      <c r="N70" s="99">
        <f>IF(E70="MÅ","Nye tiltak",0)</f>
        <v>0</v>
      </c>
      <c r="O70" s="99"/>
      <c r="P70" s="28"/>
      <c r="R70" s="95"/>
      <c r="S70" s="95"/>
      <c r="T70" s="95"/>
    </row>
    <row r="71" spans="1:20" s="38" customFormat="1" x14ac:dyDescent="0.25">
      <c r="A71" s="78" t="s">
        <v>81</v>
      </c>
      <c r="B71" s="78" t="str">
        <f>IF(L71,K71&amp;L71,"")</f>
        <v>OV4</v>
      </c>
      <c r="C71" s="245" t="s">
        <v>87</v>
      </c>
      <c r="D71" s="72" t="s">
        <v>661</v>
      </c>
      <c r="E71" s="79" t="s">
        <v>84</v>
      </c>
      <c r="F71" s="90">
        <v>-379</v>
      </c>
      <c r="G71" s="90">
        <v>-379</v>
      </c>
      <c r="H71" s="90">
        <v>-379</v>
      </c>
      <c r="I71" s="90">
        <v>-379</v>
      </c>
      <c r="J71" s="470" t="s">
        <v>662</v>
      </c>
      <c r="K71" s="28" t="s">
        <v>663</v>
      </c>
      <c r="L71" s="38">
        <f t="shared" si="5"/>
        <v>4</v>
      </c>
      <c r="M71" s="99"/>
      <c r="N71" s="99"/>
      <c r="O71" s="99"/>
      <c r="P71" s="28"/>
      <c r="R71" s="95"/>
      <c r="S71" s="95"/>
      <c r="T71" s="95"/>
    </row>
    <row r="72" spans="1:20" s="38" customFormat="1" x14ac:dyDescent="0.25">
      <c r="A72" s="78" t="s">
        <v>81</v>
      </c>
      <c r="B72" s="78" t="str">
        <f t="shared" si="4"/>
        <v>OV5</v>
      </c>
      <c r="C72" s="245" t="s">
        <v>88</v>
      </c>
      <c r="D72" s="72" t="s">
        <v>664</v>
      </c>
      <c r="E72" s="79" t="s">
        <v>84</v>
      </c>
      <c r="F72" s="90"/>
      <c r="G72" s="90"/>
      <c r="H72" s="90">
        <v>-852</v>
      </c>
      <c r="I72" s="90">
        <v>-852</v>
      </c>
      <c r="J72" s="403"/>
      <c r="K72" s="28" t="s">
        <v>663</v>
      </c>
      <c r="L72" s="38">
        <f t="shared" si="5"/>
        <v>5</v>
      </c>
      <c r="M72" s="99" t="str">
        <f>IF(E72="VEDTATT","VEDTATT",0)</f>
        <v>VEDTATT</v>
      </c>
      <c r="N72" s="99">
        <f>IF(E72="MÅ","Nye tiltak",0)</f>
        <v>0</v>
      </c>
      <c r="O72" s="253"/>
      <c r="P72" s="28"/>
    </row>
    <row r="73" spans="1:20" s="38" customFormat="1" x14ac:dyDescent="0.25">
      <c r="A73" s="78" t="s">
        <v>81</v>
      </c>
      <c r="B73" s="78" t="str">
        <f t="shared" si="4"/>
        <v>OV6</v>
      </c>
      <c r="C73" s="245" t="s">
        <v>670</v>
      </c>
      <c r="D73" s="72" t="s">
        <v>661</v>
      </c>
      <c r="E73" s="79" t="s">
        <v>84</v>
      </c>
      <c r="F73" s="484">
        <v>18700</v>
      </c>
      <c r="G73" s="484">
        <v>18700</v>
      </c>
      <c r="H73" s="484">
        <v>18700</v>
      </c>
      <c r="I73" s="484">
        <v>18700</v>
      </c>
      <c r="J73" s="470" t="s">
        <v>671</v>
      </c>
      <c r="K73" s="28" t="s">
        <v>663</v>
      </c>
      <c r="L73" s="38">
        <f t="shared" si="5"/>
        <v>6</v>
      </c>
      <c r="M73" s="99"/>
      <c r="N73" s="99"/>
      <c r="O73" s="253"/>
      <c r="P73" s="28"/>
    </row>
    <row r="74" spans="1:20" s="38" customFormat="1" x14ac:dyDescent="0.25">
      <c r="A74" s="469" t="s">
        <v>81</v>
      </c>
      <c r="B74" s="78" t="str">
        <f>IF(L74,K74&amp;L74,"")</f>
        <v>OV7</v>
      </c>
      <c r="C74" s="212" t="s">
        <v>672</v>
      </c>
      <c r="D74" s="72" t="s">
        <v>661</v>
      </c>
      <c r="E74" s="79" t="s">
        <v>84</v>
      </c>
      <c r="F74" s="485">
        <v>900</v>
      </c>
      <c r="G74" s="484">
        <v>4700</v>
      </c>
      <c r="H74" s="484">
        <v>11100</v>
      </c>
      <c r="I74" s="484">
        <v>11100</v>
      </c>
      <c r="J74" s="470" t="s">
        <v>671</v>
      </c>
      <c r="K74" s="28" t="s">
        <v>663</v>
      </c>
      <c r="L74" s="38">
        <f t="shared" si="5"/>
        <v>7</v>
      </c>
      <c r="M74" s="99"/>
      <c r="N74" s="99"/>
      <c r="O74" s="253"/>
      <c r="P74" s="28"/>
    </row>
    <row r="75" spans="1:20" s="38" customFormat="1" x14ac:dyDescent="0.25">
      <c r="A75" s="78" t="s">
        <v>81</v>
      </c>
      <c r="B75" s="78" t="str">
        <f>IF(L75,K75&amp;L75,"")</f>
        <v>OV8</v>
      </c>
      <c r="C75" s="245" t="s">
        <v>673</v>
      </c>
      <c r="D75" s="72" t="s">
        <v>661</v>
      </c>
      <c r="E75" s="79" t="s">
        <v>84</v>
      </c>
      <c r="F75" s="484">
        <v>2000</v>
      </c>
      <c r="G75" s="484">
        <v>2000</v>
      </c>
      <c r="H75" s="484">
        <v>2000</v>
      </c>
      <c r="I75" s="484">
        <v>2000</v>
      </c>
      <c r="J75" s="470" t="s">
        <v>674</v>
      </c>
      <c r="K75" s="28" t="s">
        <v>663</v>
      </c>
      <c r="L75" s="38">
        <f t="shared" si="5"/>
        <v>8</v>
      </c>
      <c r="M75" s="99"/>
      <c r="N75" s="99"/>
      <c r="O75" s="253"/>
      <c r="P75" s="28"/>
    </row>
    <row r="76" spans="1:20" s="38" customFormat="1" x14ac:dyDescent="0.25">
      <c r="A76" s="78" t="s">
        <v>81</v>
      </c>
      <c r="B76" s="78" t="str">
        <f>IF(L76,K76&amp;L76,"")</f>
        <v>OV9</v>
      </c>
      <c r="C76" s="245" t="s">
        <v>665</v>
      </c>
      <c r="D76" s="72" t="s">
        <v>664</v>
      </c>
      <c r="E76" s="79" t="s">
        <v>84</v>
      </c>
      <c r="F76" s="90"/>
      <c r="G76" s="90">
        <v>-2300</v>
      </c>
      <c r="H76" s="90">
        <v>-2300</v>
      </c>
      <c r="I76" s="90">
        <v>-2300</v>
      </c>
      <c r="J76" s="402"/>
      <c r="K76" s="28" t="s">
        <v>663</v>
      </c>
      <c r="L76" s="38">
        <f t="shared" si="5"/>
        <v>9</v>
      </c>
      <c r="M76" s="99"/>
      <c r="N76" s="99"/>
      <c r="O76" s="253"/>
      <c r="P76" s="28"/>
    </row>
    <row r="77" spans="1:20" s="38" customFormat="1" x14ac:dyDescent="0.25">
      <c r="A77" s="78" t="s">
        <v>81</v>
      </c>
      <c r="B77" s="78" t="str">
        <f t="shared" si="4"/>
        <v>OV10</v>
      </c>
      <c r="C77" s="245" t="s">
        <v>668</v>
      </c>
      <c r="D77" s="72" t="s">
        <v>661</v>
      </c>
      <c r="E77" s="79" t="s">
        <v>84</v>
      </c>
      <c r="F77" s="90">
        <v>121</v>
      </c>
      <c r="G77" s="90">
        <v>212</v>
      </c>
      <c r="H77" s="90">
        <v>276</v>
      </c>
      <c r="I77" s="90">
        <v>279</v>
      </c>
      <c r="J77" s="470" t="s">
        <v>662</v>
      </c>
      <c r="K77" s="28" t="s">
        <v>663</v>
      </c>
      <c r="L77" s="38">
        <f t="shared" si="5"/>
        <v>10</v>
      </c>
      <c r="M77" s="99" t="str">
        <f>IF(E77="VEDTATT","VEDTATT",0)</f>
        <v>VEDTATT</v>
      </c>
      <c r="N77" s="99">
        <f>IF(E77="MÅ","Nye tiltak",0)</f>
        <v>0</v>
      </c>
      <c r="O77" s="99"/>
      <c r="P77" s="28"/>
    </row>
    <row r="78" spans="1:20" s="38" customFormat="1" x14ac:dyDescent="0.25">
      <c r="A78" s="78" t="s">
        <v>81</v>
      </c>
      <c r="B78" s="78" t="str">
        <f>IF(L78,K78&amp;L78,"")</f>
        <v>OV11</v>
      </c>
      <c r="C78" s="245" t="s">
        <v>94</v>
      </c>
      <c r="D78" s="72" t="s">
        <v>661</v>
      </c>
      <c r="E78" s="79" t="s">
        <v>84</v>
      </c>
      <c r="F78" s="390">
        <v>-41</v>
      </c>
      <c r="G78" s="390">
        <v>-41</v>
      </c>
      <c r="H78" s="390">
        <v>-41</v>
      </c>
      <c r="I78" s="390">
        <v>-41</v>
      </c>
      <c r="J78" s="470" t="s">
        <v>662</v>
      </c>
      <c r="K78" s="28" t="s">
        <v>663</v>
      </c>
      <c r="L78" s="38">
        <f t="shared" si="5"/>
        <v>11</v>
      </c>
      <c r="M78" s="483"/>
      <c r="N78" s="483"/>
      <c r="O78" s="483"/>
      <c r="P78" s="28"/>
    </row>
    <row r="79" spans="1:20" x14ac:dyDescent="0.25">
      <c r="A79" s="78" t="s">
        <v>81</v>
      </c>
      <c r="B79" s="78" t="str">
        <f t="shared" si="4"/>
        <v>OV12</v>
      </c>
      <c r="C79" s="480" t="s">
        <v>851</v>
      </c>
      <c r="D79" s="72" t="s">
        <v>91</v>
      </c>
      <c r="E79" s="79" t="s">
        <v>24</v>
      </c>
      <c r="F79" s="110">
        <v>2100</v>
      </c>
      <c r="G79" s="110">
        <v>2100</v>
      </c>
      <c r="H79" s="110">
        <v>2100</v>
      </c>
      <c r="I79" s="110">
        <v>2100</v>
      </c>
      <c r="J79" s="94" t="s">
        <v>852</v>
      </c>
      <c r="K79" s="28" t="s">
        <v>663</v>
      </c>
      <c r="L79" s="38">
        <f t="shared" si="5"/>
        <v>12</v>
      </c>
    </row>
    <row r="80" spans="1:20" x14ac:dyDescent="0.25">
      <c r="A80" s="78" t="s">
        <v>81</v>
      </c>
      <c r="B80" s="78" t="str">
        <f t="shared" si="4"/>
        <v>OV13</v>
      </c>
      <c r="C80" s="480" t="s">
        <v>853</v>
      </c>
      <c r="D80" s="72" t="s">
        <v>91</v>
      </c>
      <c r="E80" s="79"/>
      <c r="J80" s="94" t="s">
        <v>854</v>
      </c>
      <c r="K80" s="28" t="s">
        <v>663</v>
      </c>
      <c r="L80" s="38">
        <f t="shared" si="5"/>
        <v>13</v>
      </c>
    </row>
    <row r="81" spans="1:21" s="38" customFormat="1" x14ac:dyDescent="0.25">
      <c r="A81" s="48"/>
      <c r="B81" s="48"/>
      <c r="C81" s="13"/>
      <c r="D81" s="50"/>
      <c r="E81" s="50"/>
      <c r="F81" s="58"/>
      <c r="G81" s="58"/>
      <c r="H81" s="58"/>
      <c r="I81" s="58"/>
      <c r="J81" s="209"/>
      <c r="M81" s="99"/>
      <c r="N81" s="99"/>
      <c r="O81" s="99"/>
      <c r="P81" s="28"/>
    </row>
    <row r="82" spans="1:21" s="1" customFormat="1" x14ac:dyDescent="0.25">
      <c r="A82" s="44"/>
      <c r="B82" s="44"/>
      <c r="C82" s="16" t="s">
        <v>112</v>
      </c>
      <c r="D82" s="50"/>
      <c r="E82" s="50"/>
      <c r="F82" s="4">
        <f>F67</f>
        <v>2022</v>
      </c>
      <c r="G82" s="4">
        <f>F82+1</f>
        <v>2023</v>
      </c>
      <c r="H82" s="4">
        <f>G82+1</f>
        <v>2024</v>
      </c>
      <c r="I82" s="4">
        <f>H82+1</f>
        <v>2025</v>
      </c>
      <c r="J82" s="209"/>
      <c r="K82" s="337"/>
      <c r="L82" s="337"/>
      <c r="M82" s="99"/>
      <c r="N82" s="99"/>
      <c r="O82" s="99"/>
      <c r="P82" s="29"/>
    </row>
    <row r="83" spans="1:21" s="38" customFormat="1" x14ac:dyDescent="0.25">
      <c r="A83" s="78" t="s">
        <v>81</v>
      </c>
      <c r="B83" s="78" t="str">
        <f>IF(L83,K83&amp;L83,"")</f>
        <v>OV14</v>
      </c>
      <c r="C83" s="245" t="s">
        <v>675</v>
      </c>
      <c r="D83" s="72" t="s">
        <v>664</v>
      </c>
      <c r="E83" s="79" t="s">
        <v>84</v>
      </c>
      <c r="F83" s="74"/>
      <c r="G83" s="74"/>
      <c r="H83" s="74">
        <f>I83/12*5</f>
        <v>6666.6666666666661</v>
      </c>
      <c r="I83" s="74">
        <v>16000</v>
      </c>
      <c r="J83" s="209" t="s">
        <v>676</v>
      </c>
      <c r="K83" s="28" t="s">
        <v>663</v>
      </c>
      <c r="L83" s="28">
        <f>L80+1</f>
        <v>14</v>
      </c>
      <c r="M83" s="99" t="str">
        <f>IF(E83="VEDTATT","VEDTATT",0)</f>
        <v>VEDTATT</v>
      </c>
      <c r="N83" s="99">
        <f>IF(E83="MÅ","Nye tiltak",0)</f>
        <v>0</v>
      </c>
      <c r="O83" s="99"/>
      <c r="P83" s="28"/>
    </row>
    <row r="84" spans="1:21" s="38" customFormat="1" x14ac:dyDescent="0.25">
      <c r="A84" s="78" t="s">
        <v>81</v>
      </c>
      <c r="B84" s="78" t="str">
        <f t="shared" ref="B84:B88" si="6">IF(L84,K84&amp;L84,"")</f>
        <v>OV15</v>
      </c>
      <c r="C84" s="245" t="s">
        <v>677</v>
      </c>
      <c r="D84" s="72" t="s">
        <v>664</v>
      </c>
      <c r="E84" s="79" t="s">
        <v>84</v>
      </c>
      <c r="F84" s="74"/>
      <c r="G84" s="74"/>
      <c r="H84" s="74">
        <f>I84/12*5</f>
        <v>-1332.0833333333335</v>
      </c>
      <c r="I84" s="74">
        <v>-3197</v>
      </c>
      <c r="J84" s="209" t="s">
        <v>820</v>
      </c>
      <c r="K84" s="28" t="s">
        <v>663</v>
      </c>
      <c r="L84" s="28">
        <f>L83+1</f>
        <v>15</v>
      </c>
      <c r="M84" s="99" t="str">
        <f>IF(E84="VEDTATT","VEDTATT",0)</f>
        <v>VEDTATT</v>
      </c>
      <c r="N84" s="99">
        <f>IF(E84="MÅ","Nye tiltak",0)</f>
        <v>0</v>
      </c>
      <c r="O84" s="99"/>
      <c r="P84" s="28"/>
    </row>
    <row r="85" spans="1:21" s="38" customFormat="1" x14ac:dyDescent="0.25">
      <c r="A85" s="78" t="s">
        <v>81</v>
      </c>
      <c r="B85" s="78" t="str">
        <f t="shared" si="6"/>
        <v>OV16</v>
      </c>
      <c r="C85" s="245" t="s">
        <v>679</v>
      </c>
      <c r="D85" s="72" t="s">
        <v>664</v>
      </c>
      <c r="E85" s="79" t="s">
        <v>84</v>
      </c>
      <c r="F85" s="74">
        <v>-5390</v>
      </c>
      <c r="G85" s="74">
        <v>-5390</v>
      </c>
      <c r="H85" s="74">
        <v>-5390</v>
      </c>
      <c r="I85" s="74">
        <v>-5390</v>
      </c>
      <c r="J85" s="342"/>
      <c r="K85" s="28" t="s">
        <v>663</v>
      </c>
      <c r="L85" s="28">
        <f>L84+1</f>
        <v>16</v>
      </c>
      <c r="M85" s="99" t="str">
        <f>IF(E85="VEDTATT","VEDTATT",0)</f>
        <v>VEDTATT</v>
      </c>
      <c r="N85" s="99">
        <f>IF(E85="MÅ","Nye tiltak",0)</f>
        <v>0</v>
      </c>
      <c r="O85" s="99"/>
      <c r="P85" s="28"/>
    </row>
    <row r="86" spans="1:21" s="38" customFormat="1" x14ac:dyDescent="0.25">
      <c r="A86" s="78" t="s">
        <v>81</v>
      </c>
      <c r="B86" s="78" t="str">
        <f t="shared" si="6"/>
        <v>OV17</v>
      </c>
      <c r="C86" s="245" t="s">
        <v>855</v>
      </c>
      <c r="D86" s="72" t="s">
        <v>664</v>
      </c>
      <c r="E86" s="79" t="s">
        <v>84</v>
      </c>
      <c r="F86" s="90"/>
      <c r="G86" s="90"/>
      <c r="H86" s="90"/>
      <c r="I86" s="90"/>
      <c r="J86" s="209"/>
      <c r="K86" s="28" t="s">
        <v>663</v>
      </c>
      <c r="L86" s="28">
        <f>L85+1</f>
        <v>17</v>
      </c>
      <c r="M86" s="99" t="str">
        <f>IF(E86="VEDTATT","VEDTATT",0)</f>
        <v>VEDTATT</v>
      </c>
      <c r="N86" s="99">
        <f>IF(E86="MÅ","Nye tiltak",0)</f>
        <v>0</v>
      </c>
      <c r="O86" s="99"/>
      <c r="P86" s="28"/>
    </row>
    <row r="87" spans="1:21" s="38" customFormat="1" x14ac:dyDescent="0.25">
      <c r="A87" s="78" t="s">
        <v>81</v>
      </c>
      <c r="B87" s="78" t="str">
        <f t="shared" si="6"/>
        <v>OV18</v>
      </c>
      <c r="C87" s="245" t="s">
        <v>113</v>
      </c>
      <c r="D87" s="79" t="s">
        <v>661</v>
      </c>
      <c r="E87" s="79" t="s">
        <v>84</v>
      </c>
      <c r="F87" s="481">
        <v>19000</v>
      </c>
      <c r="G87" s="481">
        <v>19000</v>
      </c>
      <c r="H87" s="481">
        <v>19000</v>
      </c>
      <c r="I87" s="481">
        <v>19000</v>
      </c>
      <c r="J87" s="209" t="s">
        <v>821</v>
      </c>
      <c r="K87" s="28" t="s">
        <v>663</v>
      </c>
      <c r="L87" s="28">
        <f>L86+1</f>
        <v>18</v>
      </c>
      <c r="M87" s="99"/>
      <c r="N87" s="99"/>
      <c r="O87" s="99"/>
      <c r="P87" s="28"/>
    </row>
    <row r="88" spans="1:21" s="38" customFormat="1" x14ac:dyDescent="0.25">
      <c r="A88" s="78" t="s">
        <v>81</v>
      </c>
      <c r="B88" s="78" t="str">
        <f t="shared" si="6"/>
        <v>OV19</v>
      </c>
      <c r="C88" s="245" t="s">
        <v>856</v>
      </c>
      <c r="D88" s="228" t="s">
        <v>91</v>
      </c>
      <c r="E88" s="230" t="s">
        <v>24</v>
      </c>
      <c r="F88" s="38">
        <v>231</v>
      </c>
      <c r="G88" s="38">
        <v>231</v>
      </c>
      <c r="H88" s="38">
        <v>231</v>
      </c>
      <c r="I88" s="38">
        <v>231</v>
      </c>
      <c r="J88" s="93" t="s">
        <v>682</v>
      </c>
      <c r="K88" s="28" t="s">
        <v>663</v>
      </c>
      <c r="L88" s="28">
        <f>L87+1</f>
        <v>19</v>
      </c>
      <c r="M88" s="99">
        <f>IF(E88="VEDTATT","VEDTATT",0)</f>
        <v>0</v>
      </c>
      <c r="N88" s="99" t="str">
        <f>IF(E88="MÅ","Nye tiltak",0)</f>
        <v>Nye tiltak</v>
      </c>
      <c r="O88" s="99"/>
      <c r="P88" s="28"/>
    </row>
    <row r="89" spans="1:21" s="38" customFormat="1" x14ac:dyDescent="0.25">
      <c r="A89" s="78"/>
      <c r="B89" s="78"/>
      <c r="C89" s="245"/>
      <c r="D89" s="214"/>
      <c r="E89" s="71"/>
      <c r="J89" s="93"/>
      <c r="K89" s="28"/>
      <c r="L89" s="28"/>
      <c r="M89" s="99"/>
      <c r="N89" s="99"/>
      <c r="O89" s="99"/>
      <c r="P89" s="28"/>
    </row>
    <row r="90" spans="1:21" s="38" customFormat="1" x14ac:dyDescent="0.25">
      <c r="A90" s="78"/>
      <c r="B90" s="78"/>
      <c r="C90" s="82" t="s">
        <v>117</v>
      </c>
      <c r="D90" s="96"/>
      <c r="E90" s="71"/>
      <c r="F90" s="4">
        <f>F82</f>
        <v>2022</v>
      </c>
      <c r="G90" s="4">
        <f>F90+1</f>
        <v>2023</v>
      </c>
      <c r="H90" s="4">
        <f>G90+1</f>
        <v>2024</v>
      </c>
      <c r="I90" s="4">
        <f>H90+1</f>
        <v>2025</v>
      </c>
      <c r="J90" s="209"/>
      <c r="K90" s="337"/>
      <c r="L90" s="337"/>
      <c r="M90" s="99"/>
      <c r="N90" s="99"/>
      <c r="O90" s="99"/>
      <c r="P90" s="28"/>
      <c r="Q90" s="2"/>
      <c r="R90" s="2"/>
      <c r="S90" s="2"/>
      <c r="T90" s="2"/>
      <c r="U90" s="2"/>
    </row>
    <row r="91" spans="1:21" s="38" customFormat="1" x14ac:dyDescent="0.25">
      <c r="A91" s="78" t="s">
        <v>81</v>
      </c>
      <c r="B91" s="78" t="str">
        <f t="shared" ref="B91:B103" si="7">IF(L91,K91&amp;L91,"")</f>
        <v>OV20</v>
      </c>
      <c r="C91" s="245" t="s">
        <v>822</v>
      </c>
      <c r="D91" s="72" t="s">
        <v>664</v>
      </c>
      <c r="E91" s="111" t="s">
        <v>84</v>
      </c>
      <c r="F91" s="74">
        <v>0</v>
      </c>
      <c r="G91" s="74">
        <v>990</v>
      </c>
      <c r="H91" s="74">
        <v>990</v>
      </c>
      <c r="I91" s="74">
        <v>990</v>
      </c>
      <c r="J91" s="209"/>
      <c r="K91" s="28" t="s">
        <v>663</v>
      </c>
      <c r="L91" s="28">
        <f>L88+1</f>
        <v>20</v>
      </c>
      <c r="M91" s="99" t="str">
        <f>IF(E91="VEDTATT","VEDTATT",0)</f>
        <v>VEDTATT</v>
      </c>
      <c r="N91" s="99">
        <f>IF(E91="MÅ","Nye tiltak",0)</f>
        <v>0</v>
      </c>
      <c r="O91" s="99"/>
      <c r="P91" s="28"/>
    </row>
    <row r="92" spans="1:21" s="38" customFormat="1" x14ac:dyDescent="0.25">
      <c r="A92" s="78" t="s">
        <v>81</v>
      </c>
      <c r="B92" s="78" t="str">
        <f t="shared" si="7"/>
        <v>OV21</v>
      </c>
      <c r="C92" s="245" t="s">
        <v>695</v>
      </c>
      <c r="D92" s="72" t="s">
        <v>661</v>
      </c>
      <c r="E92" s="79" t="s">
        <v>84</v>
      </c>
      <c r="F92" s="485">
        <v>950</v>
      </c>
      <c r="G92" s="485">
        <v>950</v>
      </c>
      <c r="H92" s="485">
        <v>950</v>
      </c>
      <c r="I92" s="485">
        <v>950</v>
      </c>
      <c r="J92" s="470" t="s">
        <v>696</v>
      </c>
      <c r="K92" s="28" t="s">
        <v>663</v>
      </c>
      <c r="L92" s="28">
        <f t="shared" ref="L92:L103" si="8">L91+1</f>
        <v>21</v>
      </c>
      <c r="M92" s="99" t="str">
        <f>IF(E92="VEDTATT","VEDTATT",0)</f>
        <v>VEDTATT</v>
      </c>
      <c r="N92" s="99">
        <f>IF(E92="MÅ","Nye tiltak",0)</f>
        <v>0</v>
      </c>
      <c r="O92" s="99"/>
      <c r="P92" s="28"/>
    </row>
    <row r="93" spans="1:21" s="38" customFormat="1" ht="25.5" x14ac:dyDescent="0.25">
      <c r="A93" s="78" t="s">
        <v>81</v>
      </c>
      <c r="B93" s="78" t="str">
        <f t="shared" si="7"/>
        <v>OV22</v>
      </c>
      <c r="C93" s="245" t="s">
        <v>697</v>
      </c>
      <c r="D93" s="72" t="s">
        <v>661</v>
      </c>
      <c r="E93" s="111" t="s">
        <v>84</v>
      </c>
      <c r="F93" s="485">
        <v>250</v>
      </c>
      <c r="G93" s="485">
        <v>250</v>
      </c>
      <c r="H93" s="485">
        <v>250</v>
      </c>
      <c r="I93" s="485">
        <v>250</v>
      </c>
      <c r="J93" s="470" t="s">
        <v>698</v>
      </c>
      <c r="K93" s="28" t="s">
        <v>663</v>
      </c>
      <c r="L93" s="28">
        <f t="shared" si="8"/>
        <v>22</v>
      </c>
      <c r="M93" s="99" t="str">
        <f>IF(E93="VEDTATT","VEDTATT",0)</f>
        <v>VEDTATT</v>
      </c>
      <c r="N93" s="99">
        <f>IF(E93="MÅ","Nye tiltak",0)</f>
        <v>0</v>
      </c>
      <c r="O93" s="99"/>
      <c r="P93" s="28"/>
    </row>
    <row r="94" spans="1:21" s="38" customFormat="1" x14ac:dyDescent="0.25">
      <c r="A94" s="78" t="s">
        <v>81</v>
      </c>
      <c r="B94" s="78" t="str">
        <f t="shared" si="7"/>
        <v>OV23</v>
      </c>
      <c r="C94" s="245" t="s">
        <v>857</v>
      </c>
      <c r="D94" s="72" t="s">
        <v>664</v>
      </c>
      <c r="E94" s="71" t="s">
        <v>84</v>
      </c>
      <c r="F94" s="191"/>
      <c r="G94" s="191">
        <v>-3040</v>
      </c>
      <c r="H94" s="191">
        <v>-3040</v>
      </c>
      <c r="I94" s="191">
        <v>-3040</v>
      </c>
      <c r="J94" s="209" t="s">
        <v>687</v>
      </c>
      <c r="K94" s="28" t="s">
        <v>663</v>
      </c>
      <c r="L94" s="28">
        <f t="shared" si="8"/>
        <v>23</v>
      </c>
      <c r="M94" s="99" t="str">
        <f>IF(E95="VEDTATT","VEDTATT",0)</f>
        <v>VEDTATT</v>
      </c>
      <c r="N94" s="99">
        <f>IF(E95="MÅ","Nye tiltak",0)</f>
        <v>0</v>
      </c>
      <c r="O94" s="99"/>
      <c r="P94" s="28"/>
    </row>
    <row r="95" spans="1:21" s="38" customFormat="1" x14ac:dyDescent="0.25">
      <c r="A95" s="78" t="s">
        <v>81</v>
      </c>
      <c r="B95" s="78" t="str">
        <f t="shared" si="7"/>
        <v>OV24</v>
      </c>
      <c r="C95" s="245" t="s">
        <v>824</v>
      </c>
      <c r="D95" s="72" t="s">
        <v>661</v>
      </c>
      <c r="E95" s="71" t="s">
        <v>84</v>
      </c>
      <c r="F95" s="191"/>
      <c r="G95" s="191"/>
      <c r="H95" s="191"/>
      <c r="I95" s="191"/>
      <c r="J95" s="209"/>
      <c r="K95" s="28" t="s">
        <v>663</v>
      </c>
      <c r="L95" s="28">
        <f t="shared" si="8"/>
        <v>24</v>
      </c>
      <c r="M95" s="99" t="str">
        <f>IF(E96="VEDTATT","VEDTATT",0)</f>
        <v>VEDTATT</v>
      </c>
      <c r="N95" s="99">
        <f>IF(E96="MÅ","Nye tiltak",0)</f>
        <v>0</v>
      </c>
      <c r="O95" s="99"/>
      <c r="P95" s="28"/>
    </row>
    <row r="96" spans="1:21" s="38" customFormat="1" x14ac:dyDescent="0.25">
      <c r="A96" s="78" t="s">
        <v>81</v>
      </c>
      <c r="B96" s="78" t="str">
        <f t="shared" si="7"/>
        <v>OV25</v>
      </c>
      <c r="C96" s="245" t="s">
        <v>826</v>
      </c>
      <c r="D96" s="394" t="s">
        <v>661</v>
      </c>
      <c r="E96" s="395" t="s">
        <v>84</v>
      </c>
      <c r="F96" s="397"/>
      <c r="G96" s="397"/>
      <c r="H96" s="397"/>
      <c r="I96" s="397"/>
      <c r="J96" s="209"/>
      <c r="K96" s="28" t="s">
        <v>663</v>
      </c>
      <c r="L96" s="28">
        <f t="shared" si="8"/>
        <v>25</v>
      </c>
      <c r="M96" s="99"/>
      <c r="N96" s="99"/>
      <c r="O96" s="99"/>
      <c r="P96" s="28"/>
    </row>
    <row r="97" spans="1:16" s="38" customFormat="1" x14ac:dyDescent="0.25">
      <c r="A97" s="78" t="s">
        <v>81</v>
      </c>
      <c r="B97" s="78" t="str">
        <f t="shared" si="7"/>
        <v>OV26</v>
      </c>
      <c r="C97" s="245" t="s">
        <v>827</v>
      </c>
      <c r="D97" s="394" t="s">
        <v>91</v>
      </c>
      <c r="E97" s="395" t="s">
        <v>24</v>
      </c>
      <c r="F97" s="397">
        <v>1800</v>
      </c>
      <c r="G97" s="397">
        <f t="shared" ref="G97:I102" si="9">F97</f>
        <v>1800</v>
      </c>
      <c r="H97" s="397">
        <f t="shared" si="9"/>
        <v>1800</v>
      </c>
      <c r="I97" s="397">
        <f t="shared" si="9"/>
        <v>1800</v>
      </c>
      <c r="J97" s="83"/>
      <c r="K97" s="28" t="s">
        <v>663</v>
      </c>
      <c r="L97" s="28">
        <f t="shared" si="8"/>
        <v>26</v>
      </c>
      <c r="M97" s="99"/>
      <c r="N97" s="99"/>
      <c r="O97" s="99"/>
      <c r="P97" s="28"/>
    </row>
    <row r="98" spans="1:16" s="38" customFormat="1" x14ac:dyDescent="0.25">
      <c r="A98" s="78" t="s">
        <v>81</v>
      </c>
      <c r="B98" s="78" t="str">
        <f t="shared" si="7"/>
        <v>OV27</v>
      </c>
      <c r="C98" s="245" t="s">
        <v>828</v>
      </c>
      <c r="D98" s="394" t="s">
        <v>91</v>
      </c>
      <c r="E98" s="395" t="s">
        <v>24</v>
      </c>
      <c r="F98" s="397">
        <v>8000</v>
      </c>
      <c r="G98" s="397">
        <f t="shared" si="9"/>
        <v>8000</v>
      </c>
      <c r="H98" s="397">
        <f t="shared" si="9"/>
        <v>8000</v>
      </c>
      <c r="I98" s="397">
        <f t="shared" si="9"/>
        <v>8000</v>
      </c>
      <c r="J98" s="83"/>
      <c r="K98" s="28" t="s">
        <v>663</v>
      </c>
      <c r="L98" s="28">
        <f t="shared" si="8"/>
        <v>27</v>
      </c>
      <c r="M98" s="99"/>
      <c r="N98" s="99"/>
      <c r="O98" s="99"/>
      <c r="P98" s="28"/>
    </row>
    <row r="99" spans="1:16" s="38" customFormat="1" x14ac:dyDescent="0.25">
      <c r="A99" s="78" t="s">
        <v>81</v>
      </c>
      <c r="B99" s="78" t="str">
        <f t="shared" si="7"/>
        <v>OV28</v>
      </c>
      <c r="C99" s="245" t="s">
        <v>829</v>
      </c>
      <c r="D99" s="394" t="s">
        <v>91</v>
      </c>
      <c r="E99" s="395" t="s">
        <v>24</v>
      </c>
      <c r="F99" s="397">
        <v>25000</v>
      </c>
      <c r="G99" s="397">
        <f t="shared" si="9"/>
        <v>25000</v>
      </c>
      <c r="H99" s="397">
        <f t="shared" si="9"/>
        <v>25000</v>
      </c>
      <c r="I99" s="397">
        <f t="shared" si="9"/>
        <v>25000</v>
      </c>
      <c r="J99" s="464"/>
      <c r="K99" s="28" t="s">
        <v>663</v>
      </c>
      <c r="L99" s="28">
        <f t="shared" si="8"/>
        <v>28</v>
      </c>
      <c r="M99" s="99"/>
      <c r="N99" s="99"/>
      <c r="O99" s="99"/>
      <c r="P99" s="28"/>
    </row>
    <row r="100" spans="1:16" s="38" customFormat="1" x14ac:dyDescent="0.25">
      <c r="A100" s="78" t="s">
        <v>81</v>
      </c>
      <c r="B100" s="78" t="str">
        <f t="shared" si="7"/>
        <v>OV29</v>
      </c>
      <c r="C100" s="245" t="s">
        <v>830</v>
      </c>
      <c r="D100" s="394" t="s">
        <v>91</v>
      </c>
      <c r="E100" s="395" t="s">
        <v>24</v>
      </c>
      <c r="F100" s="397">
        <v>1900</v>
      </c>
      <c r="G100" s="397">
        <f t="shared" si="9"/>
        <v>1900</v>
      </c>
      <c r="H100" s="397">
        <f t="shared" si="9"/>
        <v>1900</v>
      </c>
      <c r="I100" s="397">
        <f t="shared" si="9"/>
        <v>1900</v>
      </c>
      <c r="J100" s="464" t="s">
        <v>831</v>
      </c>
      <c r="K100" s="28" t="s">
        <v>663</v>
      </c>
      <c r="L100" s="28">
        <f t="shared" si="8"/>
        <v>29</v>
      </c>
      <c r="M100" s="99"/>
      <c r="N100" s="99"/>
      <c r="O100" s="99"/>
      <c r="P100" s="28"/>
    </row>
    <row r="101" spans="1:16" s="38" customFormat="1" x14ac:dyDescent="0.25">
      <c r="A101" s="78" t="s">
        <v>81</v>
      </c>
      <c r="B101" s="78" t="str">
        <f>IF(L101,K101&amp;L101,"")</f>
        <v>OV30</v>
      </c>
      <c r="C101" s="245" t="s">
        <v>858</v>
      </c>
      <c r="D101" s="394" t="s">
        <v>91</v>
      </c>
      <c r="E101" s="395" t="s">
        <v>24</v>
      </c>
      <c r="F101" s="397"/>
      <c r="G101" s="397"/>
      <c r="H101" s="397"/>
      <c r="I101" s="397"/>
      <c r="J101" s="464" t="s">
        <v>859</v>
      </c>
      <c r="K101" s="28" t="s">
        <v>663</v>
      </c>
      <c r="L101" s="28">
        <f>L100+1</f>
        <v>30</v>
      </c>
      <c r="M101" s="99"/>
      <c r="N101" s="99"/>
      <c r="O101" s="99"/>
      <c r="P101" s="28"/>
    </row>
    <row r="102" spans="1:16" s="38" customFormat="1" x14ac:dyDescent="0.25">
      <c r="A102" s="78" t="s">
        <v>81</v>
      </c>
      <c r="B102" s="78" t="str">
        <f t="shared" si="7"/>
        <v>OV31</v>
      </c>
      <c r="C102" s="396" t="s">
        <v>689</v>
      </c>
      <c r="D102" s="394" t="s">
        <v>91</v>
      </c>
      <c r="E102" s="395" t="s">
        <v>24</v>
      </c>
      <c r="F102" s="397">
        <v>550</v>
      </c>
      <c r="G102" s="397">
        <f t="shared" si="9"/>
        <v>550</v>
      </c>
      <c r="H102" s="397">
        <f t="shared" si="9"/>
        <v>550</v>
      </c>
      <c r="I102" s="397">
        <f t="shared" si="9"/>
        <v>550</v>
      </c>
      <c r="J102" s="209" t="s">
        <v>690</v>
      </c>
      <c r="K102" s="28" t="s">
        <v>663</v>
      </c>
      <c r="L102" s="28">
        <f>L101+1</f>
        <v>31</v>
      </c>
      <c r="M102" s="99"/>
      <c r="N102" s="99"/>
      <c r="O102" s="99"/>
      <c r="P102" s="28"/>
    </row>
    <row r="103" spans="1:16" s="38" customFormat="1" x14ac:dyDescent="0.25">
      <c r="A103" s="244" t="s">
        <v>81</v>
      </c>
      <c r="B103" s="78" t="str">
        <f t="shared" si="7"/>
        <v>OV32</v>
      </c>
      <c r="C103" s="396" t="s">
        <v>118</v>
      </c>
      <c r="D103" s="394" t="s">
        <v>91</v>
      </c>
      <c r="E103" s="111" t="s">
        <v>24</v>
      </c>
      <c r="F103" s="397">
        <v>5500</v>
      </c>
      <c r="G103" s="397">
        <v>5500</v>
      </c>
      <c r="J103" s="209" t="s">
        <v>691</v>
      </c>
      <c r="K103" s="28" t="s">
        <v>663</v>
      </c>
      <c r="L103" s="28">
        <f t="shared" si="8"/>
        <v>32</v>
      </c>
      <c r="M103" s="99"/>
      <c r="N103" s="99"/>
      <c r="O103" s="99"/>
      <c r="P103" s="28"/>
    </row>
    <row r="104" spans="1:16" s="38" customFormat="1" x14ac:dyDescent="0.25">
      <c r="A104" s="244"/>
      <c r="B104" s="244"/>
      <c r="C104" s="396"/>
      <c r="J104" s="209"/>
      <c r="K104" s="28"/>
      <c r="L104" s="28"/>
      <c r="M104" s="99"/>
      <c r="N104" s="99"/>
      <c r="O104" s="99"/>
      <c r="P104" s="28"/>
    </row>
    <row r="105" spans="1:16" s="38" customFormat="1" x14ac:dyDescent="0.25">
      <c r="A105" s="244"/>
      <c r="B105" s="244"/>
      <c r="C105" s="396"/>
      <c r="J105" s="209"/>
      <c r="K105" s="28"/>
      <c r="L105" s="28"/>
      <c r="M105" s="99"/>
      <c r="N105" s="99"/>
      <c r="O105" s="99"/>
      <c r="P105" s="28"/>
    </row>
    <row r="106" spans="1:16" s="38" customFormat="1" x14ac:dyDescent="0.25">
      <c r="A106" s="244"/>
      <c r="B106" s="244"/>
      <c r="C106" s="396"/>
      <c r="J106" s="209"/>
      <c r="K106" s="28"/>
      <c r="L106" s="28"/>
      <c r="M106" s="99"/>
      <c r="N106" s="99"/>
      <c r="O106" s="99"/>
      <c r="P106" s="28"/>
    </row>
    <row r="107" spans="1:16" s="38" customFormat="1" x14ac:dyDescent="0.25">
      <c r="A107" s="244"/>
      <c r="B107" s="244"/>
      <c r="C107" s="396"/>
      <c r="J107" s="209"/>
      <c r="K107" s="28"/>
      <c r="L107" s="28"/>
      <c r="M107" s="99"/>
      <c r="N107" s="99"/>
      <c r="O107" s="99"/>
      <c r="P107" s="28"/>
    </row>
    <row r="108" spans="1:16" s="38" customFormat="1" x14ac:dyDescent="0.25">
      <c r="A108" s="43"/>
      <c r="B108" s="43" t="s">
        <v>127</v>
      </c>
      <c r="C108" s="3" t="s">
        <v>701</v>
      </c>
      <c r="D108" s="52"/>
      <c r="E108" s="52"/>
      <c r="F108" s="56">
        <f>SUMIF($A:$A,"OPP",F:F)</f>
        <v>86059</v>
      </c>
      <c r="G108" s="56">
        <f>SUMIF($A:$A,"OPP",G:G)</f>
        <v>90686</v>
      </c>
      <c r="H108" s="56">
        <f>SUMIF($A:$A,"OPP",H:H)</f>
        <v>99746.583333333328</v>
      </c>
      <c r="I108" s="56">
        <f>SUMIF($A:$A,"OPP",I:I)</f>
        <v>107395</v>
      </c>
      <c r="J108" s="209"/>
      <c r="K108" s="337"/>
      <c r="L108" s="337"/>
      <c r="M108" s="99"/>
      <c r="N108" s="99"/>
      <c r="O108" s="99"/>
      <c r="P108" s="28"/>
    </row>
    <row r="109" spans="1:16" s="38" customFormat="1" x14ac:dyDescent="0.25">
      <c r="A109" s="47"/>
      <c r="B109" s="47"/>
      <c r="C109" s="11"/>
      <c r="D109" s="49"/>
      <c r="E109" s="49"/>
      <c r="F109" s="57"/>
      <c r="G109" s="57"/>
      <c r="H109" s="57"/>
      <c r="I109" s="57"/>
      <c r="J109" s="209"/>
      <c r="K109" s="28"/>
      <c r="L109" s="28"/>
      <c r="M109" s="99"/>
      <c r="N109" s="99"/>
      <c r="O109" s="99"/>
      <c r="P109" s="28"/>
    </row>
    <row r="110" spans="1:16" s="38" customFormat="1" x14ac:dyDescent="0.25">
      <c r="A110" s="48"/>
      <c r="B110" s="48"/>
      <c r="C110" s="13" t="s">
        <v>129</v>
      </c>
      <c r="D110" s="50"/>
      <c r="E110" s="61"/>
      <c r="F110" s="58"/>
      <c r="G110" s="58"/>
      <c r="H110" s="58"/>
      <c r="I110" s="58"/>
      <c r="J110" s="209"/>
      <c r="M110" s="99"/>
      <c r="N110" s="99"/>
      <c r="O110" s="99"/>
      <c r="P110" s="28"/>
    </row>
    <row r="111" spans="1:16" s="38" customFormat="1" x14ac:dyDescent="0.25">
      <c r="A111" s="78"/>
      <c r="B111" s="78" t="str">
        <f t="shared" ref="B111:B119" si="10">IF(L111,K111&amp;L111,"")</f>
        <v/>
      </c>
      <c r="C111" s="82" t="s">
        <v>130</v>
      </c>
      <c r="D111" s="72"/>
      <c r="E111" s="71"/>
      <c r="F111" s="4">
        <f>F90</f>
        <v>2022</v>
      </c>
      <c r="G111" s="4">
        <f>F111+1</f>
        <v>2023</v>
      </c>
      <c r="H111" s="4">
        <f>G111+1</f>
        <v>2024</v>
      </c>
      <c r="I111" s="4">
        <f>H111+1</f>
        <v>2025</v>
      </c>
      <c r="J111" s="209"/>
      <c r="K111" s="337"/>
      <c r="L111" s="337"/>
      <c r="M111" s="99"/>
      <c r="N111" s="99"/>
      <c r="O111" s="99"/>
      <c r="P111" s="28"/>
    </row>
    <row r="112" spans="1:16" s="38" customFormat="1" x14ac:dyDescent="0.25">
      <c r="A112" s="78" t="s">
        <v>131</v>
      </c>
      <c r="B112" s="78" t="str">
        <f t="shared" si="10"/>
        <v>H1</v>
      </c>
      <c r="C112" s="245" t="s">
        <v>702</v>
      </c>
      <c r="D112" s="72" t="s">
        <v>664</v>
      </c>
      <c r="E112" s="71" t="s">
        <v>84</v>
      </c>
      <c r="F112" s="74">
        <v>5000</v>
      </c>
      <c r="G112" s="74">
        <v>5000</v>
      </c>
      <c r="H112" s="74">
        <v>5000</v>
      </c>
      <c r="I112" s="70">
        <v>5000</v>
      </c>
      <c r="J112" s="209"/>
      <c r="K112" s="28" t="s">
        <v>703</v>
      </c>
      <c r="L112" s="28">
        <v>1</v>
      </c>
      <c r="M112" s="99" t="str">
        <f>IF(E112="VEDTATT","VEDTATT",0)</f>
        <v>VEDTATT</v>
      </c>
      <c r="N112" s="99">
        <f>IF(E112="MÅ","Nye tiltak",0)</f>
        <v>0</v>
      </c>
      <c r="O112" s="99"/>
      <c r="P112" s="28"/>
    </row>
    <row r="113" spans="1:17" s="38" customFormat="1" x14ac:dyDescent="0.25">
      <c r="A113" s="78" t="s">
        <v>131</v>
      </c>
      <c r="B113" s="78" t="str">
        <f t="shared" si="10"/>
        <v>H2</v>
      </c>
      <c r="C113" s="245" t="s">
        <v>330</v>
      </c>
      <c r="D113" s="72" t="s">
        <v>664</v>
      </c>
      <c r="E113" s="71" t="s">
        <v>84</v>
      </c>
      <c r="F113" s="74"/>
      <c r="G113" s="74"/>
      <c r="H113" s="74">
        <v>1000</v>
      </c>
      <c r="I113" s="74">
        <v>9000</v>
      </c>
      <c r="J113" s="209"/>
      <c r="K113" s="28" t="s">
        <v>703</v>
      </c>
      <c r="L113" s="28">
        <f>L112+1</f>
        <v>2</v>
      </c>
      <c r="M113" s="99" t="str">
        <f>IF(E113="VEDTATT","VEDTATT",0)</f>
        <v>VEDTATT</v>
      </c>
      <c r="N113" s="99">
        <f>IF(E113="MÅ","Nye tiltak",0)</f>
        <v>0</v>
      </c>
      <c r="O113" s="99"/>
      <c r="P113" s="28"/>
    </row>
    <row r="114" spans="1:17" s="38" customFormat="1" x14ac:dyDescent="0.25">
      <c r="A114" s="78" t="s">
        <v>131</v>
      </c>
      <c r="B114" s="78" t="str">
        <f t="shared" si="10"/>
        <v>H3</v>
      </c>
      <c r="C114" s="245" t="s">
        <v>704</v>
      </c>
      <c r="D114" s="72" t="s">
        <v>91</v>
      </c>
      <c r="E114" s="71" t="s">
        <v>24</v>
      </c>
      <c r="F114" s="74">
        <v>1600</v>
      </c>
      <c r="G114" s="74">
        <v>1600</v>
      </c>
      <c r="H114" s="74">
        <v>1600</v>
      </c>
      <c r="I114" s="74">
        <v>1600</v>
      </c>
      <c r="J114" s="209"/>
      <c r="K114" s="28" t="s">
        <v>703</v>
      </c>
      <c r="L114" s="28">
        <f>L113+1</f>
        <v>3</v>
      </c>
      <c r="M114" s="99"/>
      <c r="N114" s="99"/>
      <c r="O114" s="99"/>
      <c r="P114" s="28"/>
    </row>
    <row r="115" spans="1:17" s="38" customFormat="1" x14ac:dyDescent="0.25">
      <c r="A115" s="78" t="s">
        <v>131</v>
      </c>
      <c r="B115" s="78" t="str">
        <f t="shared" si="10"/>
        <v>H4</v>
      </c>
      <c r="C115" s="245" t="s">
        <v>420</v>
      </c>
      <c r="D115" s="72" t="s">
        <v>664</v>
      </c>
      <c r="E115" s="71" t="s">
        <v>84</v>
      </c>
      <c r="F115" s="90">
        <v>900</v>
      </c>
      <c r="G115" s="90">
        <v>2550</v>
      </c>
      <c r="H115" s="90">
        <v>4500</v>
      </c>
      <c r="I115" s="90">
        <v>5800</v>
      </c>
      <c r="J115" s="470" t="s">
        <v>696</v>
      </c>
      <c r="K115" s="28" t="s">
        <v>703</v>
      </c>
      <c r="L115" s="28">
        <f>L114+1</f>
        <v>4</v>
      </c>
      <c r="M115" s="99" t="str">
        <f>IF(E115="VEDTATT","VEDTATT",0)</f>
        <v>VEDTATT</v>
      </c>
      <c r="N115" s="99">
        <f>IF(E115="MÅ","Nye tiltak",0)</f>
        <v>0</v>
      </c>
      <c r="O115" s="99"/>
      <c r="P115" s="28"/>
    </row>
    <row r="116" spans="1:17" s="38" customFormat="1" x14ac:dyDescent="0.25">
      <c r="A116" s="78"/>
      <c r="B116" s="78" t="str">
        <f t="shared" si="10"/>
        <v/>
      </c>
      <c r="C116" s="82" t="s">
        <v>136</v>
      </c>
      <c r="D116" s="72"/>
      <c r="E116" s="71"/>
      <c r="F116" s="4">
        <f>F111</f>
        <v>2022</v>
      </c>
      <c r="G116" s="4">
        <f>F116+1</f>
        <v>2023</v>
      </c>
      <c r="H116" s="4">
        <f>G116+1</f>
        <v>2024</v>
      </c>
      <c r="I116" s="4">
        <f>H116+1</f>
        <v>2025</v>
      </c>
      <c r="J116" s="209"/>
      <c r="K116" s="337"/>
      <c r="L116" s="337"/>
      <c r="M116" s="99"/>
      <c r="N116" s="99"/>
      <c r="O116" s="99"/>
      <c r="P116" s="28"/>
    </row>
    <row r="117" spans="1:17" s="38" customFormat="1" x14ac:dyDescent="0.25">
      <c r="A117" s="78" t="s">
        <v>131</v>
      </c>
      <c r="B117" s="78" t="str">
        <f t="shared" si="10"/>
        <v>H5</v>
      </c>
      <c r="C117" s="245" t="s">
        <v>137</v>
      </c>
      <c r="D117" s="72" t="s">
        <v>664</v>
      </c>
      <c r="E117" s="71" t="s">
        <v>84</v>
      </c>
      <c r="F117" s="70">
        <v>2500</v>
      </c>
      <c r="G117" s="70">
        <v>5000</v>
      </c>
      <c r="H117" s="70">
        <v>7500</v>
      </c>
      <c r="I117" s="70">
        <v>10000</v>
      </c>
      <c r="J117" s="209"/>
      <c r="K117" s="28" t="s">
        <v>703</v>
      </c>
      <c r="L117" s="28">
        <f>L115+1</f>
        <v>5</v>
      </c>
      <c r="M117" s="99" t="str">
        <f>IF(E117="VEDTATT","VEDTATT",0)</f>
        <v>VEDTATT</v>
      </c>
      <c r="N117" s="99">
        <f>IF(E117="MÅ","Nye tiltak",0)</f>
        <v>0</v>
      </c>
      <c r="O117" s="99"/>
      <c r="P117" s="28"/>
    </row>
    <row r="118" spans="1:17" s="38" customFormat="1" x14ac:dyDescent="0.25">
      <c r="A118" s="78" t="s">
        <v>131</v>
      </c>
      <c r="B118" s="78" t="str">
        <f t="shared" si="10"/>
        <v>H6</v>
      </c>
      <c r="C118" s="245" t="s">
        <v>705</v>
      </c>
      <c r="D118" s="72" t="s">
        <v>664</v>
      </c>
      <c r="E118" s="71" t="s">
        <v>84</v>
      </c>
      <c r="F118" s="217">
        <v>10000</v>
      </c>
      <c r="G118" s="217">
        <v>20000</v>
      </c>
      <c r="H118" s="217">
        <v>20000</v>
      </c>
      <c r="I118" s="217">
        <v>20000</v>
      </c>
      <c r="J118" s="209"/>
      <c r="K118" s="28" t="s">
        <v>703</v>
      </c>
      <c r="L118" s="28">
        <f>L117+1</f>
        <v>6</v>
      </c>
      <c r="M118" s="99"/>
      <c r="N118" s="99"/>
      <c r="O118" s="99"/>
      <c r="P118" s="28"/>
    </row>
    <row r="119" spans="1:17" s="38" customFormat="1" x14ac:dyDescent="0.25">
      <c r="A119" s="78" t="s">
        <v>131</v>
      </c>
      <c r="B119" s="78" t="str">
        <f t="shared" si="10"/>
        <v>H7</v>
      </c>
      <c r="C119" s="245" t="s">
        <v>706</v>
      </c>
      <c r="D119" s="72" t="s">
        <v>91</v>
      </c>
      <c r="E119" s="71" t="s">
        <v>24</v>
      </c>
      <c r="F119" s="217">
        <v>1400</v>
      </c>
      <c r="G119" s="217">
        <f>F119</f>
        <v>1400</v>
      </c>
      <c r="H119" s="217">
        <f>G119</f>
        <v>1400</v>
      </c>
      <c r="I119" s="217">
        <f>H119</f>
        <v>1400</v>
      </c>
      <c r="J119" s="209"/>
      <c r="K119" s="28" t="s">
        <v>703</v>
      </c>
      <c r="L119" s="28">
        <f>L118+1</f>
        <v>7</v>
      </c>
      <c r="M119" s="99">
        <f>IF(E119="VEDTATT","VEDTATT",0)</f>
        <v>0</v>
      </c>
      <c r="N119" s="99" t="str">
        <f>IF(E119="MÅ","Nye tiltak",0)</f>
        <v>Nye tiltak</v>
      </c>
      <c r="O119" s="99"/>
      <c r="P119" s="28"/>
    </row>
    <row r="120" spans="1:17" s="38" customFormat="1" x14ac:dyDescent="0.25">
      <c r="A120" s="341"/>
      <c r="B120" s="341"/>
      <c r="C120" s="82" t="s">
        <v>142</v>
      </c>
      <c r="D120" s="83"/>
      <c r="E120" s="71"/>
      <c r="F120" s="4">
        <f>F116</f>
        <v>2022</v>
      </c>
      <c r="G120" s="4">
        <f>F120+1</f>
        <v>2023</v>
      </c>
      <c r="H120" s="4">
        <f>G120+1</f>
        <v>2024</v>
      </c>
      <c r="I120" s="4">
        <f>H120+1</f>
        <v>2025</v>
      </c>
      <c r="J120" s="209"/>
      <c r="K120" s="337"/>
      <c r="L120" s="337"/>
      <c r="M120" s="99"/>
      <c r="N120" s="99"/>
      <c r="O120" s="99"/>
      <c r="P120" s="28"/>
    </row>
    <row r="121" spans="1:17" s="38" customFormat="1" x14ac:dyDescent="0.25">
      <c r="A121" s="78" t="s">
        <v>131</v>
      </c>
      <c r="B121" s="78" t="str">
        <f t="shared" ref="B121:B129" si="11">IF(L121,K121&amp;L121,"")</f>
        <v>H8</v>
      </c>
      <c r="C121" s="245" t="s">
        <v>143</v>
      </c>
      <c r="D121" s="72" t="s">
        <v>664</v>
      </c>
      <c r="E121" s="71" t="s">
        <v>84</v>
      </c>
      <c r="F121" s="70">
        <v>-300</v>
      </c>
      <c r="G121" s="70">
        <v>-900</v>
      </c>
      <c r="H121" s="70">
        <v>-1500</v>
      </c>
      <c r="I121" s="70">
        <v>-2100</v>
      </c>
      <c r="J121" s="209"/>
      <c r="K121" s="28" t="s">
        <v>703</v>
      </c>
      <c r="L121" s="28">
        <f>L119+1</f>
        <v>8</v>
      </c>
      <c r="M121" s="99" t="str">
        <f>IF(E121="VEDTATT","VEDTATT",0)</f>
        <v>VEDTATT</v>
      </c>
      <c r="N121" s="99">
        <f>IF(E121="MÅ","Nye tiltak",0)</f>
        <v>0</v>
      </c>
      <c r="O121" s="99"/>
      <c r="P121" s="28"/>
    </row>
    <row r="122" spans="1:17" s="38" customFormat="1" ht="25.5" x14ac:dyDescent="0.25">
      <c r="A122" s="78" t="s">
        <v>131</v>
      </c>
      <c r="B122" s="78" t="str">
        <f t="shared" si="11"/>
        <v/>
      </c>
      <c r="C122" s="245" t="s">
        <v>860</v>
      </c>
      <c r="D122" s="72" t="s">
        <v>91</v>
      </c>
      <c r="E122" s="71" t="s">
        <v>24</v>
      </c>
      <c r="F122" s="70"/>
      <c r="G122" s="70"/>
      <c r="H122" s="70"/>
      <c r="I122" s="70"/>
      <c r="J122" s="209" t="s">
        <v>861</v>
      </c>
      <c r="K122" s="28" t="s">
        <v>703</v>
      </c>
      <c r="L122" s="28"/>
      <c r="M122" s="99">
        <f>IF(E122="VEDTATT","VEDTATT",0)</f>
        <v>0</v>
      </c>
      <c r="N122" s="99" t="str">
        <f>IF(E122="MÅ","Nye tiltak",0)</f>
        <v>Nye tiltak</v>
      </c>
      <c r="O122" s="99"/>
      <c r="P122" s="28"/>
      <c r="Q122" s="295"/>
    </row>
    <row r="123" spans="1:17" s="38" customFormat="1" x14ac:dyDescent="0.25">
      <c r="A123" s="78" t="s">
        <v>131</v>
      </c>
      <c r="B123" s="78" t="str">
        <f t="shared" si="11"/>
        <v>H9</v>
      </c>
      <c r="C123" s="245" t="s">
        <v>832</v>
      </c>
      <c r="D123" s="72" t="s">
        <v>91</v>
      </c>
      <c r="E123" s="71" t="s">
        <v>24</v>
      </c>
      <c r="F123" s="70">
        <v>950</v>
      </c>
      <c r="G123" s="70">
        <v>950</v>
      </c>
      <c r="H123" s="70">
        <v>950</v>
      </c>
      <c r="I123" s="70">
        <v>950</v>
      </c>
      <c r="J123" s="403">
        <v>2</v>
      </c>
      <c r="K123" s="28" t="s">
        <v>703</v>
      </c>
      <c r="L123" s="28">
        <f>L121+1</f>
        <v>9</v>
      </c>
      <c r="M123" s="99"/>
      <c r="N123" s="99"/>
      <c r="O123" s="99"/>
      <c r="Q123" s="295"/>
    </row>
    <row r="124" spans="1:17" s="38" customFormat="1" x14ac:dyDescent="0.25">
      <c r="A124" s="78" t="s">
        <v>131</v>
      </c>
      <c r="B124" s="78" t="str">
        <f t="shared" si="11"/>
        <v>H10</v>
      </c>
      <c r="C124" s="245" t="s">
        <v>144</v>
      </c>
      <c r="D124" s="72" t="s">
        <v>664</v>
      </c>
      <c r="E124" s="71" t="s">
        <v>84</v>
      </c>
      <c r="F124" s="70">
        <f>-11400-15856</f>
        <v>-27256</v>
      </c>
      <c r="G124" s="70">
        <f>-11400-15856</f>
        <v>-27256</v>
      </c>
      <c r="H124" s="70">
        <f>G124</f>
        <v>-27256</v>
      </c>
      <c r="I124" s="70">
        <f>H124</f>
        <v>-27256</v>
      </c>
      <c r="J124" s="209"/>
      <c r="K124" s="28" t="s">
        <v>703</v>
      </c>
      <c r="L124" s="28">
        <f>L123+1</f>
        <v>10</v>
      </c>
      <c r="M124" s="99" t="str">
        <f>IF(E124="VEDTATT","VEDTATT",0)</f>
        <v>VEDTATT</v>
      </c>
      <c r="N124" s="99">
        <f>IF(E124="MÅ","Nye tiltak",0)</f>
        <v>0</v>
      </c>
      <c r="O124" s="99"/>
      <c r="Q124" s="295"/>
    </row>
    <row r="125" spans="1:17" s="38" customFormat="1" x14ac:dyDescent="0.25">
      <c r="A125" s="78"/>
      <c r="B125" s="78" t="str">
        <f t="shared" si="11"/>
        <v/>
      </c>
      <c r="C125" s="82" t="s">
        <v>156</v>
      </c>
      <c r="D125" s="72"/>
      <c r="E125" s="71"/>
      <c r="F125" s="4">
        <f>F120</f>
        <v>2022</v>
      </c>
      <c r="G125" s="4">
        <f>F125+1</f>
        <v>2023</v>
      </c>
      <c r="H125" s="4">
        <f>G125+1</f>
        <v>2024</v>
      </c>
      <c r="I125" s="4">
        <f>H125+1</f>
        <v>2025</v>
      </c>
      <c r="J125" s="209"/>
      <c r="K125" s="4"/>
      <c r="L125" s="4"/>
      <c r="M125" s="99"/>
      <c r="N125" s="99"/>
      <c r="O125" s="99"/>
    </row>
    <row r="126" spans="1:17" s="38" customFormat="1" x14ac:dyDescent="0.25">
      <c r="A126" s="78" t="s">
        <v>131</v>
      </c>
      <c r="B126" s="78" t="str">
        <f t="shared" si="11"/>
        <v>H11</v>
      </c>
      <c r="C126" s="245" t="s">
        <v>159</v>
      </c>
      <c r="D126" s="72" t="s">
        <v>91</v>
      </c>
      <c r="E126" s="71" t="s">
        <v>24</v>
      </c>
      <c r="F126" s="70">
        <v>600</v>
      </c>
      <c r="G126" s="70">
        <v>600</v>
      </c>
      <c r="H126" s="70">
        <v>600</v>
      </c>
      <c r="I126" s="70">
        <v>600</v>
      </c>
      <c r="J126" s="209"/>
      <c r="K126" s="28" t="s">
        <v>703</v>
      </c>
      <c r="L126" s="28">
        <f>L124+1</f>
        <v>11</v>
      </c>
      <c r="M126" s="99"/>
      <c r="N126" s="99"/>
      <c r="O126" s="99"/>
      <c r="P126" s="28"/>
    </row>
    <row r="127" spans="1:17" s="38" customFormat="1" x14ac:dyDescent="0.25">
      <c r="A127" s="78" t="s">
        <v>131</v>
      </c>
      <c r="B127" s="78" t="str">
        <f t="shared" si="11"/>
        <v>H12</v>
      </c>
      <c r="C127" s="245" t="s">
        <v>157</v>
      </c>
      <c r="D127" s="72" t="s">
        <v>661</v>
      </c>
      <c r="E127" s="71" t="s">
        <v>84</v>
      </c>
      <c r="F127" s="70">
        <v>5461</v>
      </c>
      <c r="G127" s="70">
        <v>5521</v>
      </c>
      <c r="H127" s="70">
        <v>5578</v>
      </c>
      <c r="I127" s="70">
        <v>5635</v>
      </c>
      <c r="J127" s="403"/>
      <c r="K127" s="28" t="s">
        <v>703</v>
      </c>
      <c r="L127" s="28">
        <f>L126+1</f>
        <v>12</v>
      </c>
      <c r="M127" s="99" t="str">
        <f>IF(E127="VEDTATT","VEDTATT",0)</f>
        <v>VEDTATT</v>
      </c>
      <c r="N127" s="99">
        <f>IF(E127="MÅ","Nye tiltak",0)</f>
        <v>0</v>
      </c>
      <c r="O127" s="99"/>
      <c r="P127" s="28"/>
    </row>
    <row r="128" spans="1:17" s="38" customFormat="1" ht="25.5" x14ac:dyDescent="0.25">
      <c r="A128" s="78" t="s">
        <v>131</v>
      </c>
      <c r="B128" s="78" t="str">
        <f t="shared" si="11"/>
        <v>H13</v>
      </c>
      <c r="C128" s="245" t="s">
        <v>713</v>
      </c>
      <c r="D128" s="72" t="s">
        <v>661</v>
      </c>
      <c r="E128" s="71" t="s">
        <v>84</v>
      </c>
      <c r="F128" s="90">
        <v>100</v>
      </c>
      <c r="G128" s="90">
        <v>100</v>
      </c>
      <c r="H128" s="90">
        <v>100</v>
      </c>
      <c r="I128" s="90">
        <v>100</v>
      </c>
      <c r="J128" s="470" t="s">
        <v>714</v>
      </c>
      <c r="K128" s="28" t="s">
        <v>703</v>
      </c>
      <c r="L128" s="28">
        <f>L127+1</f>
        <v>13</v>
      </c>
      <c r="M128" s="99" t="str">
        <f>IF(E128="VEDTATT","VEDTATT",0)</f>
        <v>VEDTATT</v>
      </c>
      <c r="N128" s="99">
        <f>IF(E128="MÅ","Nye tiltak",0)</f>
        <v>0</v>
      </c>
      <c r="O128" s="99"/>
      <c r="P128" s="28"/>
    </row>
    <row r="129" spans="1:16" s="38" customFormat="1" ht="25.5" x14ac:dyDescent="0.25">
      <c r="A129" s="78" t="s">
        <v>131</v>
      </c>
      <c r="B129" s="78" t="str">
        <f t="shared" si="11"/>
        <v>H14</v>
      </c>
      <c r="C129" s="245" t="s">
        <v>862</v>
      </c>
      <c r="D129" s="79" t="s">
        <v>91</v>
      </c>
      <c r="E129" s="71"/>
      <c r="F129" s="391"/>
      <c r="G129" s="391"/>
      <c r="H129" s="391"/>
      <c r="I129" s="391"/>
      <c r="J129" s="209" t="s">
        <v>863</v>
      </c>
      <c r="K129" s="28" t="s">
        <v>703</v>
      </c>
      <c r="L129" s="28">
        <f>L128+1</f>
        <v>14</v>
      </c>
      <c r="M129" s="99">
        <f>IF(E129="VEDTATT","VEDTATT",0)</f>
        <v>0</v>
      </c>
      <c r="N129" s="99">
        <f>IF(E129="MÅ","Nye tiltak",0)</f>
        <v>0</v>
      </c>
      <c r="O129" s="99"/>
      <c r="P129" s="28"/>
    </row>
    <row r="130" spans="1:16" s="38" customFormat="1" x14ac:dyDescent="0.25">
      <c r="A130" s="78"/>
      <c r="B130" s="78"/>
      <c r="C130" s="82" t="s">
        <v>172</v>
      </c>
      <c r="D130" s="83"/>
      <c r="E130" s="71"/>
      <c r="F130" s="4">
        <f>F125</f>
        <v>2022</v>
      </c>
      <c r="G130" s="4">
        <f>F130+1</f>
        <v>2023</v>
      </c>
      <c r="H130" s="4">
        <f>G130+1</f>
        <v>2024</v>
      </c>
      <c r="I130" s="4">
        <f>H130+1</f>
        <v>2025</v>
      </c>
      <c r="J130" s="209"/>
      <c r="K130" s="337"/>
      <c r="L130" s="337"/>
      <c r="M130" s="99"/>
      <c r="N130" s="99"/>
      <c r="O130" s="99"/>
      <c r="P130" s="28"/>
    </row>
    <row r="131" spans="1:16" s="38" customFormat="1" x14ac:dyDescent="0.25">
      <c r="A131" s="78" t="s">
        <v>131</v>
      </c>
      <c r="B131" s="78" t="str">
        <f t="shared" ref="B131:B138" si="12">IF(L131,K131&amp;L131,"")</f>
        <v>H15</v>
      </c>
      <c r="C131" s="245" t="s">
        <v>864</v>
      </c>
      <c r="D131" s="72" t="s">
        <v>661</v>
      </c>
      <c r="E131" s="71" t="s">
        <v>84</v>
      </c>
      <c r="F131" s="70">
        <v>-1883</v>
      </c>
      <c r="G131" s="59">
        <v>-1178</v>
      </c>
      <c r="H131" s="59">
        <v>232</v>
      </c>
      <c r="I131" s="59">
        <v>4583</v>
      </c>
      <c r="J131" s="403"/>
      <c r="K131" s="28" t="s">
        <v>703</v>
      </c>
      <c r="L131" s="28">
        <f>L129+1</f>
        <v>15</v>
      </c>
      <c r="M131" s="99" t="str">
        <f>IF(E131="VEDTATT","VEDTATT",0)</f>
        <v>VEDTATT</v>
      </c>
      <c r="N131" s="99">
        <f>IF(E131="MÅ","Nye tiltak",0)</f>
        <v>0</v>
      </c>
      <c r="O131" s="99"/>
      <c r="P131" s="28"/>
    </row>
    <row r="132" spans="1:16" s="38" customFormat="1" x14ac:dyDescent="0.25">
      <c r="A132" s="78" t="s">
        <v>131</v>
      </c>
      <c r="B132" s="78" t="str">
        <f t="shared" si="12"/>
        <v>H16</v>
      </c>
      <c r="C132" s="245" t="s">
        <v>174</v>
      </c>
      <c r="D132" s="72" t="s">
        <v>661</v>
      </c>
      <c r="E132" s="71" t="s">
        <v>84</v>
      </c>
      <c r="F132" s="70">
        <v>5000</v>
      </c>
      <c r="G132" s="70">
        <v>0</v>
      </c>
      <c r="H132" s="70">
        <v>-2000</v>
      </c>
      <c r="I132" s="70">
        <v>-2000</v>
      </c>
      <c r="J132" s="403"/>
      <c r="K132" s="28" t="s">
        <v>703</v>
      </c>
      <c r="L132" s="28">
        <f>L131+1</f>
        <v>16</v>
      </c>
      <c r="M132" s="99" t="str">
        <f>IF(E132="VEDTATT","VEDTATT",0)</f>
        <v>VEDTATT</v>
      </c>
      <c r="N132" s="99">
        <f>IF(E132="MÅ","Nye tiltak",0)</f>
        <v>0</v>
      </c>
      <c r="O132" s="99"/>
      <c r="P132" s="28"/>
    </row>
    <row r="133" spans="1:16" s="38" customFormat="1" x14ac:dyDescent="0.25">
      <c r="A133" s="78" t="s">
        <v>131</v>
      </c>
      <c r="B133" s="78" t="str">
        <f t="shared" si="12"/>
        <v>H17</v>
      </c>
      <c r="C133" s="245" t="s">
        <v>529</v>
      </c>
      <c r="D133" s="72" t="s">
        <v>661</v>
      </c>
      <c r="E133" s="71" t="s">
        <v>84</v>
      </c>
      <c r="F133" s="484">
        <v>1750</v>
      </c>
      <c r="G133" s="484">
        <v>3450</v>
      </c>
      <c r="H133" s="484">
        <v>3450</v>
      </c>
      <c r="I133" s="484">
        <v>3450</v>
      </c>
      <c r="J133" s="470" t="s">
        <v>714</v>
      </c>
      <c r="K133" s="28" t="s">
        <v>703</v>
      </c>
      <c r="L133" s="28">
        <f>L132+1</f>
        <v>17</v>
      </c>
      <c r="M133" s="99" t="str">
        <f>IF(E132="VEDTATT","VEDTATT",0)</f>
        <v>VEDTATT</v>
      </c>
      <c r="N133" s="99">
        <f>IF(E132="MÅ","Nye tiltak",0)</f>
        <v>0</v>
      </c>
      <c r="O133" s="99"/>
      <c r="P133" s="28"/>
    </row>
    <row r="134" spans="1:16" s="38" customFormat="1" ht="25.5" x14ac:dyDescent="0.25">
      <c r="A134" s="78" t="s">
        <v>131</v>
      </c>
      <c r="B134" s="78" t="str">
        <f t="shared" si="12"/>
        <v>H18</v>
      </c>
      <c r="C134" s="245" t="s">
        <v>530</v>
      </c>
      <c r="D134" s="72" t="s">
        <v>661</v>
      </c>
      <c r="E134" s="71" t="s">
        <v>84</v>
      </c>
      <c r="F134" s="484">
        <v>3510</v>
      </c>
      <c r="G134" s="484">
        <v>10430</v>
      </c>
      <c r="H134" s="484">
        <v>17050</v>
      </c>
      <c r="I134" s="484">
        <v>22010</v>
      </c>
      <c r="J134" s="470" t="s">
        <v>720</v>
      </c>
      <c r="K134" s="28" t="s">
        <v>703</v>
      </c>
      <c r="L134" s="28">
        <f>L133+1</f>
        <v>18</v>
      </c>
      <c r="M134" s="99" t="str">
        <f>IF(E133="VEDTATT","VEDTATT",0)</f>
        <v>VEDTATT</v>
      </c>
      <c r="N134" s="99">
        <f>IF(E133="MÅ","Nye tiltak",0)</f>
        <v>0</v>
      </c>
      <c r="O134" s="99"/>
      <c r="P134" s="28"/>
    </row>
    <row r="135" spans="1:16" s="38" customFormat="1" x14ac:dyDescent="0.25">
      <c r="A135" s="78"/>
      <c r="B135" s="78" t="str">
        <f t="shared" si="12"/>
        <v/>
      </c>
      <c r="C135" s="82" t="s">
        <v>179</v>
      </c>
      <c r="D135" s="83"/>
      <c r="E135" s="71"/>
      <c r="F135" s="4">
        <f>F130</f>
        <v>2022</v>
      </c>
      <c r="G135" s="4">
        <f>F135+1</f>
        <v>2023</v>
      </c>
      <c r="H135" s="4">
        <f>G135+1</f>
        <v>2024</v>
      </c>
      <c r="I135" s="4">
        <f>H135+1</f>
        <v>2025</v>
      </c>
      <c r="J135" s="209"/>
      <c r="K135" s="337"/>
      <c r="L135" s="337"/>
      <c r="M135" s="99"/>
      <c r="N135" s="99"/>
      <c r="O135" s="99"/>
      <c r="P135" s="28"/>
    </row>
    <row r="136" spans="1:16" s="38" customFormat="1" x14ac:dyDescent="0.25">
      <c r="A136" s="78" t="s">
        <v>131</v>
      </c>
      <c r="B136" s="78" t="str">
        <f t="shared" si="12"/>
        <v>H19</v>
      </c>
      <c r="C136" s="245" t="s">
        <v>180</v>
      </c>
      <c r="D136" s="72" t="s">
        <v>664</v>
      </c>
      <c r="E136" s="71" t="s">
        <v>84</v>
      </c>
      <c r="F136" s="70">
        <v>0</v>
      </c>
      <c r="G136" s="70"/>
      <c r="H136" s="70">
        <v>6000</v>
      </c>
      <c r="I136" s="191">
        <v>12000</v>
      </c>
      <c r="J136" s="209" t="s">
        <v>721</v>
      </c>
      <c r="K136" s="28" t="s">
        <v>703</v>
      </c>
      <c r="L136" s="28">
        <f>L134+1</f>
        <v>19</v>
      </c>
      <c r="M136" s="99" t="str">
        <f>IF(E136="VEDTATT","VEDTATT",0)</f>
        <v>VEDTATT</v>
      </c>
      <c r="N136" s="99">
        <f>IF(E136="MÅ","Nye tiltak",0)</f>
        <v>0</v>
      </c>
      <c r="O136" s="99"/>
      <c r="P136" s="28"/>
    </row>
    <row r="137" spans="1:16" s="38" customFormat="1" x14ac:dyDescent="0.25">
      <c r="A137" s="78" t="s">
        <v>131</v>
      </c>
      <c r="B137" s="78" t="str">
        <f t="shared" si="12"/>
        <v>H20</v>
      </c>
      <c r="C137" s="245" t="s">
        <v>722</v>
      </c>
      <c r="D137" s="72" t="s">
        <v>664</v>
      </c>
      <c r="E137" s="71" t="s">
        <v>84</v>
      </c>
      <c r="F137" s="191">
        <v>0</v>
      </c>
      <c r="G137" s="191">
        <v>-2500</v>
      </c>
      <c r="H137" s="191">
        <f>G137</f>
        <v>-2500</v>
      </c>
      <c r="I137" s="191">
        <f>H137</f>
        <v>-2500</v>
      </c>
      <c r="J137" s="209"/>
      <c r="K137" s="28" t="s">
        <v>703</v>
      </c>
      <c r="L137" s="28">
        <f>L136+1</f>
        <v>20</v>
      </c>
      <c r="M137" s="99"/>
      <c r="N137" s="99"/>
      <c r="O137" s="99"/>
      <c r="P137" s="28"/>
    </row>
    <row r="138" spans="1:16" s="38" customFormat="1" x14ac:dyDescent="0.25">
      <c r="A138" s="78" t="s">
        <v>131</v>
      </c>
      <c r="B138" s="78" t="str">
        <f t="shared" si="12"/>
        <v>H21</v>
      </c>
      <c r="C138" s="245" t="s">
        <v>723</v>
      </c>
      <c r="D138" s="72" t="s">
        <v>91</v>
      </c>
      <c r="E138" s="71" t="s">
        <v>24</v>
      </c>
      <c r="F138" s="191">
        <v>4000</v>
      </c>
      <c r="G138" s="191">
        <f>F138</f>
        <v>4000</v>
      </c>
      <c r="H138" s="191">
        <f>G138</f>
        <v>4000</v>
      </c>
      <c r="I138" s="191">
        <f>H138</f>
        <v>4000</v>
      </c>
      <c r="J138" s="209"/>
      <c r="K138" s="28" t="s">
        <v>703</v>
      </c>
      <c r="L138" s="28">
        <f>L137+1</f>
        <v>21</v>
      </c>
      <c r="M138" s="99">
        <f>IF(E138="VEDTATT","VEDTATT",0)</f>
        <v>0</v>
      </c>
      <c r="N138" s="99" t="str">
        <f>IF(E138="MÅ","Nye tiltak",0)</f>
        <v>Nye tiltak</v>
      </c>
      <c r="O138" s="99"/>
      <c r="P138" s="28"/>
    </row>
    <row r="139" spans="1:16" s="38" customFormat="1" x14ac:dyDescent="0.25">
      <c r="A139" s="43"/>
      <c r="B139" s="43" t="s">
        <v>127</v>
      </c>
      <c r="C139" s="3" t="s">
        <v>182</v>
      </c>
      <c r="D139" s="52"/>
      <c r="E139" s="52"/>
      <c r="F139" s="56">
        <f>SUMIF($A:$A,"H&amp;V",F:F)</f>
        <v>13332</v>
      </c>
      <c r="G139" s="56">
        <f>SUMIF($A:$A,"H&amp;V",G:G)</f>
        <v>28767</v>
      </c>
      <c r="H139" s="56">
        <f>SUMIF($A:$A,"H&amp;V",H:H)</f>
        <v>45704</v>
      </c>
      <c r="I139" s="56">
        <f>SUMIF($A:$A,"H&amp;V",I:I)</f>
        <v>72272</v>
      </c>
      <c r="J139" s="209"/>
      <c r="K139" s="337"/>
      <c r="L139" s="337"/>
      <c r="M139" s="99"/>
      <c r="N139" s="99"/>
      <c r="O139" s="99"/>
    </row>
    <row r="140" spans="1:16" s="38" customFormat="1" x14ac:dyDescent="0.25">
      <c r="A140" s="47"/>
      <c r="B140" s="47"/>
      <c r="C140" s="11"/>
      <c r="D140" s="49"/>
      <c r="E140" s="49"/>
      <c r="F140" s="57"/>
      <c r="G140" s="57"/>
      <c r="H140" s="57"/>
      <c r="I140" s="57"/>
      <c r="J140" s="209"/>
      <c r="K140" s="28"/>
      <c r="L140" s="28"/>
      <c r="M140" s="99"/>
      <c r="N140" s="99"/>
      <c r="O140" s="99"/>
    </row>
    <row r="141" spans="1:16" s="38" customFormat="1" x14ac:dyDescent="0.25">
      <c r="A141" s="48"/>
      <c r="B141" s="48"/>
      <c r="C141" s="13" t="s">
        <v>183</v>
      </c>
      <c r="D141" s="50"/>
      <c r="E141" s="61"/>
      <c r="F141" s="58"/>
      <c r="G141" s="58"/>
      <c r="H141" s="58"/>
      <c r="I141" s="58"/>
      <c r="J141" s="209"/>
      <c r="M141" s="99"/>
      <c r="N141" s="99"/>
      <c r="O141" s="99"/>
    </row>
    <row r="142" spans="1:16" s="38" customFormat="1" x14ac:dyDescent="0.25">
      <c r="A142" s="341"/>
      <c r="B142" s="341"/>
      <c r="C142" s="82" t="s">
        <v>184</v>
      </c>
      <c r="D142" s="83"/>
      <c r="E142" s="71"/>
      <c r="F142" s="4">
        <f>F135</f>
        <v>2022</v>
      </c>
      <c r="G142" s="4">
        <f>F142+1</f>
        <v>2023</v>
      </c>
      <c r="H142" s="4">
        <f>G142+1</f>
        <v>2024</v>
      </c>
      <c r="I142" s="4">
        <f>H142+1</f>
        <v>2025</v>
      </c>
      <c r="J142" s="405"/>
      <c r="K142" s="337"/>
      <c r="L142" s="337"/>
      <c r="M142" s="99"/>
      <c r="N142" s="99"/>
      <c r="O142" s="99"/>
    </row>
    <row r="143" spans="1:16" s="38" customFormat="1" x14ac:dyDescent="0.25">
      <c r="A143" s="78" t="s">
        <v>186</v>
      </c>
      <c r="B143" s="78" t="str">
        <f t="shared" ref="B143:B149" si="13">IF(L143,K143&amp;L143,"")</f>
        <v>K1</v>
      </c>
      <c r="C143" s="212" t="s">
        <v>187</v>
      </c>
      <c r="D143" s="79" t="s">
        <v>664</v>
      </c>
      <c r="E143" s="71" t="s">
        <v>84</v>
      </c>
      <c r="F143" s="191">
        <v>-400</v>
      </c>
      <c r="G143" s="191">
        <v>-500</v>
      </c>
      <c r="H143" s="191">
        <v>-600</v>
      </c>
      <c r="I143" s="191">
        <v>-600</v>
      </c>
      <c r="J143" s="209"/>
      <c r="K143" s="28" t="s">
        <v>724</v>
      </c>
      <c r="L143" s="28">
        <v>1</v>
      </c>
      <c r="M143" s="99" t="str">
        <f t="shared" ref="M143:M148" si="14">IF(E143="VEDTATT","VEDTATT",0)</f>
        <v>VEDTATT</v>
      </c>
      <c r="N143" s="99">
        <f t="shared" ref="N143:N148" si="15">IF(E143="MÅ","Nye tiltak",0)</f>
        <v>0</v>
      </c>
      <c r="O143" s="99"/>
    </row>
    <row r="144" spans="1:16" s="38" customFormat="1" x14ac:dyDescent="0.25">
      <c r="A144" s="78" t="s">
        <v>186</v>
      </c>
      <c r="B144" s="78" t="str">
        <f t="shared" si="13"/>
        <v>K2</v>
      </c>
      <c r="C144" s="212" t="s">
        <v>865</v>
      </c>
      <c r="D144" s="79" t="s">
        <v>91</v>
      </c>
      <c r="E144" s="71" t="s">
        <v>24</v>
      </c>
      <c r="F144" s="415">
        <v>300</v>
      </c>
      <c r="G144" s="415">
        <v>300</v>
      </c>
      <c r="H144" s="415">
        <v>300</v>
      </c>
      <c r="I144" s="415">
        <v>300</v>
      </c>
      <c r="J144" s="209"/>
      <c r="K144" s="28" t="s">
        <v>724</v>
      </c>
      <c r="L144" s="28">
        <f t="shared" ref="L144:L150" si="16">L143+1</f>
        <v>2</v>
      </c>
      <c r="M144" s="99">
        <f t="shared" si="14"/>
        <v>0</v>
      </c>
      <c r="N144" s="99" t="str">
        <f t="shared" si="15"/>
        <v>Nye tiltak</v>
      </c>
      <c r="O144" s="99"/>
    </row>
    <row r="145" spans="1:15" s="38" customFormat="1" x14ac:dyDescent="0.25">
      <c r="A145" s="78"/>
      <c r="B145" s="78"/>
      <c r="C145" s="291"/>
      <c r="D145" s="79"/>
      <c r="E145" s="414"/>
      <c r="F145" s="415"/>
      <c r="G145" s="415"/>
      <c r="H145" s="415"/>
      <c r="I145" s="415"/>
      <c r="J145" s="209"/>
      <c r="K145" s="28"/>
      <c r="L145" s="28"/>
      <c r="M145" s="99">
        <f t="shared" si="14"/>
        <v>0</v>
      </c>
      <c r="N145" s="99">
        <f t="shared" si="15"/>
        <v>0</v>
      </c>
      <c r="O145" s="99"/>
    </row>
    <row r="146" spans="1:15" s="38" customFormat="1" x14ac:dyDescent="0.25">
      <c r="A146" s="78"/>
      <c r="B146" s="78" t="str">
        <f t="shared" si="13"/>
        <v/>
      </c>
      <c r="C146" s="387" t="s">
        <v>185</v>
      </c>
      <c r="D146" s="79"/>
      <c r="E146" s="71"/>
      <c r="F146" s="191"/>
      <c r="G146" s="191"/>
      <c r="H146" s="191"/>
      <c r="I146" s="191"/>
      <c r="J146" s="209"/>
      <c r="K146" s="28"/>
      <c r="L146" s="28"/>
      <c r="M146" s="99">
        <f t="shared" si="14"/>
        <v>0</v>
      </c>
      <c r="N146" s="99">
        <f t="shared" si="15"/>
        <v>0</v>
      </c>
      <c r="O146" s="99"/>
    </row>
    <row r="147" spans="1:15" s="38" customFormat="1" x14ac:dyDescent="0.25">
      <c r="A147" s="78" t="s">
        <v>186</v>
      </c>
      <c r="B147" s="78" t="str">
        <f t="shared" si="13"/>
        <v>K3</v>
      </c>
      <c r="C147" s="213" t="s">
        <v>728</v>
      </c>
      <c r="D147" s="72" t="s">
        <v>664</v>
      </c>
      <c r="E147" s="71" t="s">
        <v>84</v>
      </c>
      <c r="F147" s="70">
        <v>0</v>
      </c>
      <c r="G147" s="70">
        <v>50</v>
      </c>
      <c r="H147" s="70">
        <v>50</v>
      </c>
      <c r="I147" s="70">
        <v>50</v>
      </c>
      <c r="J147" s="406"/>
      <c r="K147" s="28" t="s">
        <v>724</v>
      </c>
      <c r="L147" s="28">
        <f>L144+1</f>
        <v>3</v>
      </c>
      <c r="M147" s="99" t="str">
        <f t="shared" si="14"/>
        <v>VEDTATT</v>
      </c>
      <c r="N147" s="99">
        <f t="shared" si="15"/>
        <v>0</v>
      </c>
      <c r="O147" s="99"/>
    </row>
    <row r="148" spans="1:15" s="38" customFormat="1" x14ac:dyDescent="0.25">
      <c r="A148" s="78" t="s">
        <v>186</v>
      </c>
      <c r="B148" s="78" t="str">
        <f t="shared" si="13"/>
        <v>K4</v>
      </c>
      <c r="C148" s="213" t="s">
        <v>730</v>
      </c>
      <c r="D148" s="72" t="s">
        <v>664</v>
      </c>
      <c r="E148" s="71" t="s">
        <v>84</v>
      </c>
      <c r="F148" s="90">
        <v>460</v>
      </c>
      <c r="G148" s="90">
        <v>460</v>
      </c>
      <c r="H148" s="90">
        <v>460</v>
      </c>
      <c r="I148" s="90">
        <v>460</v>
      </c>
      <c r="J148" s="471" t="s">
        <v>731</v>
      </c>
      <c r="K148" s="28" t="s">
        <v>724</v>
      </c>
      <c r="L148" s="28">
        <f t="shared" si="16"/>
        <v>4</v>
      </c>
      <c r="M148" s="99" t="str">
        <f t="shared" si="14"/>
        <v>VEDTATT</v>
      </c>
      <c r="N148" s="99">
        <f t="shared" si="15"/>
        <v>0</v>
      </c>
      <c r="O148" s="99"/>
    </row>
    <row r="149" spans="1:15" s="38" customFormat="1" x14ac:dyDescent="0.25">
      <c r="A149" s="78" t="s">
        <v>186</v>
      </c>
      <c r="B149" s="78" t="str">
        <f t="shared" si="13"/>
        <v>K5</v>
      </c>
      <c r="C149" s="213" t="s">
        <v>866</v>
      </c>
      <c r="D149" s="72" t="s">
        <v>664</v>
      </c>
      <c r="E149" s="71" t="s">
        <v>84</v>
      </c>
      <c r="F149" s="90">
        <v>300</v>
      </c>
      <c r="G149" s="90">
        <v>300</v>
      </c>
      <c r="H149" s="90">
        <v>300</v>
      </c>
      <c r="I149" s="90">
        <v>300</v>
      </c>
      <c r="J149" s="471" t="s">
        <v>867</v>
      </c>
      <c r="K149" s="28" t="s">
        <v>724</v>
      </c>
      <c r="L149" s="28">
        <f t="shared" si="16"/>
        <v>5</v>
      </c>
      <c r="M149" s="99"/>
      <c r="N149" s="99"/>
      <c r="O149" s="99"/>
    </row>
    <row r="150" spans="1:15" s="38" customFormat="1" x14ac:dyDescent="0.25">
      <c r="A150" s="78"/>
      <c r="B150" s="78"/>
      <c r="C150" s="82"/>
      <c r="D150" s="72"/>
      <c r="E150" s="71"/>
      <c r="F150" s="70"/>
      <c r="G150" s="70"/>
      <c r="H150" s="70"/>
      <c r="I150" s="70"/>
      <c r="J150" s="209"/>
      <c r="K150" s="28" t="s">
        <v>724</v>
      </c>
      <c r="L150" s="28">
        <f t="shared" si="16"/>
        <v>6</v>
      </c>
      <c r="M150" s="99"/>
      <c r="N150" s="99"/>
      <c r="O150" s="99"/>
    </row>
    <row r="151" spans="1:15" s="38" customFormat="1" x14ac:dyDescent="0.25">
      <c r="A151" s="43"/>
      <c r="B151" s="43" t="s">
        <v>127</v>
      </c>
      <c r="C151" s="3" t="s">
        <v>203</v>
      </c>
      <c r="D151" s="52"/>
      <c r="E151" s="52"/>
      <c r="F151" s="56">
        <f>SUMIF($A:$A,"KuN",F:F)</f>
        <v>660</v>
      </c>
      <c r="G151" s="56">
        <f>SUMIF($A:$A,"KuN",G:G)</f>
        <v>610</v>
      </c>
      <c r="H151" s="56">
        <f>SUMIF($A:$A,"KuN",H:H)</f>
        <v>510</v>
      </c>
      <c r="I151" s="56">
        <f>SUMIF($A:$A,"KuN",I:I)</f>
        <v>510</v>
      </c>
      <c r="J151" s="407"/>
      <c r="K151" s="337"/>
      <c r="L151" s="337"/>
      <c r="M151" s="99"/>
      <c r="N151" s="99"/>
      <c r="O151" s="99"/>
    </row>
    <row r="152" spans="1:15" s="38" customFormat="1" x14ac:dyDescent="0.25">
      <c r="A152" s="47"/>
      <c r="B152" s="47"/>
      <c r="C152" s="11"/>
      <c r="D152" s="49"/>
      <c r="E152" s="49"/>
      <c r="F152" s="57"/>
      <c r="G152" s="57"/>
      <c r="H152" s="57"/>
      <c r="I152" s="57"/>
      <c r="J152" s="407"/>
      <c r="K152" s="28"/>
      <c r="L152" s="28"/>
      <c r="M152" s="99"/>
      <c r="N152" s="99"/>
      <c r="O152" s="99"/>
    </row>
    <row r="153" spans="1:15" s="38" customFormat="1" x14ac:dyDescent="0.25">
      <c r="A153" s="48"/>
      <c r="B153" s="48"/>
      <c r="C153" s="248" t="s">
        <v>204</v>
      </c>
      <c r="D153" s="83"/>
      <c r="E153" s="71"/>
      <c r="F153" s="4">
        <f>F142</f>
        <v>2022</v>
      </c>
      <c r="G153" s="4">
        <f>F153+1</f>
        <v>2023</v>
      </c>
      <c r="H153" s="4">
        <f>G153+1</f>
        <v>2024</v>
      </c>
      <c r="I153" s="4">
        <f>H153+1</f>
        <v>2025</v>
      </c>
      <c r="J153" s="407"/>
      <c r="K153" s="337"/>
      <c r="L153" s="337"/>
      <c r="M153" s="99"/>
      <c r="N153" s="99"/>
      <c r="O153" s="99"/>
    </row>
    <row r="154" spans="1:15" s="38" customFormat="1" x14ac:dyDescent="0.25">
      <c r="A154" s="78"/>
      <c r="B154" s="78"/>
      <c r="C154" s="344"/>
      <c r="D154" s="72"/>
      <c r="E154" s="71"/>
      <c r="F154" s="217"/>
      <c r="G154" s="217"/>
      <c r="H154" s="217"/>
      <c r="I154" s="217"/>
      <c r="J154" s="407"/>
      <c r="K154" s="28"/>
      <c r="L154" s="28"/>
      <c r="M154" s="99"/>
      <c r="N154" s="99"/>
      <c r="O154" s="99"/>
    </row>
    <row r="155" spans="1:15" s="38" customFormat="1" ht="33.75" x14ac:dyDescent="0.25">
      <c r="A155" s="78" t="s">
        <v>206</v>
      </c>
      <c r="B155" s="78" t="str">
        <f>IF(L155,K155&amp;L155,"")</f>
        <v>T1</v>
      </c>
      <c r="C155" s="245" t="s">
        <v>868</v>
      </c>
      <c r="D155" s="230" t="s">
        <v>91</v>
      </c>
      <c r="E155" s="289" t="s">
        <v>488</v>
      </c>
      <c r="F155" s="391">
        <v>500</v>
      </c>
      <c r="G155" s="391">
        <v>500</v>
      </c>
      <c r="H155" s="391">
        <v>500</v>
      </c>
      <c r="I155" s="391">
        <v>500</v>
      </c>
      <c r="J155" s="468" t="s">
        <v>869</v>
      </c>
      <c r="K155" s="28" t="s">
        <v>735</v>
      </c>
      <c r="L155" s="28">
        <v>1</v>
      </c>
      <c r="M155" s="99"/>
      <c r="N155" s="99"/>
      <c r="O155" s="99"/>
    </row>
    <row r="156" spans="1:15" s="38" customFormat="1" x14ac:dyDescent="0.25">
      <c r="A156" s="78" t="s">
        <v>206</v>
      </c>
      <c r="B156" s="78" t="str">
        <f t="shared" ref="B156:B162" si="17">IF(L156,K156&amp;L156,"")</f>
        <v/>
      </c>
      <c r="C156" s="343"/>
      <c r="D156" s="288"/>
      <c r="E156" s="289"/>
      <c r="F156" s="345"/>
      <c r="G156" s="345"/>
      <c r="H156" s="345"/>
      <c r="I156" s="345"/>
      <c r="J156" s="407"/>
      <c r="K156" s="28"/>
      <c r="L156" s="28"/>
      <c r="M156" s="99"/>
      <c r="N156" s="99"/>
      <c r="O156" s="99"/>
    </row>
    <row r="157" spans="1:15" s="38" customFormat="1" x14ac:dyDescent="0.25">
      <c r="A157" s="48"/>
      <c r="B157" s="78" t="str">
        <f t="shared" si="17"/>
        <v/>
      </c>
      <c r="C157" s="208" t="s">
        <v>205</v>
      </c>
      <c r="D157" s="83"/>
      <c r="E157" s="71"/>
      <c r="F157" s="4">
        <f>F153</f>
        <v>2022</v>
      </c>
      <c r="G157" s="4">
        <f>F157+1</f>
        <v>2023</v>
      </c>
      <c r="H157" s="4">
        <f>G157+1</f>
        <v>2024</v>
      </c>
      <c r="I157" s="4">
        <f>H157+1</f>
        <v>2025</v>
      </c>
      <c r="J157" s="407"/>
      <c r="K157" s="337"/>
      <c r="L157" s="337"/>
      <c r="M157" s="99"/>
      <c r="N157" s="99"/>
      <c r="O157" s="99"/>
    </row>
    <row r="158" spans="1:15" s="38" customFormat="1" x14ac:dyDescent="0.25">
      <c r="A158" s="78" t="s">
        <v>206</v>
      </c>
      <c r="B158" s="78" t="str">
        <f t="shared" si="17"/>
        <v>T2</v>
      </c>
      <c r="C158" s="212" t="s">
        <v>734</v>
      </c>
      <c r="D158" s="72" t="s">
        <v>91</v>
      </c>
      <c r="E158" s="71" t="s">
        <v>24</v>
      </c>
      <c r="F158" s="217">
        <v>500</v>
      </c>
      <c r="G158" s="217">
        <v>500</v>
      </c>
      <c r="H158" s="217">
        <v>500</v>
      </c>
      <c r="I158" s="217">
        <v>500</v>
      </c>
      <c r="J158" s="93" t="s">
        <v>691</v>
      </c>
      <c r="K158" s="28" t="s">
        <v>735</v>
      </c>
      <c r="L158" s="28">
        <f>L155+1</f>
        <v>2</v>
      </c>
      <c r="M158" s="99"/>
      <c r="N158" s="99"/>
      <c r="O158" s="99"/>
    </row>
    <row r="159" spans="1:15" s="38" customFormat="1" ht="25.5" x14ac:dyDescent="0.25">
      <c r="A159" s="78" t="s">
        <v>206</v>
      </c>
      <c r="B159" s="78" t="str">
        <f t="shared" si="17"/>
        <v>T3</v>
      </c>
      <c r="C159" s="212" t="s">
        <v>736</v>
      </c>
      <c r="D159" s="72" t="s">
        <v>91</v>
      </c>
      <c r="E159" s="71" t="s">
        <v>24</v>
      </c>
      <c r="F159" s="217">
        <v>700</v>
      </c>
      <c r="G159" s="217">
        <v>700</v>
      </c>
      <c r="H159" s="217">
        <v>700</v>
      </c>
      <c r="I159" s="217">
        <v>700</v>
      </c>
      <c r="J159" s="93" t="s">
        <v>737</v>
      </c>
      <c r="K159" s="28" t="s">
        <v>735</v>
      </c>
      <c r="L159" s="28">
        <f>L158+1</f>
        <v>3</v>
      </c>
      <c r="M159" s="99"/>
      <c r="N159" s="99"/>
      <c r="O159" s="99"/>
    </row>
    <row r="160" spans="1:15" s="38" customFormat="1" x14ac:dyDescent="0.25">
      <c r="A160" s="78" t="s">
        <v>206</v>
      </c>
      <c r="B160" s="78" t="str">
        <f t="shared" si="17"/>
        <v>T4</v>
      </c>
      <c r="C160" s="212" t="s">
        <v>207</v>
      </c>
      <c r="D160" s="72" t="s">
        <v>91</v>
      </c>
      <c r="E160" s="71" t="s">
        <v>24</v>
      </c>
      <c r="F160" s="217">
        <f>6500-5000</f>
        <v>1500</v>
      </c>
      <c r="G160" s="217">
        <f>8000-5000</f>
        <v>3000</v>
      </c>
      <c r="H160" s="217">
        <f>9000-5000</f>
        <v>4000</v>
      </c>
      <c r="I160" s="217">
        <f>9000-5000</f>
        <v>4000</v>
      </c>
      <c r="J160" s="93" t="s">
        <v>738</v>
      </c>
      <c r="K160" s="28" t="s">
        <v>735</v>
      </c>
      <c r="L160" s="28">
        <f>L159+1</f>
        <v>4</v>
      </c>
      <c r="M160" s="99"/>
      <c r="N160" s="99"/>
      <c r="O160" s="99"/>
    </row>
    <row r="161" spans="1:15" s="38" customFormat="1" ht="25.5" x14ac:dyDescent="0.25">
      <c r="A161" s="78" t="s">
        <v>206</v>
      </c>
      <c r="B161" s="78" t="str">
        <f t="shared" si="17"/>
        <v>T5</v>
      </c>
      <c r="C161" s="212" t="s">
        <v>564</v>
      </c>
      <c r="D161" s="72" t="s">
        <v>91</v>
      </c>
      <c r="E161" s="71" t="s">
        <v>24</v>
      </c>
      <c r="F161" s="217">
        <v>250</v>
      </c>
      <c r="G161" s="217">
        <v>300</v>
      </c>
      <c r="H161" s="217">
        <v>350</v>
      </c>
      <c r="I161" s="217">
        <v>400</v>
      </c>
      <c r="J161" s="93" t="s">
        <v>739</v>
      </c>
      <c r="K161" s="28" t="s">
        <v>735</v>
      </c>
      <c r="L161" s="28">
        <f>L160+1</f>
        <v>5</v>
      </c>
      <c r="M161" s="99"/>
      <c r="N161" s="99"/>
      <c r="O161" s="99"/>
    </row>
    <row r="162" spans="1:15" s="38" customFormat="1" ht="56.25" x14ac:dyDescent="0.25">
      <c r="A162" s="78" t="s">
        <v>206</v>
      </c>
      <c r="B162" s="78" t="str">
        <f t="shared" si="17"/>
        <v>T6</v>
      </c>
      <c r="C162" t="s">
        <v>870</v>
      </c>
      <c r="D162" s="72" t="s">
        <v>91</v>
      </c>
      <c r="E162" s="71" t="s">
        <v>24</v>
      </c>
      <c r="F162" s="217">
        <v>500</v>
      </c>
      <c r="G162" s="217">
        <v>500</v>
      </c>
      <c r="H162" s="217">
        <v>500</v>
      </c>
      <c r="I162" s="217">
        <v>500</v>
      </c>
      <c r="J162" s="430" t="s">
        <v>741</v>
      </c>
      <c r="K162" s="28" t="s">
        <v>735</v>
      </c>
      <c r="L162" s="28">
        <v>6</v>
      </c>
      <c r="M162" s="99"/>
      <c r="N162" s="99"/>
      <c r="O162" s="99"/>
    </row>
    <row r="163" spans="1:15" s="38" customFormat="1" x14ac:dyDescent="0.25">
      <c r="A163" s="78"/>
      <c r="B163" s="78" t="str">
        <f t="shared" ref="B163:B187" si="18">IF(L163,K163&amp;L163,"")</f>
        <v/>
      </c>
      <c r="C163" s="212"/>
      <c r="D163" s="72"/>
      <c r="E163" s="71"/>
      <c r="F163" s="217"/>
      <c r="G163" s="217"/>
      <c r="H163" s="217"/>
      <c r="I163" s="217"/>
      <c r="J163" s="93"/>
      <c r="K163" s="28"/>
      <c r="L163" s="28"/>
      <c r="M163" s="99"/>
      <c r="N163" s="99"/>
      <c r="O163" s="99"/>
    </row>
    <row r="164" spans="1:15" s="38" customFormat="1" x14ac:dyDescent="0.25">
      <c r="A164" s="78"/>
      <c r="B164" s="78" t="str">
        <f t="shared" si="18"/>
        <v/>
      </c>
      <c r="C164" s="208" t="s">
        <v>209</v>
      </c>
      <c r="D164" s="72"/>
      <c r="E164" s="71"/>
      <c r="F164" s="4">
        <f>F157</f>
        <v>2022</v>
      </c>
      <c r="G164" s="4">
        <f>F164+1</f>
        <v>2023</v>
      </c>
      <c r="H164" s="4">
        <f>G164+1</f>
        <v>2024</v>
      </c>
      <c r="I164" s="4">
        <f>H164+1</f>
        <v>2025</v>
      </c>
      <c r="J164" s="407"/>
      <c r="K164" s="337"/>
      <c r="L164" s="337"/>
      <c r="M164" s="99"/>
      <c r="N164" s="99"/>
      <c r="O164" s="99"/>
    </row>
    <row r="165" spans="1:15" s="38" customFormat="1" x14ac:dyDescent="0.25">
      <c r="A165" s="78" t="s">
        <v>206</v>
      </c>
      <c r="B165" s="78" t="str">
        <f t="shared" si="18"/>
        <v>T7</v>
      </c>
      <c r="C165" s="344" t="s">
        <v>211</v>
      </c>
      <c r="D165" s="72" t="s">
        <v>664</v>
      </c>
      <c r="E165" s="71" t="s">
        <v>84</v>
      </c>
      <c r="F165" s="217"/>
      <c r="G165" s="217">
        <v>-450</v>
      </c>
      <c r="H165" s="217">
        <v>-450</v>
      </c>
      <c r="I165" s="217">
        <v>-450</v>
      </c>
      <c r="J165" s="407" t="s">
        <v>742</v>
      </c>
      <c r="K165" s="28" t="s">
        <v>735</v>
      </c>
      <c r="L165" s="28">
        <f>L162+1</f>
        <v>7</v>
      </c>
      <c r="M165" s="99" t="str">
        <f>IF(E165="VEDTATT","VEDTATT",0)</f>
        <v>VEDTATT</v>
      </c>
      <c r="N165" s="99">
        <f>IF(E165="MÅ","Nye tiltak",0)</f>
        <v>0</v>
      </c>
      <c r="O165" s="99"/>
    </row>
    <row r="166" spans="1:15" s="38" customFormat="1" x14ac:dyDescent="0.25">
      <c r="A166" s="78"/>
      <c r="B166" s="78" t="str">
        <f t="shared" si="18"/>
        <v/>
      </c>
      <c r="C166" s="344"/>
      <c r="D166" s="72"/>
      <c r="E166" s="71"/>
      <c r="F166" s="217"/>
      <c r="G166" s="217"/>
      <c r="H166" s="217"/>
      <c r="I166" s="217"/>
      <c r="J166" s="407"/>
      <c r="K166" s="28"/>
      <c r="L166" s="28"/>
      <c r="M166" s="99"/>
      <c r="N166" s="99"/>
      <c r="O166" s="99"/>
    </row>
    <row r="167" spans="1:15" s="38" customFormat="1" x14ac:dyDescent="0.25">
      <c r="A167" s="78"/>
      <c r="B167" s="78" t="str">
        <f t="shared" si="18"/>
        <v/>
      </c>
      <c r="C167" s="208" t="s">
        <v>213</v>
      </c>
      <c r="D167" s="72"/>
      <c r="E167" s="71"/>
      <c r="F167" s="4">
        <f>F164</f>
        <v>2022</v>
      </c>
      <c r="G167" s="4">
        <f>F167+1</f>
        <v>2023</v>
      </c>
      <c r="H167" s="4">
        <f>G167+1</f>
        <v>2024</v>
      </c>
      <c r="I167" s="4">
        <f>H167+1</f>
        <v>2025</v>
      </c>
      <c r="J167" s="407"/>
      <c r="K167" s="337"/>
      <c r="L167" s="337"/>
      <c r="M167" s="99"/>
      <c r="N167" s="99"/>
      <c r="O167" s="99"/>
    </row>
    <row r="168" spans="1:15" s="38" customFormat="1" x14ac:dyDescent="0.25">
      <c r="A168" s="45" t="s">
        <v>206</v>
      </c>
      <c r="B168" s="78" t="str">
        <f t="shared" si="18"/>
        <v>T8</v>
      </c>
      <c r="C168" s="212" t="s">
        <v>743</v>
      </c>
      <c r="D168" s="72" t="s">
        <v>664</v>
      </c>
      <c r="E168" s="71" t="s">
        <v>84</v>
      </c>
      <c r="F168" s="217">
        <v>0</v>
      </c>
      <c r="G168" s="217">
        <v>-350</v>
      </c>
      <c r="H168" s="217">
        <v>-350</v>
      </c>
      <c r="I168" s="217">
        <v>-350</v>
      </c>
      <c r="J168" s="407"/>
      <c r="K168" s="28" t="s">
        <v>735</v>
      </c>
      <c r="L168" s="28">
        <f>+L165+1</f>
        <v>8</v>
      </c>
      <c r="M168" s="99" t="str">
        <f t="shared" ref="M168:M177" si="19">IF(E168="VEDTATT","VEDTATT",0)</f>
        <v>VEDTATT</v>
      </c>
      <c r="N168" s="99"/>
      <c r="O168" s="99"/>
    </row>
    <row r="169" spans="1:15" s="38" customFormat="1" x14ac:dyDescent="0.25">
      <c r="A169" s="45" t="s">
        <v>206</v>
      </c>
      <c r="B169" s="78" t="str">
        <f t="shared" si="18"/>
        <v>T9</v>
      </c>
      <c r="C169" s="212" t="s">
        <v>871</v>
      </c>
      <c r="D169" s="72" t="s">
        <v>664</v>
      </c>
      <c r="E169" s="71" t="s">
        <v>84</v>
      </c>
      <c r="F169" s="217">
        <v>0</v>
      </c>
      <c r="G169" s="217">
        <v>2500</v>
      </c>
      <c r="H169" s="217">
        <v>2500</v>
      </c>
      <c r="I169" s="217">
        <v>2500</v>
      </c>
      <c r="J169" s="407"/>
      <c r="K169" s="28" t="s">
        <v>735</v>
      </c>
      <c r="L169" s="28">
        <f t="shared" ref="L169:L178" si="20">+L168+1</f>
        <v>9</v>
      </c>
      <c r="M169" s="99" t="str">
        <f t="shared" si="19"/>
        <v>VEDTATT</v>
      </c>
      <c r="N169" s="99"/>
      <c r="O169" s="99"/>
    </row>
    <row r="170" spans="1:15" s="38" customFormat="1" x14ac:dyDescent="0.25">
      <c r="A170" s="45" t="s">
        <v>206</v>
      </c>
      <c r="B170" s="78" t="str">
        <f t="shared" si="18"/>
        <v>T10</v>
      </c>
      <c r="C170" s="212" t="s">
        <v>745</v>
      </c>
      <c r="D170" s="72" t="s">
        <v>664</v>
      </c>
      <c r="E170" s="71" t="s">
        <v>84</v>
      </c>
      <c r="F170" s="217">
        <v>0</v>
      </c>
      <c r="G170" s="217">
        <v>-350</v>
      </c>
      <c r="H170" s="217">
        <v>-350</v>
      </c>
      <c r="I170" s="217">
        <v>-350</v>
      </c>
      <c r="J170" s="407"/>
      <c r="K170" s="28" t="s">
        <v>735</v>
      </c>
      <c r="L170" s="28">
        <f t="shared" si="20"/>
        <v>10</v>
      </c>
      <c r="M170" s="99" t="str">
        <f t="shared" si="19"/>
        <v>VEDTATT</v>
      </c>
      <c r="N170" s="99">
        <f t="shared" ref="N170:N177" si="21">IF(E170="MÅ","Nye tiltak",0)</f>
        <v>0</v>
      </c>
      <c r="O170" s="99"/>
    </row>
    <row r="171" spans="1:15" s="38" customFormat="1" x14ac:dyDescent="0.25">
      <c r="A171" s="45" t="s">
        <v>206</v>
      </c>
      <c r="B171" s="78" t="str">
        <f t="shared" si="18"/>
        <v>T11</v>
      </c>
      <c r="C171" s="212" t="s">
        <v>566</v>
      </c>
      <c r="D171" s="72" t="s">
        <v>661</v>
      </c>
      <c r="E171" s="71" t="s">
        <v>84</v>
      </c>
      <c r="F171" s="484">
        <v>3300</v>
      </c>
      <c r="G171" s="484">
        <v>3300</v>
      </c>
      <c r="H171" s="484">
        <v>3300</v>
      </c>
      <c r="I171" s="484">
        <v>3300</v>
      </c>
      <c r="J171" s="470" t="s">
        <v>696</v>
      </c>
      <c r="K171" s="28" t="s">
        <v>735</v>
      </c>
      <c r="L171" s="28">
        <f t="shared" si="20"/>
        <v>11</v>
      </c>
      <c r="M171" s="99" t="str">
        <f t="shared" si="19"/>
        <v>VEDTATT</v>
      </c>
      <c r="N171" s="99">
        <f t="shared" si="21"/>
        <v>0</v>
      </c>
      <c r="O171" s="99"/>
    </row>
    <row r="172" spans="1:15" s="38" customFormat="1" x14ac:dyDescent="0.25">
      <c r="A172" s="45" t="s">
        <v>206</v>
      </c>
      <c r="B172" s="78" t="str">
        <f t="shared" si="18"/>
        <v>T12</v>
      </c>
      <c r="C172" s="212" t="s">
        <v>746</v>
      </c>
      <c r="D172" s="72" t="s">
        <v>91</v>
      </c>
      <c r="E172" s="71" t="s">
        <v>24</v>
      </c>
      <c r="F172" s="110">
        <v>10</v>
      </c>
      <c r="G172" s="110">
        <v>20</v>
      </c>
      <c r="H172" s="110">
        <v>30</v>
      </c>
      <c r="I172" s="110">
        <v>40</v>
      </c>
      <c r="J172" s="209" t="s">
        <v>747</v>
      </c>
      <c r="K172" s="28" t="s">
        <v>735</v>
      </c>
      <c r="L172" s="28">
        <f t="shared" si="20"/>
        <v>12</v>
      </c>
      <c r="M172" s="99">
        <f t="shared" si="19"/>
        <v>0</v>
      </c>
      <c r="N172" s="99" t="str">
        <f t="shared" si="21"/>
        <v>Nye tiltak</v>
      </c>
      <c r="O172" s="99"/>
    </row>
    <row r="173" spans="1:15" s="38" customFormat="1" x14ac:dyDescent="0.25">
      <c r="A173" s="45" t="s">
        <v>206</v>
      </c>
      <c r="B173" s="78" t="str">
        <f t="shared" si="18"/>
        <v>T13</v>
      </c>
      <c r="C173" s="212" t="s">
        <v>872</v>
      </c>
      <c r="D173" s="72" t="s">
        <v>91</v>
      </c>
      <c r="E173" s="71" t="s">
        <v>24</v>
      </c>
      <c r="F173" s="110">
        <v>1300</v>
      </c>
      <c r="G173" s="110">
        <v>1300</v>
      </c>
      <c r="H173" s="110">
        <v>1300</v>
      </c>
      <c r="I173" s="110">
        <v>1300</v>
      </c>
      <c r="J173" s="93" t="s">
        <v>691</v>
      </c>
      <c r="K173" s="28" t="s">
        <v>735</v>
      </c>
      <c r="L173" s="28">
        <f t="shared" si="20"/>
        <v>13</v>
      </c>
      <c r="M173" s="99">
        <f t="shared" si="19"/>
        <v>0</v>
      </c>
      <c r="N173" s="99" t="str">
        <f t="shared" si="21"/>
        <v>Nye tiltak</v>
      </c>
      <c r="O173" s="99"/>
    </row>
    <row r="174" spans="1:15" s="38" customFormat="1" x14ac:dyDescent="0.25">
      <c r="A174" s="45" t="s">
        <v>206</v>
      </c>
      <c r="B174" s="78" t="str">
        <f t="shared" si="18"/>
        <v>T14</v>
      </c>
      <c r="C174" s="212" t="s">
        <v>749</v>
      </c>
      <c r="D174" s="72" t="s">
        <v>91</v>
      </c>
      <c r="E174" s="71" t="s">
        <v>24</v>
      </c>
      <c r="F174" s="110">
        <v>400</v>
      </c>
      <c r="G174" s="110">
        <v>400</v>
      </c>
      <c r="H174" s="110">
        <v>400</v>
      </c>
      <c r="I174" s="110">
        <v>400</v>
      </c>
      <c r="J174" s="93" t="s">
        <v>691</v>
      </c>
      <c r="K174" s="28" t="s">
        <v>735</v>
      </c>
      <c r="L174" s="28">
        <f t="shared" si="20"/>
        <v>14</v>
      </c>
      <c r="M174" s="99">
        <f t="shared" si="19"/>
        <v>0</v>
      </c>
      <c r="N174" s="99" t="str">
        <f t="shared" si="21"/>
        <v>Nye tiltak</v>
      </c>
      <c r="O174" s="99"/>
    </row>
    <row r="175" spans="1:15" s="38" customFormat="1" x14ac:dyDescent="0.25">
      <c r="A175" s="45" t="s">
        <v>206</v>
      </c>
      <c r="B175" s="78" t="str">
        <f t="shared" si="18"/>
        <v>T15</v>
      </c>
      <c r="C175" s="212" t="s">
        <v>873</v>
      </c>
      <c r="D175" s="72" t="s">
        <v>91</v>
      </c>
      <c r="E175" s="71" t="s">
        <v>24</v>
      </c>
      <c r="F175" s="110">
        <v>585</v>
      </c>
      <c r="G175" s="110">
        <v>585</v>
      </c>
      <c r="H175" s="110">
        <v>585</v>
      </c>
      <c r="I175" s="110">
        <v>585</v>
      </c>
      <c r="J175" s="93" t="s">
        <v>691</v>
      </c>
      <c r="K175" s="28" t="s">
        <v>735</v>
      </c>
      <c r="L175" s="28">
        <f t="shared" si="20"/>
        <v>15</v>
      </c>
      <c r="M175" s="99">
        <f t="shared" si="19"/>
        <v>0</v>
      </c>
      <c r="N175" s="99" t="str">
        <f t="shared" si="21"/>
        <v>Nye tiltak</v>
      </c>
      <c r="O175" s="99"/>
    </row>
    <row r="176" spans="1:15" s="38" customFormat="1" ht="33.75" x14ac:dyDescent="0.25">
      <c r="A176" s="45" t="s">
        <v>206</v>
      </c>
      <c r="B176" s="78" t="str">
        <f t="shared" si="18"/>
        <v>T16</v>
      </c>
      <c r="C176" s="462" t="s">
        <v>751</v>
      </c>
      <c r="D176" s="72" t="s">
        <v>91</v>
      </c>
      <c r="E176" s="71" t="s">
        <v>24</v>
      </c>
      <c r="F176" s="482">
        <v>700</v>
      </c>
      <c r="G176" s="482">
        <v>700</v>
      </c>
      <c r="H176" s="482">
        <v>700</v>
      </c>
      <c r="I176" s="482">
        <v>700</v>
      </c>
      <c r="J176" s="406" t="s">
        <v>752</v>
      </c>
      <c r="K176" s="28" t="s">
        <v>735</v>
      </c>
      <c r="L176" s="28">
        <f t="shared" si="20"/>
        <v>16</v>
      </c>
      <c r="M176" s="99">
        <f t="shared" si="19"/>
        <v>0</v>
      </c>
      <c r="N176" s="99" t="str">
        <f t="shared" si="21"/>
        <v>Nye tiltak</v>
      </c>
      <c r="O176" s="99"/>
    </row>
    <row r="177" spans="1:16" s="38" customFormat="1" ht="43.5" customHeight="1" x14ac:dyDescent="0.25">
      <c r="A177" s="45" t="s">
        <v>206</v>
      </c>
      <c r="B177" s="78" t="str">
        <f t="shared" si="18"/>
        <v>T17</v>
      </c>
      <c r="C177" s="212" t="s">
        <v>874</v>
      </c>
      <c r="D177" s="72" t="s">
        <v>91</v>
      </c>
      <c r="E177" s="71" t="s">
        <v>24</v>
      </c>
      <c r="F177" s="110">
        <v>300</v>
      </c>
      <c r="G177" s="110">
        <v>300</v>
      </c>
      <c r="H177" s="110"/>
      <c r="I177" s="110"/>
      <c r="J177" s="465" t="s">
        <v>753</v>
      </c>
      <c r="K177" s="28" t="s">
        <v>735</v>
      </c>
      <c r="L177" s="28">
        <f t="shared" si="20"/>
        <v>17</v>
      </c>
      <c r="M177" s="99">
        <f t="shared" si="19"/>
        <v>0</v>
      </c>
      <c r="N177" s="99" t="str">
        <f t="shared" si="21"/>
        <v>Nye tiltak</v>
      </c>
      <c r="O177" s="99"/>
    </row>
    <row r="178" spans="1:16" s="38" customFormat="1" ht="43.5" customHeight="1" x14ac:dyDescent="0.25">
      <c r="A178" s="45" t="s">
        <v>206</v>
      </c>
      <c r="B178" s="78" t="str">
        <f t="shared" si="18"/>
        <v>T18</v>
      </c>
      <c r="C178" t="s">
        <v>754</v>
      </c>
      <c r="D178" s="72" t="s">
        <v>91</v>
      </c>
      <c r="E178" s="71" t="s">
        <v>24</v>
      </c>
      <c r="F178" s="110">
        <v>500</v>
      </c>
      <c r="G178" s="110">
        <v>500</v>
      </c>
      <c r="H178" s="110"/>
      <c r="I178" s="110"/>
      <c r="J178" s="465" t="s">
        <v>755</v>
      </c>
      <c r="K178" s="28" t="s">
        <v>735</v>
      </c>
      <c r="L178" s="28">
        <f t="shared" si="20"/>
        <v>18</v>
      </c>
      <c r="M178" s="99"/>
      <c r="N178" s="99"/>
      <c r="O178" s="99"/>
    </row>
    <row r="179" spans="1:16" s="38" customFormat="1" x14ac:dyDescent="0.2">
      <c r="A179" s="45"/>
      <c r="B179" s="78" t="str">
        <f t="shared" si="18"/>
        <v/>
      </c>
      <c r="C179" s="385"/>
      <c r="D179" s="72"/>
      <c r="E179" s="71"/>
      <c r="F179" s="217"/>
      <c r="G179" s="217"/>
      <c r="H179" s="217"/>
      <c r="I179" s="217"/>
      <c r="J179" s="407"/>
      <c r="K179" s="28"/>
      <c r="L179" s="28"/>
      <c r="M179" s="99">
        <f t="shared" ref="M179:M186" si="22">IF(E179="VEDTATT","VEDTATT",0)</f>
        <v>0</v>
      </c>
      <c r="N179" s="99">
        <f t="shared" ref="N179:N186" si="23">IF(E179="MÅ","Nye tiltak",0)</f>
        <v>0</v>
      </c>
      <c r="O179" s="99"/>
    </row>
    <row r="180" spans="1:16" s="38" customFormat="1" x14ac:dyDescent="0.25">
      <c r="A180" s="45"/>
      <c r="B180" s="78" t="str">
        <f t="shared" si="18"/>
        <v/>
      </c>
      <c r="C180" s="208" t="s">
        <v>756</v>
      </c>
      <c r="D180" s="72"/>
      <c r="E180" s="71"/>
      <c r="F180" s="217"/>
      <c r="G180" s="217"/>
      <c r="H180" s="217"/>
      <c r="I180" s="217"/>
      <c r="J180" s="407"/>
      <c r="K180" s="28"/>
      <c r="L180" s="28"/>
      <c r="M180" s="99">
        <f t="shared" si="22"/>
        <v>0</v>
      </c>
      <c r="N180" s="99">
        <f t="shared" si="23"/>
        <v>0</v>
      </c>
      <c r="O180" s="99"/>
    </row>
    <row r="181" spans="1:16" s="38" customFormat="1" x14ac:dyDescent="0.25">
      <c r="A181" s="45" t="s">
        <v>206</v>
      </c>
      <c r="B181" s="78" t="str">
        <f t="shared" si="18"/>
        <v>T19</v>
      </c>
      <c r="C181" s="84" t="s">
        <v>757</v>
      </c>
      <c r="D181" s="72" t="s">
        <v>91</v>
      </c>
      <c r="E181" s="71" t="s">
        <v>24</v>
      </c>
      <c r="F181" s="217">
        <v>60</v>
      </c>
      <c r="G181" s="217">
        <v>60</v>
      </c>
      <c r="H181" s="217">
        <v>60</v>
      </c>
      <c r="I181" s="217">
        <v>60</v>
      </c>
      <c r="J181" s="93" t="s">
        <v>691</v>
      </c>
      <c r="K181" s="28" t="s">
        <v>735</v>
      </c>
      <c r="L181" s="28">
        <f>L178+1</f>
        <v>19</v>
      </c>
      <c r="M181" s="99">
        <f t="shared" si="22"/>
        <v>0</v>
      </c>
      <c r="N181" s="99" t="str">
        <f t="shared" si="23"/>
        <v>Nye tiltak</v>
      </c>
      <c r="O181" s="99"/>
    </row>
    <row r="182" spans="1:16" s="38" customFormat="1" x14ac:dyDescent="0.25">
      <c r="A182" s="45" t="s">
        <v>206</v>
      </c>
      <c r="B182" s="78" t="str">
        <f t="shared" si="18"/>
        <v/>
      </c>
      <c r="C182" s="212"/>
      <c r="D182" s="72" t="s">
        <v>91</v>
      </c>
      <c r="E182" s="71"/>
      <c r="F182" s="217"/>
      <c r="G182" s="217"/>
      <c r="H182" s="217"/>
      <c r="I182" s="217"/>
      <c r="J182" s="407"/>
      <c r="K182" s="28"/>
      <c r="L182" s="28"/>
      <c r="M182" s="99">
        <f t="shared" si="22"/>
        <v>0</v>
      </c>
      <c r="N182" s="99">
        <f t="shared" si="23"/>
        <v>0</v>
      </c>
      <c r="O182" s="99"/>
    </row>
    <row r="183" spans="1:16" s="38" customFormat="1" x14ac:dyDescent="0.25">
      <c r="C183" s="208" t="s">
        <v>875</v>
      </c>
      <c r="D183" s="72" t="s">
        <v>91</v>
      </c>
      <c r="E183" s="71"/>
      <c r="F183" s="217"/>
      <c r="G183" s="217"/>
      <c r="H183" s="217"/>
      <c r="I183" s="217"/>
      <c r="J183" s="407"/>
      <c r="M183" s="99">
        <f t="shared" si="22"/>
        <v>0</v>
      </c>
      <c r="N183" s="99">
        <f t="shared" si="23"/>
        <v>0</v>
      </c>
      <c r="O183" s="99"/>
    </row>
    <row r="184" spans="1:16" s="38" customFormat="1" x14ac:dyDescent="0.25">
      <c r="A184" s="45" t="s">
        <v>206</v>
      </c>
      <c r="B184" s="78" t="str">
        <f>IF(L184,K184&amp;L184,"")</f>
        <v>T20</v>
      </c>
      <c r="C184" s="212" t="s">
        <v>876</v>
      </c>
      <c r="D184" s="228" t="s">
        <v>91</v>
      </c>
      <c r="E184" s="71" t="s">
        <v>488</v>
      </c>
      <c r="F184" s="217">
        <v>400</v>
      </c>
      <c r="G184" s="217">
        <v>400</v>
      </c>
      <c r="H184" s="217">
        <v>400</v>
      </c>
      <c r="I184" s="217">
        <v>400</v>
      </c>
      <c r="J184" s="407" t="s">
        <v>877</v>
      </c>
      <c r="K184" s="28" t="s">
        <v>735</v>
      </c>
      <c r="L184" s="28">
        <f>L181+1</f>
        <v>20</v>
      </c>
      <c r="M184" s="99">
        <f t="shared" si="22"/>
        <v>0</v>
      </c>
      <c r="N184" s="99">
        <f t="shared" si="23"/>
        <v>0</v>
      </c>
      <c r="O184" s="99"/>
    </row>
    <row r="185" spans="1:16" s="38" customFormat="1" x14ac:dyDescent="0.25">
      <c r="A185" s="45"/>
      <c r="B185" s="78"/>
      <c r="C185" s="208" t="s">
        <v>878</v>
      </c>
      <c r="D185" s="72"/>
      <c r="E185" s="289"/>
      <c r="F185" s="217"/>
      <c r="G185" s="217"/>
      <c r="H185" s="217"/>
      <c r="I185" s="217"/>
      <c r="J185" s="407"/>
      <c r="K185" s="28"/>
      <c r="L185" s="28"/>
      <c r="M185" s="99"/>
      <c r="N185" s="99"/>
      <c r="O185" s="99"/>
    </row>
    <row r="186" spans="1:16" s="38" customFormat="1" x14ac:dyDescent="0.25">
      <c r="A186" s="45" t="s">
        <v>206</v>
      </c>
      <c r="B186" s="78" t="str">
        <f t="shared" si="18"/>
        <v>T21</v>
      </c>
      <c r="C186" s="212" t="s">
        <v>879</v>
      </c>
      <c r="D186" s="228" t="s">
        <v>91</v>
      </c>
      <c r="E186" s="71" t="s">
        <v>488</v>
      </c>
      <c r="F186" s="217">
        <v>800</v>
      </c>
      <c r="G186" s="217">
        <v>800</v>
      </c>
      <c r="H186" s="217">
        <v>800</v>
      </c>
      <c r="I186" s="217">
        <v>800</v>
      </c>
      <c r="J186" s="407"/>
      <c r="K186" s="28" t="s">
        <v>735</v>
      </c>
      <c r="L186" s="28">
        <f>+L184+1</f>
        <v>21</v>
      </c>
      <c r="M186" s="99">
        <f t="shared" si="22"/>
        <v>0</v>
      </c>
      <c r="N186" s="99">
        <f t="shared" si="23"/>
        <v>0</v>
      </c>
      <c r="O186" s="99"/>
    </row>
    <row r="187" spans="1:16" x14ac:dyDescent="0.25">
      <c r="A187" s="45" t="s">
        <v>206</v>
      </c>
      <c r="B187" s="78" t="str">
        <f t="shared" si="18"/>
        <v>T22</v>
      </c>
      <c r="C187" s="291" t="s">
        <v>880</v>
      </c>
      <c r="D187" s="228" t="s">
        <v>91</v>
      </c>
      <c r="E187" s="71" t="s">
        <v>488</v>
      </c>
      <c r="F187" s="217"/>
      <c r="G187" s="217"/>
      <c r="H187" s="217"/>
      <c r="I187" s="217"/>
      <c r="J187" s="94"/>
      <c r="K187" s="28" t="s">
        <v>735</v>
      </c>
      <c r="L187" s="28">
        <f>+L186+1</f>
        <v>22</v>
      </c>
      <c r="M187" s="99"/>
      <c r="N187" s="99"/>
      <c r="O187" s="99"/>
      <c r="P187" s="38"/>
    </row>
    <row r="188" spans="1:16" s="38" customFormat="1" x14ac:dyDescent="0.25">
      <c r="A188" s="43"/>
      <c r="B188" s="43" t="s">
        <v>127</v>
      </c>
      <c r="C188" s="3" t="s">
        <v>230</v>
      </c>
      <c r="D188" s="52"/>
      <c r="E188" s="52"/>
      <c r="F188" s="56">
        <f>SUMIF($A:$A,"byte",F:F)</f>
        <v>12305</v>
      </c>
      <c r="G188" s="56">
        <f>SUMIF($A:$A,"byte",G:G)</f>
        <v>15215</v>
      </c>
      <c r="H188" s="56">
        <f>SUMIF($A:$A,"byte",H:H)</f>
        <v>15475</v>
      </c>
      <c r="I188" s="56">
        <f>SUMIF($A:$A,"byte",I:I)</f>
        <v>15535</v>
      </c>
      <c r="J188" s="407"/>
      <c r="K188" s="337"/>
      <c r="L188" s="337"/>
      <c r="M188" s="99"/>
      <c r="N188" s="99"/>
      <c r="O188" s="99"/>
    </row>
    <row r="189" spans="1:16" s="38" customFormat="1" x14ac:dyDescent="0.25">
      <c r="A189"/>
      <c r="B189"/>
      <c r="C189"/>
      <c r="D189"/>
      <c r="E189"/>
      <c r="F189"/>
      <c r="G189"/>
      <c r="H189"/>
      <c r="I189"/>
      <c r="J189" s="407"/>
      <c r="K189" s="28"/>
      <c r="L189" s="28"/>
      <c r="M189" s="99"/>
      <c r="N189" s="99"/>
      <c r="O189" s="99"/>
      <c r="P189" s="28"/>
    </row>
    <row r="190" spans="1:16" s="38" customFormat="1" x14ac:dyDescent="0.25">
      <c r="A190" s="78"/>
      <c r="B190" s="78"/>
      <c r="C190" s="208" t="s">
        <v>231</v>
      </c>
      <c r="D190" s="72"/>
      <c r="E190" s="71"/>
      <c r="F190" s="4">
        <f>F167</f>
        <v>2022</v>
      </c>
      <c r="G190" s="4">
        <f>F190+1</f>
        <v>2023</v>
      </c>
      <c r="H190" s="4">
        <f>G190+1</f>
        <v>2024</v>
      </c>
      <c r="I190" s="4">
        <f>H190+1</f>
        <v>2025</v>
      </c>
      <c r="J190" s="407"/>
      <c r="K190" s="337"/>
      <c r="L190" s="337"/>
      <c r="M190" s="99"/>
      <c r="N190" s="99"/>
      <c r="O190" s="99"/>
      <c r="P190" s="28"/>
    </row>
    <row r="191" spans="1:16" s="38" customFormat="1" x14ac:dyDescent="0.25">
      <c r="A191" s="78" t="s">
        <v>232</v>
      </c>
      <c r="B191" s="78" t="str">
        <f>IF(L191,K191&amp;L191,"")</f>
        <v>O1</v>
      </c>
      <c r="C191" s="84" t="s">
        <v>758</v>
      </c>
      <c r="D191" s="72" t="s">
        <v>664</v>
      </c>
      <c r="E191" s="71" t="s">
        <v>84</v>
      </c>
      <c r="F191" s="70">
        <v>0</v>
      </c>
      <c r="G191" s="70">
        <v>-800</v>
      </c>
      <c r="H191" s="70">
        <v>-800</v>
      </c>
      <c r="I191" s="70">
        <v>-800</v>
      </c>
      <c r="J191" s="407"/>
      <c r="K191" s="28" t="s">
        <v>759</v>
      </c>
      <c r="L191" s="28">
        <v>1</v>
      </c>
      <c r="M191" s="99" t="str">
        <f>IF(E191="VEDTATT","VEDTATT",0)</f>
        <v>VEDTATT</v>
      </c>
      <c r="N191" s="99">
        <f>IF(E191="MÅ","Nye tiltak",0)</f>
        <v>0</v>
      </c>
      <c r="O191" s="99"/>
    </row>
    <row r="192" spans="1:16" s="38" customFormat="1" x14ac:dyDescent="0.25">
      <c r="A192" s="78" t="s">
        <v>232</v>
      </c>
      <c r="B192" s="78" t="str">
        <f>IF(L192,K192&amp;L192,"")</f>
        <v>O2</v>
      </c>
      <c r="C192" s="84" t="s">
        <v>881</v>
      </c>
      <c r="D192" s="72" t="s">
        <v>91</v>
      </c>
      <c r="E192" s="71" t="s">
        <v>24</v>
      </c>
      <c r="F192" s="287"/>
      <c r="G192" s="287">
        <v>5000</v>
      </c>
      <c r="H192" s="287">
        <v>10000</v>
      </c>
      <c r="I192" s="287">
        <v>15000</v>
      </c>
      <c r="J192" s="409" t="s">
        <v>833</v>
      </c>
      <c r="K192" s="28" t="s">
        <v>759</v>
      </c>
      <c r="L192" s="28">
        <f>L191+1</f>
        <v>2</v>
      </c>
      <c r="M192" s="99"/>
      <c r="N192" s="99"/>
      <c r="O192" s="99"/>
      <c r="P192" s="28"/>
    </row>
    <row r="193" spans="1:16" s="38" customFormat="1" x14ac:dyDescent="0.25">
      <c r="A193" s="78" t="s">
        <v>232</v>
      </c>
      <c r="B193" s="78" t="str">
        <f>IF(L193,K193&amp;L193,"")</f>
        <v>O3</v>
      </c>
      <c r="C193" s="84" t="s">
        <v>761</v>
      </c>
      <c r="D193" s="72" t="s">
        <v>91</v>
      </c>
      <c r="E193" s="71" t="s">
        <v>24</v>
      </c>
      <c r="F193" s="287">
        <v>220</v>
      </c>
      <c r="G193" s="287">
        <v>220</v>
      </c>
      <c r="H193" s="287">
        <v>220</v>
      </c>
      <c r="I193" s="287">
        <v>220</v>
      </c>
      <c r="J193" s="407"/>
      <c r="K193" s="28" t="s">
        <v>759</v>
      </c>
      <c r="L193" s="28">
        <f>L192+1</f>
        <v>3</v>
      </c>
      <c r="M193" s="99"/>
      <c r="N193" s="99"/>
      <c r="O193" s="99"/>
      <c r="P193" s="28"/>
    </row>
    <row r="194" spans="1:16" s="38" customFormat="1" x14ac:dyDescent="0.25">
      <c r="A194" s="78" t="s">
        <v>232</v>
      </c>
      <c r="B194" s="78" t="str">
        <f>IF(L194,K194&amp;L194,"")</f>
        <v>O4</v>
      </c>
      <c r="C194" s="84" t="s">
        <v>882</v>
      </c>
      <c r="D194" s="72" t="s">
        <v>91</v>
      </c>
      <c r="E194" s="71" t="s">
        <v>24</v>
      </c>
      <c r="F194" s="287">
        <v>12600</v>
      </c>
      <c r="G194" s="287">
        <v>14300</v>
      </c>
      <c r="H194" s="287">
        <v>7900</v>
      </c>
      <c r="I194" s="287">
        <v>7900</v>
      </c>
      <c r="J194" s="407"/>
      <c r="K194" s="38" t="s">
        <v>759</v>
      </c>
      <c r="L194" s="28">
        <f>L193+1</f>
        <v>4</v>
      </c>
      <c r="M194" s="392"/>
      <c r="N194" s="392"/>
      <c r="O194" s="392"/>
    </row>
    <row r="195" spans="1:16" s="38" customFormat="1" x14ac:dyDescent="0.25">
      <c r="A195" s="78" t="s">
        <v>232</v>
      </c>
      <c r="B195" s="78" t="str">
        <f>IF(L195,K195&amp;L195,"")</f>
        <v>O5</v>
      </c>
      <c r="C195" s="84"/>
      <c r="D195" s="72" t="s">
        <v>91</v>
      </c>
      <c r="E195" s="71" t="s">
        <v>24</v>
      </c>
      <c r="F195" s="70">
        <v>750</v>
      </c>
      <c r="G195" s="70"/>
      <c r="H195" s="70"/>
      <c r="I195" s="70"/>
      <c r="J195" s="407"/>
      <c r="K195" s="38" t="s">
        <v>759</v>
      </c>
      <c r="L195" s="28">
        <f>L194+1</f>
        <v>5</v>
      </c>
      <c r="M195" s="99"/>
      <c r="N195" s="99"/>
      <c r="O195" s="99"/>
      <c r="P195" s="28"/>
    </row>
    <row r="196" spans="1:16" s="38" customFormat="1" x14ac:dyDescent="0.25">
      <c r="A196" s="47"/>
      <c r="B196" s="47"/>
      <c r="C196" s="245"/>
      <c r="D196" s="214"/>
      <c r="E196" s="111"/>
      <c r="F196" s="70"/>
      <c r="G196" s="70"/>
      <c r="H196" s="70"/>
      <c r="I196" s="70"/>
      <c r="J196" s="407"/>
      <c r="M196" s="99"/>
      <c r="N196" s="99"/>
      <c r="O196" s="99"/>
      <c r="P196" s="28"/>
    </row>
    <row r="197" spans="1:16" s="38" customFormat="1" x14ac:dyDescent="0.25">
      <c r="A197" s="43"/>
      <c r="B197" s="43" t="s">
        <v>127</v>
      </c>
      <c r="C197" s="3" t="s">
        <v>240</v>
      </c>
      <c r="D197" s="52"/>
      <c r="E197" s="52"/>
      <c r="F197" s="56">
        <f>SUMIF($A:$A,"ORG",F:F)</f>
        <v>13570</v>
      </c>
      <c r="G197" s="56">
        <f>SUMIF($A:$A,"ORG",G:G)</f>
        <v>18720</v>
      </c>
      <c r="H197" s="56">
        <f>SUMIF($A:$A,"ORG",H:H)</f>
        <v>17320</v>
      </c>
      <c r="I197" s="56">
        <f>SUMIF($A:$A,"ORG",I:I)</f>
        <v>22320</v>
      </c>
      <c r="J197" s="407"/>
      <c r="K197" s="337"/>
      <c r="L197" s="337"/>
      <c r="M197" s="99"/>
      <c r="N197" s="99"/>
      <c r="O197" s="99"/>
      <c r="P197" s="28"/>
    </row>
    <row r="198" spans="1:16" s="38" customFormat="1" x14ac:dyDescent="0.25">
      <c r="A198" s="47"/>
      <c r="B198" s="47"/>
      <c r="C198" s="11"/>
      <c r="D198" s="49"/>
      <c r="E198" s="49"/>
      <c r="F198" s="57"/>
      <c r="G198" s="57"/>
      <c r="H198" s="57"/>
      <c r="I198" s="57"/>
      <c r="J198" s="407"/>
      <c r="K198" s="28"/>
      <c r="L198" s="28"/>
      <c r="M198" s="99"/>
      <c r="N198" s="99"/>
      <c r="O198" s="99"/>
      <c r="P198" s="28"/>
    </row>
    <row r="199" spans="1:16" s="38" customFormat="1" x14ac:dyDescent="0.25">
      <c r="A199" s="48"/>
      <c r="B199" s="48"/>
      <c r="C199" s="13" t="s">
        <v>241</v>
      </c>
      <c r="D199" s="50"/>
      <c r="E199" s="61"/>
      <c r="F199" s="4">
        <f>F190</f>
        <v>2022</v>
      </c>
      <c r="G199" s="4">
        <f>F199+1</f>
        <v>2023</v>
      </c>
      <c r="H199" s="4">
        <f>G199+1</f>
        <v>2024</v>
      </c>
      <c r="I199" s="4">
        <f>H199+1</f>
        <v>2025</v>
      </c>
      <c r="J199" s="407"/>
      <c r="K199" s="337"/>
      <c r="L199" s="337"/>
      <c r="M199" s="99"/>
      <c r="N199" s="99"/>
      <c r="O199" s="99"/>
      <c r="P199" s="28"/>
    </row>
    <row r="200" spans="1:16" s="38" customFormat="1" x14ac:dyDescent="0.25">
      <c r="A200" s="45" t="s">
        <v>242</v>
      </c>
      <c r="B200" s="45" t="str">
        <f>IF(L200,K200&amp;L200,"")</f>
        <v>Ø1</v>
      </c>
      <c r="C200" s="346" t="s">
        <v>763</v>
      </c>
      <c r="D200" s="72" t="s">
        <v>664</v>
      </c>
      <c r="E200" s="71" t="s">
        <v>84</v>
      </c>
      <c r="F200" s="70">
        <v>0</v>
      </c>
      <c r="G200" s="70">
        <v>-1300</v>
      </c>
      <c r="H200" s="70">
        <v>-1300</v>
      </c>
      <c r="I200" s="70">
        <v>-1300</v>
      </c>
      <c r="J200" s="409"/>
      <c r="K200" s="28" t="s">
        <v>764</v>
      </c>
      <c r="L200" s="28">
        <v>1</v>
      </c>
      <c r="M200" s="99" t="str">
        <f>IF(E200="VEDTATT","VEDTATT",0)</f>
        <v>VEDTATT</v>
      </c>
      <c r="N200" s="99">
        <f>IF(E200="MÅ","Nye tiltak",0)</f>
        <v>0</v>
      </c>
      <c r="O200" s="99"/>
      <c r="P200" s="28"/>
    </row>
    <row r="201" spans="1:16" s="38" customFormat="1" x14ac:dyDescent="0.25">
      <c r="A201" s="45" t="s">
        <v>242</v>
      </c>
      <c r="B201" s="45" t="str">
        <f>IF(L201,K201&amp;L201,"")</f>
        <v>Ø2</v>
      </c>
      <c r="C201" s="347" t="s">
        <v>765</v>
      </c>
      <c r="D201" s="72" t="s">
        <v>664</v>
      </c>
      <c r="E201" s="71" t="s">
        <v>84</v>
      </c>
      <c r="F201" s="70">
        <v>0</v>
      </c>
      <c r="G201" s="70">
        <v>1300</v>
      </c>
      <c r="H201" s="70">
        <v>1300</v>
      </c>
      <c r="I201" s="70">
        <v>1300</v>
      </c>
      <c r="J201" s="409"/>
      <c r="K201" s="28" t="s">
        <v>764</v>
      </c>
      <c r="L201" s="28">
        <f>L200+1</f>
        <v>2</v>
      </c>
      <c r="M201" s="99" t="str">
        <f>IF(E201="VEDTATT","VEDTATT",0)</f>
        <v>VEDTATT</v>
      </c>
      <c r="N201" s="99">
        <f>IF(E201="MÅ","Nye tiltak",0)</f>
        <v>0</v>
      </c>
      <c r="O201" s="99"/>
      <c r="P201" s="28"/>
    </row>
    <row r="202" spans="1:16" s="38" customFormat="1" x14ac:dyDescent="0.25">
      <c r="A202" s="45" t="s">
        <v>242</v>
      </c>
      <c r="B202" s="45" t="str">
        <f>IF(L202,K202&amp;L202,"")</f>
        <v>Ø3</v>
      </c>
      <c r="C202" s="346" t="s">
        <v>883</v>
      </c>
      <c r="D202" s="79" t="s">
        <v>91</v>
      </c>
      <c r="E202" s="71" t="s">
        <v>24</v>
      </c>
      <c r="F202" s="191">
        <v>550</v>
      </c>
      <c r="G202" s="191">
        <v>550</v>
      </c>
      <c r="H202" s="191">
        <v>550</v>
      </c>
      <c r="I202" s="191">
        <v>550</v>
      </c>
      <c r="J202" s="94" t="s">
        <v>769</v>
      </c>
      <c r="K202" s="28" t="s">
        <v>764</v>
      </c>
      <c r="L202" s="28">
        <f>L201+1</f>
        <v>3</v>
      </c>
      <c r="M202" s="99">
        <f>IF(E202="VEDTATT","VEDTATT",0)</f>
        <v>0</v>
      </c>
      <c r="N202" s="99" t="str">
        <f>IF(E202="MÅ","Nye tiltak",0)</f>
        <v>Nye tiltak</v>
      </c>
      <c r="O202" s="99"/>
      <c r="P202" s="28"/>
    </row>
    <row r="203" spans="1:16" s="38" customFormat="1" x14ac:dyDescent="0.25">
      <c r="A203" s="45" t="s">
        <v>242</v>
      </c>
      <c r="B203" s="45" t="str">
        <f>IF(L203,K203&amp;L203,"")</f>
        <v>Ø4</v>
      </c>
      <c r="C203" s="346" t="s">
        <v>884</v>
      </c>
      <c r="D203" s="72" t="s">
        <v>91</v>
      </c>
      <c r="E203" s="71" t="s">
        <v>24</v>
      </c>
      <c r="F203" s="70">
        <v>-600</v>
      </c>
      <c r="G203" s="70">
        <v>-600</v>
      </c>
      <c r="H203" s="70">
        <v>-600</v>
      </c>
      <c r="I203" s="70">
        <v>-600</v>
      </c>
      <c r="J203" s="94" t="s">
        <v>771</v>
      </c>
      <c r="K203" s="28" t="s">
        <v>764</v>
      </c>
      <c r="L203" s="28">
        <f>L202+1</f>
        <v>4</v>
      </c>
      <c r="M203" s="99">
        <f>IF(E203="VEDTATT","VEDTATT",0)</f>
        <v>0</v>
      </c>
      <c r="N203" s="99" t="str">
        <f>IF(E203="MÅ","Nye tiltak",0)</f>
        <v>Nye tiltak</v>
      </c>
      <c r="O203" s="99"/>
      <c r="P203" s="28"/>
    </row>
    <row r="204" spans="1:16" s="38" customFormat="1" x14ac:dyDescent="0.25">
      <c r="A204" s="43"/>
      <c r="B204" s="43" t="s">
        <v>127</v>
      </c>
      <c r="C204" s="3" t="s">
        <v>248</v>
      </c>
      <c r="D204" s="52"/>
      <c r="E204" s="52"/>
      <c r="F204" s="56">
        <f>SUMIF($A:$A,"ØK",F:F)</f>
        <v>-50</v>
      </c>
      <c r="G204" s="56">
        <f>SUMIF($A:$A,"ØK",G:G)</f>
        <v>-50</v>
      </c>
      <c r="H204" s="56">
        <f>SUMIF($A:$A,"ØK",H:H)</f>
        <v>-50</v>
      </c>
      <c r="I204" s="56">
        <f>SUMIF($A:$A,"ØK",I:I)</f>
        <v>-50</v>
      </c>
      <c r="J204" s="407"/>
      <c r="K204" s="337"/>
      <c r="L204" s="337"/>
      <c r="M204" s="99"/>
      <c r="N204" s="99"/>
      <c r="O204" s="99"/>
      <c r="P204" s="28"/>
    </row>
    <row r="205" spans="1:16" s="38" customFormat="1" x14ac:dyDescent="0.25">
      <c r="A205" s="47"/>
      <c r="B205" s="47"/>
      <c r="C205" s="11"/>
      <c r="D205" s="49"/>
      <c r="E205" s="49"/>
      <c r="F205" s="57"/>
      <c r="G205" s="57"/>
      <c r="H205" s="57"/>
      <c r="I205" s="57"/>
      <c r="J205" s="407"/>
      <c r="K205" s="28"/>
      <c r="L205" s="28"/>
      <c r="M205" s="99"/>
      <c r="N205" s="99"/>
      <c r="O205" s="99"/>
      <c r="P205" s="28"/>
    </row>
    <row r="206" spans="1:16" s="38" customFormat="1" x14ac:dyDescent="0.25">
      <c r="A206" s="48"/>
      <c r="B206" s="48"/>
      <c r="C206" s="13" t="s">
        <v>249</v>
      </c>
      <c r="D206" s="50"/>
      <c r="E206" s="61"/>
      <c r="F206" s="58"/>
      <c r="G206" s="58"/>
      <c r="H206" s="58"/>
      <c r="I206" s="58"/>
      <c r="J206" s="407"/>
      <c r="M206" s="99"/>
      <c r="N206" s="99"/>
      <c r="O206" s="99"/>
      <c r="P206" s="28"/>
    </row>
    <row r="207" spans="1:16" s="38" customFormat="1" x14ac:dyDescent="0.25">
      <c r="A207" s="249"/>
      <c r="B207" s="249"/>
      <c r="C207" s="82" t="s">
        <v>250</v>
      </c>
      <c r="D207" s="83"/>
      <c r="E207" s="71"/>
      <c r="F207" s="4">
        <f>F199</f>
        <v>2022</v>
      </c>
      <c r="G207" s="4">
        <f>F207+1</f>
        <v>2023</v>
      </c>
      <c r="H207" s="4">
        <f>G207+1</f>
        <v>2024</v>
      </c>
      <c r="I207" s="4">
        <f>H207+1</f>
        <v>2025</v>
      </c>
      <c r="J207" s="407"/>
      <c r="K207" s="337"/>
      <c r="L207" s="337"/>
      <c r="M207" s="99"/>
      <c r="N207" s="99"/>
      <c r="O207" s="99"/>
      <c r="P207" s="28"/>
    </row>
    <row r="208" spans="1:16" s="38" customFormat="1" x14ac:dyDescent="0.25">
      <c r="A208" s="72" t="s">
        <v>251</v>
      </c>
      <c r="B208" s="78"/>
      <c r="C208" s="386"/>
      <c r="D208" s="79" t="s">
        <v>91</v>
      </c>
      <c r="E208" s="289"/>
      <c r="F208" s="191"/>
      <c r="G208" s="191"/>
      <c r="H208" s="191"/>
      <c r="I208" s="191"/>
      <c r="J208" s="409"/>
      <c r="K208" s="28" t="s">
        <v>772</v>
      </c>
      <c r="L208" s="28"/>
      <c r="M208" s="99">
        <f>IF(E208="VEDTATT","VEDTATT",0)</f>
        <v>0</v>
      </c>
      <c r="N208" s="99">
        <f>IF(E208="MÅ","Nye tiltak",0)</f>
        <v>0</v>
      </c>
      <c r="O208" s="99"/>
      <c r="P208" s="28"/>
    </row>
    <row r="209" spans="1:16" s="38" customFormat="1" x14ac:dyDescent="0.25">
      <c r="A209" s="72" t="s">
        <v>251</v>
      </c>
      <c r="B209" s="78"/>
      <c r="C209" s="245"/>
      <c r="D209" s="79"/>
      <c r="E209" s="71"/>
      <c r="F209" s="191"/>
      <c r="G209" s="191"/>
      <c r="H209" s="191"/>
      <c r="I209" s="191"/>
      <c r="J209" s="409"/>
      <c r="K209" s="28" t="s">
        <v>772</v>
      </c>
      <c r="L209" s="28"/>
      <c r="M209" s="99">
        <f>IF(E209="VEDTATT","VEDTATT",0)</f>
        <v>0</v>
      </c>
      <c r="N209" s="99">
        <f>IF(E209="MÅ","Nye tiltak",0)</f>
        <v>0</v>
      </c>
      <c r="O209" s="99"/>
      <c r="P209" s="28"/>
    </row>
    <row r="210" spans="1:16" s="38" customFormat="1" x14ac:dyDescent="0.25">
      <c r="A210" s="72"/>
      <c r="B210" s="78" t="str">
        <f t="shared" ref="B210:B239" si="24">IF(L210,K210&amp;L210,"")</f>
        <v/>
      </c>
      <c r="C210" s="82" t="s">
        <v>257</v>
      </c>
      <c r="D210" s="83"/>
      <c r="E210" s="71"/>
      <c r="F210" s="4">
        <f>F207</f>
        <v>2022</v>
      </c>
      <c r="G210" s="4">
        <f>F210+1</f>
        <v>2023</v>
      </c>
      <c r="H210" s="4">
        <f>G210+1</f>
        <v>2024</v>
      </c>
      <c r="I210" s="4">
        <f>H210+1</f>
        <v>2025</v>
      </c>
      <c r="J210" s="407"/>
      <c r="K210" s="337"/>
      <c r="L210" s="337"/>
      <c r="M210" s="99"/>
      <c r="N210" s="99"/>
      <c r="O210" s="99"/>
      <c r="P210" s="28"/>
    </row>
    <row r="211" spans="1:16" s="38" customFormat="1" ht="25.5" x14ac:dyDescent="0.25">
      <c r="A211" s="72" t="s">
        <v>251</v>
      </c>
      <c r="B211" s="78" t="str">
        <f t="shared" si="24"/>
        <v>F1</v>
      </c>
      <c r="C211" s="84" t="s">
        <v>885</v>
      </c>
      <c r="D211" s="72" t="s">
        <v>664</v>
      </c>
      <c r="E211" s="71" t="s">
        <v>84</v>
      </c>
      <c r="F211" s="191">
        <v>-35</v>
      </c>
      <c r="G211" s="191">
        <v>-65</v>
      </c>
      <c r="H211" s="191">
        <v>-65</v>
      </c>
      <c r="I211" s="191">
        <v>-65</v>
      </c>
      <c r="J211" s="409" t="s">
        <v>834</v>
      </c>
      <c r="K211" s="28" t="s">
        <v>772</v>
      </c>
      <c r="L211" s="28">
        <v>1</v>
      </c>
      <c r="M211" s="99" t="str">
        <f t="shared" ref="M211:M230" si="25">IF(E211="VEDTATT","VEDTATT",0)</f>
        <v>VEDTATT</v>
      </c>
      <c r="N211" s="99">
        <f t="shared" ref="N211:N230" si="26">IF(E211="MÅ","Nye tiltak",0)</f>
        <v>0</v>
      </c>
      <c r="O211" s="99"/>
      <c r="P211" s="28"/>
    </row>
    <row r="212" spans="1:16" s="38" customFormat="1" ht="25.5" x14ac:dyDescent="0.25">
      <c r="A212" s="72" t="s">
        <v>251</v>
      </c>
      <c r="B212" s="78" t="str">
        <f t="shared" si="24"/>
        <v>F2</v>
      </c>
      <c r="C212" s="84" t="s">
        <v>885</v>
      </c>
      <c r="D212" s="72" t="s">
        <v>664</v>
      </c>
      <c r="E212" s="71" t="s">
        <v>84</v>
      </c>
      <c r="F212" s="191">
        <v>-1000</v>
      </c>
      <c r="G212" s="191">
        <v>-1000</v>
      </c>
      <c r="H212" s="191">
        <v>-1000</v>
      </c>
      <c r="I212" s="191">
        <v>-1000</v>
      </c>
      <c r="J212" s="409" t="s">
        <v>775</v>
      </c>
      <c r="K212" s="28" t="s">
        <v>772</v>
      </c>
      <c r="L212" s="28">
        <f t="shared" ref="L212:L234" si="27">L211+1</f>
        <v>2</v>
      </c>
      <c r="M212" s="99" t="str">
        <f t="shared" si="25"/>
        <v>VEDTATT</v>
      </c>
      <c r="N212" s="99">
        <f t="shared" si="26"/>
        <v>0</v>
      </c>
      <c r="O212" s="99"/>
      <c r="P212" s="28"/>
    </row>
    <row r="213" spans="1:16" s="38" customFormat="1" x14ac:dyDescent="0.25">
      <c r="A213" s="72" t="s">
        <v>251</v>
      </c>
      <c r="B213" s="78" t="str">
        <f t="shared" si="24"/>
        <v>F3</v>
      </c>
      <c r="C213" s="393" t="s">
        <v>886</v>
      </c>
      <c r="D213" s="72" t="s">
        <v>664</v>
      </c>
      <c r="E213" s="71" t="s">
        <v>84</v>
      </c>
      <c r="F213" s="191">
        <v>-1000</v>
      </c>
      <c r="G213" s="191">
        <v>-1000</v>
      </c>
      <c r="H213" s="191">
        <v>-1000</v>
      </c>
      <c r="I213" s="191">
        <v>-1000</v>
      </c>
      <c r="J213" s="409"/>
      <c r="K213" s="28" t="s">
        <v>772</v>
      </c>
      <c r="L213" s="28">
        <f t="shared" si="27"/>
        <v>3</v>
      </c>
      <c r="M213" s="99" t="str">
        <f t="shared" si="25"/>
        <v>VEDTATT</v>
      </c>
      <c r="N213" s="99">
        <f t="shared" si="26"/>
        <v>0</v>
      </c>
      <c r="O213" s="99"/>
      <c r="P213" s="28"/>
    </row>
    <row r="214" spans="1:16" s="38" customFormat="1" x14ac:dyDescent="0.25">
      <c r="A214" s="72" t="s">
        <v>251</v>
      </c>
      <c r="B214" s="78" t="str">
        <f t="shared" si="24"/>
        <v>F4</v>
      </c>
      <c r="C214" s="84" t="s">
        <v>886</v>
      </c>
      <c r="D214" s="72" t="s">
        <v>664</v>
      </c>
      <c r="E214" s="71" t="s">
        <v>84</v>
      </c>
      <c r="F214" s="191">
        <v>1800</v>
      </c>
      <c r="G214" s="191">
        <v>3100</v>
      </c>
      <c r="H214" s="191">
        <v>3100</v>
      </c>
      <c r="I214" s="191">
        <v>3100</v>
      </c>
      <c r="J214" s="409" t="s">
        <v>779</v>
      </c>
      <c r="K214" s="28" t="s">
        <v>772</v>
      </c>
      <c r="L214" s="28">
        <f t="shared" si="27"/>
        <v>4</v>
      </c>
      <c r="M214" s="99" t="str">
        <f t="shared" si="25"/>
        <v>VEDTATT</v>
      </c>
      <c r="N214" s="99">
        <f t="shared" si="26"/>
        <v>0</v>
      </c>
      <c r="O214" s="99"/>
      <c r="P214" s="28"/>
    </row>
    <row r="215" spans="1:16" s="38" customFormat="1" x14ac:dyDescent="0.25">
      <c r="A215" s="72" t="s">
        <v>251</v>
      </c>
      <c r="B215" s="78" t="str">
        <f t="shared" si="24"/>
        <v>F5</v>
      </c>
      <c r="C215" s="84" t="s">
        <v>887</v>
      </c>
      <c r="D215" s="72" t="s">
        <v>664</v>
      </c>
      <c r="E215" s="71" t="s">
        <v>84</v>
      </c>
      <c r="F215" s="191">
        <v>-470</v>
      </c>
      <c r="G215" s="191">
        <v>-1515</v>
      </c>
      <c r="H215" s="191">
        <v>-2090</v>
      </c>
      <c r="I215" s="191">
        <v>-2090</v>
      </c>
      <c r="J215" s="93"/>
      <c r="K215" s="28" t="s">
        <v>772</v>
      </c>
      <c r="L215" s="28">
        <f t="shared" si="27"/>
        <v>5</v>
      </c>
      <c r="M215" s="99" t="str">
        <f t="shared" si="25"/>
        <v>VEDTATT</v>
      </c>
      <c r="N215" s="99">
        <f t="shared" si="26"/>
        <v>0</v>
      </c>
      <c r="O215" s="99"/>
      <c r="P215" s="28"/>
    </row>
    <row r="216" spans="1:16" s="38" customFormat="1" x14ac:dyDescent="0.25">
      <c r="A216" s="72" t="s">
        <v>251</v>
      </c>
      <c r="B216" s="78" t="str">
        <f t="shared" si="24"/>
        <v>F6</v>
      </c>
      <c r="C216" s="84" t="s">
        <v>780</v>
      </c>
      <c r="D216" s="72" t="s">
        <v>91</v>
      </c>
      <c r="E216" s="71" t="s">
        <v>24</v>
      </c>
      <c r="F216" s="191">
        <v>109000</v>
      </c>
      <c r="G216" s="191">
        <v>109000</v>
      </c>
      <c r="H216" s="191">
        <v>109000</v>
      </c>
      <c r="I216" s="191">
        <v>109000</v>
      </c>
      <c r="J216" s="409" t="s">
        <v>781</v>
      </c>
      <c r="K216" s="28" t="s">
        <v>772</v>
      </c>
      <c r="L216" s="28">
        <f t="shared" si="27"/>
        <v>6</v>
      </c>
      <c r="M216" s="99">
        <f t="shared" si="25"/>
        <v>0</v>
      </c>
      <c r="N216" s="99" t="str">
        <f t="shared" si="26"/>
        <v>Nye tiltak</v>
      </c>
      <c r="O216" s="99"/>
      <c r="P216" s="28"/>
    </row>
    <row r="217" spans="1:16" s="38" customFormat="1" x14ac:dyDescent="0.25">
      <c r="A217" s="72" t="s">
        <v>251</v>
      </c>
      <c r="B217" s="78" t="str">
        <f t="shared" si="24"/>
        <v>F7</v>
      </c>
      <c r="C217" s="84" t="s">
        <v>782</v>
      </c>
      <c r="D217" s="72" t="s">
        <v>91</v>
      </c>
      <c r="E217" s="71" t="s">
        <v>24</v>
      </c>
      <c r="F217" s="191">
        <v>246</v>
      </c>
      <c r="G217" s="191">
        <v>246</v>
      </c>
      <c r="H217" s="191">
        <v>246</v>
      </c>
      <c r="I217" s="191">
        <v>246</v>
      </c>
      <c r="J217" s="409" t="s">
        <v>783</v>
      </c>
      <c r="K217" s="28" t="s">
        <v>772</v>
      </c>
      <c r="L217" s="28">
        <f t="shared" si="27"/>
        <v>7</v>
      </c>
      <c r="M217" s="99">
        <f t="shared" si="25"/>
        <v>0</v>
      </c>
      <c r="N217" s="99" t="str">
        <f t="shared" si="26"/>
        <v>Nye tiltak</v>
      </c>
      <c r="O217" s="99"/>
      <c r="P217" s="28"/>
    </row>
    <row r="218" spans="1:16" s="38" customFormat="1" x14ac:dyDescent="0.25">
      <c r="A218" s="72" t="s">
        <v>251</v>
      </c>
      <c r="B218" s="78" t="str">
        <f t="shared" si="24"/>
        <v>F8</v>
      </c>
      <c r="C218" s="84" t="s">
        <v>784</v>
      </c>
      <c r="D218" s="72" t="s">
        <v>91</v>
      </c>
      <c r="E218" s="71" t="s">
        <v>24</v>
      </c>
      <c r="F218" s="191">
        <v>200</v>
      </c>
      <c r="G218" s="191">
        <v>200</v>
      </c>
      <c r="H218" s="191">
        <v>200</v>
      </c>
      <c r="I218" s="191">
        <v>200</v>
      </c>
      <c r="J218" s="93" t="s">
        <v>691</v>
      </c>
      <c r="K218" s="28" t="s">
        <v>772</v>
      </c>
      <c r="L218" s="28">
        <f t="shared" si="27"/>
        <v>8</v>
      </c>
      <c r="M218" s="99">
        <f t="shared" si="25"/>
        <v>0</v>
      </c>
      <c r="N218" s="99" t="str">
        <f t="shared" si="26"/>
        <v>Nye tiltak</v>
      </c>
      <c r="O218" s="99"/>
      <c r="P218" s="28"/>
    </row>
    <row r="219" spans="1:16" s="38" customFormat="1" x14ac:dyDescent="0.25">
      <c r="A219" s="72" t="s">
        <v>251</v>
      </c>
      <c r="B219" s="78" t="str">
        <f t="shared" si="24"/>
        <v/>
      </c>
      <c r="C219" s="84" t="s">
        <v>888</v>
      </c>
      <c r="D219" s="72" t="s">
        <v>91</v>
      </c>
      <c r="E219" s="71"/>
      <c r="F219" s="191"/>
      <c r="G219" s="191"/>
      <c r="H219" s="191"/>
      <c r="I219" s="191"/>
      <c r="J219" s="492" t="s">
        <v>889</v>
      </c>
      <c r="K219" s="28" t="s">
        <v>772</v>
      </c>
      <c r="L219" s="28"/>
      <c r="M219" s="99">
        <f t="shared" si="25"/>
        <v>0</v>
      </c>
      <c r="N219" s="99">
        <f t="shared" si="26"/>
        <v>0</v>
      </c>
      <c r="O219" s="99"/>
      <c r="P219" s="28"/>
    </row>
    <row r="220" spans="1:16" s="38" customFormat="1" x14ac:dyDescent="0.25">
      <c r="A220" s="72" t="s">
        <v>251</v>
      </c>
      <c r="B220" s="78" t="str">
        <f t="shared" si="24"/>
        <v>F9</v>
      </c>
      <c r="C220" s="84" t="s">
        <v>785</v>
      </c>
      <c r="D220" s="72" t="s">
        <v>91</v>
      </c>
      <c r="E220" s="71" t="s">
        <v>24</v>
      </c>
      <c r="F220" s="191">
        <v>494</v>
      </c>
      <c r="G220" s="191">
        <v>494</v>
      </c>
      <c r="H220" s="191">
        <v>494</v>
      </c>
      <c r="I220" s="191">
        <v>494</v>
      </c>
      <c r="J220" s="93" t="s">
        <v>691</v>
      </c>
      <c r="K220" s="28" t="s">
        <v>772</v>
      </c>
      <c r="L220" s="28">
        <v>9</v>
      </c>
      <c r="M220" s="99">
        <f t="shared" si="25"/>
        <v>0</v>
      </c>
      <c r="N220" s="99" t="str">
        <f t="shared" si="26"/>
        <v>Nye tiltak</v>
      </c>
      <c r="O220" s="99"/>
      <c r="P220" s="28"/>
    </row>
    <row r="221" spans="1:16" s="38" customFormat="1" x14ac:dyDescent="0.25">
      <c r="A221" s="72" t="s">
        <v>251</v>
      </c>
      <c r="B221" s="78" t="str">
        <f t="shared" si="24"/>
        <v>F10</v>
      </c>
      <c r="C221" s="84" t="s">
        <v>890</v>
      </c>
      <c r="D221" s="72" t="s">
        <v>91</v>
      </c>
      <c r="E221" s="71" t="s">
        <v>24</v>
      </c>
      <c r="F221" s="255">
        <v>4931</v>
      </c>
      <c r="G221" s="255">
        <v>4931</v>
      </c>
      <c r="H221" s="255">
        <v>4931</v>
      </c>
      <c r="I221" s="255">
        <v>4931</v>
      </c>
      <c r="J221" s="409" t="s">
        <v>891</v>
      </c>
      <c r="K221" s="28" t="s">
        <v>772</v>
      </c>
      <c r="L221" s="28">
        <f t="shared" si="27"/>
        <v>10</v>
      </c>
      <c r="M221" s="99">
        <f t="shared" si="25"/>
        <v>0</v>
      </c>
      <c r="N221" s="99" t="str">
        <f t="shared" si="26"/>
        <v>Nye tiltak</v>
      </c>
      <c r="O221" s="99"/>
      <c r="P221" s="28"/>
    </row>
    <row r="222" spans="1:16" s="38" customFormat="1" ht="25.5" x14ac:dyDescent="0.25">
      <c r="A222" s="72" t="s">
        <v>251</v>
      </c>
      <c r="B222" s="78" t="str">
        <f t="shared" si="24"/>
        <v>F11</v>
      </c>
      <c r="C222" s="84" t="s">
        <v>892</v>
      </c>
      <c r="D222" s="72" t="s">
        <v>91</v>
      </c>
      <c r="E222" s="71" t="s">
        <v>24</v>
      </c>
      <c r="F222" s="255">
        <v>800</v>
      </c>
      <c r="G222" s="255">
        <v>800</v>
      </c>
      <c r="H222" s="255">
        <v>800</v>
      </c>
      <c r="I222" s="255">
        <v>800</v>
      </c>
      <c r="J222" s="409" t="s">
        <v>893</v>
      </c>
      <c r="K222" s="28" t="s">
        <v>772</v>
      </c>
      <c r="L222" s="28">
        <f t="shared" si="27"/>
        <v>11</v>
      </c>
      <c r="M222" s="99">
        <f t="shared" si="25"/>
        <v>0</v>
      </c>
      <c r="N222" s="99" t="str">
        <f t="shared" si="26"/>
        <v>Nye tiltak</v>
      </c>
      <c r="O222" s="99"/>
      <c r="P222" s="28"/>
    </row>
    <row r="223" spans="1:16" s="38" customFormat="1" x14ac:dyDescent="0.25">
      <c r="A223" s="72" t="s">
        <v>251</v>
      </c>
      <c r="B223" s="78" t="str">
        <f t="shared" si="24"/>
        <v>F12</v>
      </c>
      <c r="C223" s="84" t="s">
        <v>894</v>
      </c>
      <c r="D223" s="72" t="s">
        <v>91</v>
      </c>
      <c r="E223" s="71" t="s">
        <v>24</v>
      </c>
      <c r="F223" s="255">
        <v>2000</v>
      </c>
      <c r="G223" s="255">
        <v>2000</v>
      </c>
      <c r="H223" s="255">
        <v>2000</v>
      </c>
      <c r="I223" s="255">
        <v>2000</v>
      </c>
      <c r="J223" s="409" t="s">
        <v>895</v>
      </c>
      <c r="K223" s="28" t="s">
        <v>772</v>
      </c>
      <c r="L223" s="28">
        <f t="shared" si="27"/>
        <v>12</v>
      </c>
      <c r="M223" s="99">
        <f t="shared" si="25"/>
        <v>0</v>
      </c>
      <c r="N223" s="99" t="str">
        <f t="shared" si="26"/>
        <v>Nye tiltak</v>
      </c>
      <c r="O223" s="99"/>
      <c r="P223" s="28"/>
    </row>
    <row r="224" spans="1:16" s="38" customFormat="1" ht="25.5" x14ac:dyDescent="0.25">
      <c r="A224" s="72" t="s">
        <v>251</v>
      </c>
      <c r="B224" s="78" t="str">
        <f t="shared" si="24"/>
        <v>F13</v>
      </c>
      <c r="C224" s="84" t="s">
        <v>896</v>
      </c>
      <c r="D224" s="72" t="s">
        <v>91</v>
      </c>
      <c r="E224" s="71" t="s">
        <v>24</v>
      </c>
      <c r="F224" s="255">
        <v>9100</v>
      </c>
      <c r="G224" s="255">
        <v>9100</v>
      </c>
      <c r="H224" s="255">
        <v>9100</v>
      </c>
      <c r="I224" s="255">
        <v>9100</v>
      </c>
      <c r="J224" s="409" t="s">
        <v>897</v>
      </c>
      <c r="K224" s="28" t="s">
        <v>772</v>
      </c>
      <c r="L224" s="28">
        <f t="shared" si="27"/>
        <v>13</v>
      </c>
      <c r="M224" s="99">
        <f t="shared" si="25"/>
        <v>0</v>
      </c>
      <c r="N224" s="99" t="str">
        <f t="shared" si="26"/>
        <v>Nye tiltak</v>
      </c>
      <c r="O224" s="99"/>
      <c r="P224" s="28"/>
    </row>
    <row r="225" spans="1:16" s="38" customFormat="1" ht="25.5" x14ac:dyDescent="0.25">
      <c r="A225" s="72" t="s">
        <v>251</v>
      </c>
      <c r="B225" s="78" t="str">
        <f t="shared" si="24"/>
        <v>F14</v>
      </c>
      <c r="C225" s="84" t="s">
        <v>898</v>
      </c>
      <c r="D225" s="72" t="s">
        <v>91</v>
      </c>
      <c r="E225" s="71" t="s">
        <v>24</v>
      </c>
      <c r="F225" s="255">
        <v>3760</v>
      </c>
      <c r="G225" s="255">
        <v>3760</v>
      </c>
      <c r="H225" s="255">
        <v>3760</v>
      </c>
      <c r="I225" s="255">
        <v>3760</v>
      </c>
      <c r="J225" s="409" t="s">
        <v>899</v>
      </c>
      <c r="K225" s="28" t="s">
        <v>772</v>
      </c>
      <c r="L225" s="28">
        <f t="shared" si="27"/>
        <v>14</v>
      </c>
      <c r="M225" s="99">
        <f t="shared" si="25"/>
        <v>0</v>
      </c>
      <c r="N225" s="99" t="str">
        <f t="shared" si="26"/>
        <v>Nye tiltak</v>
      </c>
      <c r="O225" s="99"/>
      <c r="P225" s="28"/>
    </row>
    <row r="226" spans="1:16" s="38" customFormat="1" ht="22.5" x14ac:dyDescent="0.25">
      <c r="A226" s="72" t="s">
        <v>251</v>
      </c>
      <c r="B226" s="78" t="str">
        <f t="shared" si="24"/>
        <v/>
      </c>
      <c r="C226" s="84" t="s">
        <v>900</v>
      </c>
      <c r="D226" s="72" t="s">
        <v>91</v>
      </c>
      <c r="E226" s="71" t="s">
        <v>901</v>
      </c>
      <c r="F226" s="255">
        <v>0</v>
      </c>
      <c r="G226" s="255">
        <v>0</v>
      </c>
      <c r="H226" s="255">
        <v>0</v>
      </c>
      <c r="I226" s="255">
        <v>0</v>
      </c>
      <c r="J226" s="409" t="s">
        <v>902</v>
      </c>
      <c r="K226" s="28" t="s">
        <v>772</v>
      </c>
      <c r="L226" s="28"/>
      <c r="M226" s="99">
        <f t="shared" si="25"/>
        <v>0</v>
      </c>
      <c r="N226" s="99">
        <f t="shared" si="26"/>
        <v>0</v>
      </c>
      <c r="O226" s="99"/>
      <c r="P226" s="28"/>
    </row>
    <row r="227" spans="1:16" s="38" customFormat="1" x14ac:dyDescent="0.25">
      <c r="A227" s="72" t="s">
        <v>251</v>
      </c>
      <c r="B227" s="78" t="str">
        <f t="shared" si="24"/>
        <v>F15</v>
      </c>
      <c r="C227" s="84" t="s">
        <v>787</v>
      </c>
      <c r="D227" s="72" t="s">
        <v>91</v>
      </c>
      <c r="E227" s="71" t="s">
        <v>24</v>
      </c>
      <c r="F227" s="191">
        <v>1936</v>
      </c>
      <c r="G227" s="191">
        <v>1936</v>
      </c>
      <c r="H227" s="191">
        <v>1936</v>
      </c>
      <c r="I227" s="191">
        <v>1936</v>
      </c>
      <c r="J227" s="417"/>
      <c r="K227" s="28" t="s">
        <v>772</v>
      </c>
      <c r="L227" s="28">
        <v>15</v>
      </c>
      <c r="M227" s="99">
        <f t="shared" si="25"/>
        <v>0</v>
      </c>
      <c r="N227" s="99" t="str">
        <f t="shared" si="26"/>
        <v>Nye tiltak</v>
      </c>
      <c r="O227" s="99"/>
      <c r="P227" s="28"/>
    </row>
    <row r="228" spans="1:16" s="38" customFormat="1" x14ac:dyDescent="0.25">
      <c r="A228" s="72" t="s">
        <v>251</v>
      </c>
      <c r="B228" s="78" t="str">
        <f t="shared" si="24"/>
        <v>F16</v>
      </c>
      <c r="C228" s="84" t="s">
        <v>788</v>
      </c>
      <c r="D228" s="72" t="s">
        <v>91</v>
      </c>
      <c r="E228" s="71" t="s">
        <v>24</v>
      </c>
      <c r="F228" s="191">
        <v>1880</v>
      </c>
      <c r="G228" s="191">
        <v>1880</v>
      </c>
      <c r="H228" s="191">
        <v>1880</v>
      </c>
      <c r="I228" s="191">
        <v>1880</v>
      </c>
      <c r="J228" s="409" t="s">
        <v>789</v>
      </c>
      <c r="K228" s="28" t="s">
        <v>772</v>
      </c>
      <c r="L228" s="28">
        <f t="shared" si="27"/>
        <v>16</v>
      </c>
      <c r="M228" s="99">
        <f t="shared" si="25"/>
        <v>0</v>
      </c>
      <c r="N228" s="99" t="str">
        <f t="shared" si="26"/>
        <v>Nye tiltak</v>
      </c>
      <c r="O228" s="99"/>
      <c r="P228" s="28"/>
    </row>
    <row r="229" spans="1:16" s="38" customFormat="1" ht="25.5" x14ac:dyDescent="0.25">
      <c r="A229" s="72" t="s">
        <v>251</v>
      </c>
      <c r="B229" s="78" t="str">
        <f t="shared" si="24"/>
        <v>F17</v>
      </c>
      <c r="C229" s="84" t="s">
        <v>903</v>
      </c>
      <c r="D229" s="72" t="s">
        <v>91</v>
      </c>
      <c r="E229" s="71" t="s">
        <v>24</v>
      </c>
      <c r="F229" s="191">
        <v>-1880</v>
      </c>
      <c r="G229" s="191"/>
      <c r="H229" s="191"/>
      <c r="I229" s="191"/>
      <c r="J229" s="409" t="s">
        <v>791</v>
      </c>
      <c r="K229" s="28" t="s">
        <v>772</v>
      </c>
      <c r="L229" s="28">
        <f t="shared" si="27"/>
        <v>17</v>
      </c>
      <c r="M229" s="99">
        <f t="shared" si="25"/>
        <v>0</v>
      </c>
      <c r="N229" s="99" t="str">
        <f t="shared" si="26"/>
        <v>Nye tiltak</v>
      </c>
      <c r="O229" s="99"/>
      <c r="P229" s="28"/>
    </row>
    <row r="230" spans="1:16" s="38" customFormat="1" ht="90" x14ac:dyDescent="0.25">
      <c r="A230" s="72" t="s">
        <v>251</v>
      </c>
      <c r="B230" s="78" t="str">
        <f t="shared" si="24"/>
        <v>F18</v>
      </c>
      <c r="C230" s="84" t="s">
        <v>904</v>
      </c>
      <c r="D230" s="72" t="s">
        <v>91</v>
      </c>
      <c r="E230" s="71" t="s">
        <v>901</v>
      </c>
      <c r="F230" s="290">
        <v>-800</v>
      </c>
      <c r="G230" s="290">
        <v>0</v>
      </c>
      <c r="H230" s="290">
        <v>-1300</v>
      </c>
      <c r="I230" s="290">
        <v>-1300</v>
      </c>
      <c r="J230" s="488" t="s">
        <v>905</v>
      </c>
      <c r="K230" s="28" t="s">
        <v>772</v>
      </c>
      <c r="L230" s="28">
        <f t="shared" si="27"/>
        <v>18</v>
      </c>
      <c r="M230" s="99">
        <f t="shared" si="25"/>
        <v>0</v>
      </c>
      <c r="N230" s="99">
        <f t="shared" si="26"/>
        <v>0</v>
      </c>
      <c r="O230" s="99"/>
      <c r="P230" s="28"/>
    </row>
    <row r="231" spans="1:16" s="38" customFormat="1" x14ac:dyDescent="0.25">
      <c r="A231" s="72" t="s">
        <v>251</v>
      </c>
      <c r="B231" s="78" t="str">
        <f t="shared" si="24"/>
        <v>F19</v>
      </c>
      <c r="C231" s="386" t="s">
        <v>263</v>
      </c>
      <c r="D231" s="72" t="s">
        <v>91</v>
      </c>
      <c r="E231" s="71" t="s">
        <v>24</v>
      </c>
      <c r="F231" s="191">
        <v>450</v>
      </c>
      <c r="G231" s="191">
        <v>450</v>
      </c>
      <c r="H231" s="191">
        <v>450</v>
      </c>
      <c r="I231" s="191">
        <v>450</v>
      </c>
      <c r="J231" s="409" t="s">
        <v>792</v>
      </c>
      <c r="K231" s="28" t="s">
        <v>772</v>
      </c>
      <c r="L231" s="28">
        <f t="shared" si="27"/>
        <v>19</v>
      </c>
      <c r="M231" s="99"/>
      <c r="N231" s="99"/>
      <c r="O231" s="99"/>
      <c r="P231" s="28"/>
    </row>
    <row r="232" spans="1:16" s="38" customFormat="1" ht="33.75" x14ac:dyDescent="0.25">
      <c r="A232" s="72" t="s">
        <v>251</v>
      </c>
      <c r="B232" s="78" t="str">
        <f t="shared" si="24"/>
        <v>F20</v>
      </c>
      <c r="C232" s="84" t="s">
        <v>384</v>
      </c>
      <c r="D232" s="72" t="s">
        <v>91</v>
      </c>
      <c r="E232" s="71" t="s">
        <v>24</v>
      </c>
      <c r="F232" s="489">
        <f>1030+600</f>
        <v>1630</v>
      </c>
      <c r="G232" s="489">
        <f>1030+600</f>
        <v>1630</v>
      </c>
      <c r="H232" s="489">
        <f>1030+600</f>
        <v>1630</v>
      </c>
      <c r="I232" s="489">
        <f>1030+600</f>
        <v>1630</v>
      </c>
      <c r="J232" s="488" t="s">
        <v>906</v>
      </c>
      <c r="K232" s="28" t="s">
        <v>772</v>
      </c>
      <c r="L232" s="28">
        <f t="shared" si="27"/>
        <v>20</v>
      </c>
      <c r="M232" s="99"/>
      <c r="N232" s="99"/>
      <c r="O232" s="99"/>
      <c r="P232" s="28"/>
    </row>
    <row r="233" spans="1:16" s="38" customFormat="1" ht="22.5" x14ac:dyDescent="0.25">
      <c r="A233" s="72" t="s">
        <v>251</v>
      </c>
      <c r="B233" s="78" t="str">
        <f t="shared" si="24"/>
        <v>F21</v>
      </c>
      <c r="C233" s="84" t="s">
        <v>277</v>
      </c>
      <c r="D233" s="72" t="s">
        <v>91</v>
      </c>
      <c r="E233" s="71" t="s">
        <v>24</v>
      </c>
      <c r="F233" s="490">
        <v>550</v>
      </c>
      <c r="G233" s="490">
        <v>550</v>
      </c>
      <c r="H233" s="490">
        <v>550</v>
      </c>
      <c r="I233" s="490">
        <v>550</v>
      </c>
      <c r="J233" s="488" t="s">
        <v>907</v>
      </c>
      <c r="K233" s="28" t="s">
        <v>772</v>
      </c>
      <c r="L233" s="28">
        <f t="shared" si="27"/>
        <v>21</v>
      </c>
      <c r="M233" s="99"/>
      <c r="N233" s="99"/>
      <c r="O233" s="99"/>
      <c r="P233" s="28"/>
    </row>
    <row r="234" spans="1:16" s="38" customFormat="1" ht="33.75" x14ac:dyDescent="0.25">
      <c r="A234" s="72" t="s">
        <v>251</v>
      </c>
      <c r="B234" s="78" t="str">
        <f t="shared" si="24"/>
        <v>F22</v>
      </c>
      <c r="C234" s="84" t="s">
        <v>793</v>
      </c>
      <c r="D234" s="72" t="s">
        <v>91</v>
      </c>
      <c r="E234" s="71" t="s">
        <v>24</v>
      </c>
      <c r="F234" s="490">
        <v>850</v>
      </c>
      <c r="G234" s="490">
        <v>850</v>
      </c>
      <c r="H234" s="490">
        <v>850</v>
      </c>
      <c r="I234" s="490">
        <v>850</v>
      </c>
      <c r="J234" s="488" t="s">
        <v>908</v>
      </c>
      <c r="K234" s="28" t="s">
        <v>772</v>
      </c>
      <c r="L234" s="28">
        <f t="shared" si="27"/>
        <v>22</v>
      </c>
      <c r="M234" s="99">
        <f>IF(E234="VEDTATT","VEDTATT",0)</f>
        <v>0</v>
      </c>
      <c r="N234" s="99" t="str">
        <f>IF(E234="MÅ","Nye tiltak",0)</f>
        <v>Nye tiltak</v>
      </c>
      <c r="O234" s="99"/>
      <c r="P234" s="28"/>
    </row>
    <row r="235" spans="1:16" s="38" customFormat="1" x14ac:dyDescent="0.25">
      <c r="A235" s="72"/>
      <c r="B235" s="78" t="str">
        <f t="shared" si="24"/>
        <v/>
      </c>
      <c r="C235" s="82" t="s">
        <v>288</v>
      </c>
      <c r="D235" s="83"/>
      <c r="E235" s="71"/>
      <c r="F235" s="4">
        <f>F210</f>
        <v>2022</v>
      </c>
      <c r="G235" s="4">
        <f>F235+1</f>
        <v>2023</v>
      </c>
      <c r="H235" s="4">
        <f>G235+1</f>
        <v>2024</v>
      </c>
      <c r="I235" s="4">
        <f>H235+1</f>
        <v>2025</v>
      </c>
      <c r="J235" s="407"/>
      <c r="K235" s="337"/>
      <c r="L235" s="337"/>
      <c r="M235" s="99"/>
      <c r="N235" s="99"/>
      <c r="O235" s="99"/>
      <c r="P235" s="28"/>
    </row>
    <row r="236" spans="1:16" s="38" customFormat="1" x14ac:dyDescent="0.25">
      <c r="A236" s="72" t="s">
        <v>251</v>
      </c>
      <c r="B236" s="78" t="str">
        <f t="shared" si="24"/>
        <v>F23</v>
      </c>
      <c r="C236" s="38" t="s">
        <v>289</v>
      </c>
      <c r="D236" s="72" t="s">
        <v>664</v>
      </c>
      <c r="E236" s="71" t="s">
        <v>84</v>
      </c>
      <c r="F236" s="70"/>
      <c r="G236" s="191">
        <v>2430</v>
      </c>
      <c r="H236" s="191"/>
      <c r="I236" s="191">
        <v>0</v>
      </c>
      <c r="J236" s="407"/>
      <c r="K236" s="28" t="s">
        <v>772</v>
      </c>
      <c r="L236" s="28">
        <f>L234+1</f>
        <v>23</v>
      </c>
      <c r="M236" s="99" t="str">
        <f>IF(E236="VEDTATT","VEDTATT",0)</f>
        <v>VEDTATT</v>
      </c>
      <c r="N236" s="99">
        <f>IF(E236="MÅ","Nye tiltak",0)</f>
        <v>0</v>
      </c>
      <c r="O236" s="99"/>
      <c r="P236" s="28"/>
    </row>
    <row r="237" spans="1:16" s="38" customFormat="1" ht="30" x14ac:dyDescent="0.25">
      <c r="A237" s="72" t="s">
        <v>251</v>
      </c>
      <c r="B237" s="78" t="str">
        <f t="shared" si="24"/>
        <v>F24</v>
      </c>
      <c r="C237" s="295" t="s">
        <v>909</v>
      </c>
      <c r="D237" s="72" t="s">
        <v>664</v>
      </c>
      <c r="E237" s="71" t="s">
        <v>84</v>
      </c>
      <c r="F237" s="70"/>
      <c r="G237" s="191">
        <v>400</v>
      </c>
      <c r="H237" s="191"/>
      <c r="I237" s="191">
        <v>0</v>
      </c>
      <c r="J237" s="407"/>
      <c r="K237" s="28" t="s">
        <v>772</v>
      </c>
      <c r="L237" s="28">
        <f t="shared" ref="L237:L246" si="28">+L236+1</f>
        <v>24</v>
      </c>
      <c r="M237" s="99" t="str">
        <f>IF(E237="VEDTATT","VEDTATT",0)</f>
        <v>VEDTATT</v>
      </c>
      <c r="N237" s="99">
        <f>IF(E237="MÅ","Nye tiltak",0)</f>
        <v>0</v>
      </c>
      <c r="O237" s="99"/>
      <c r="P237" s="28"/>
    </row>
    <row r="238" spans="1:16" s="38" customFormat="1" x14ac:dyDescent="0.25">
      <c r="A238" s="72" t="s">
        <v>251</v>
      </c>
      <c r="B238" s="78" t="str">
        <f t="shared" si="24"/>
        <v>F25</v>
      </c>
      <c r="C238" s="38" t="s">
        <v>291</v>
      </c>
      <c r="D238" s="72" t="s">
        <v>664</v>
      </c>
      <c r="E238" s="71" t="s">
        <v>84</v>
      </c>
      <c r="F238" s="70"/>
      <c r="G238" s="191">
        <v>300</v>
      </c>
      <c r="H238" s="191"/>
      <c r="I238" s="191">
        <v>0</v>
      </c>
      <c r="J238" s="407"/>
      <c r="K238" s="28" t="s">
        <v>772</v>
      </c>
      <c r="L238" s="28">
        <f t="shared" si="28"/>
        <v>25</v>
      </c>
      <c r="M238" s="99" t="str">
        <f>IF(E238="VEDTATT","VEDTATT",0)</f>
        <v>VEDTATT</v>
      </c>
      <c r="N238" s="99">
        <f>IF(E238="MÅ","Nye tiltak",0)</f>
        <v>0</v>
      </c>
      <c r="O238" s="99"/>
      <c r="P238" s="28"/>
    </row>
    <row r="239" spans="1:16" s="38" customFormat="1" x14ac:dyDescent="0.25">
      <c r="A239" s="72" t="s">
        <v>251</v>
      </c>
      <c r="B239" s="78" t="str">
        <f t="shared" si="24"/>
        <v>F26</v>
      </c>
      <c r="C239" s="38" t="s">
        <v>292</v>
      </c>
      <c r="D239" s="72" t="s">
        <v>664</v>
      </c>
      <c r="E239" s="71" t="s">
        <v>84</v>
      </c>
      <c r="F239" s="70"/>
      <c r="G239" s="191">
        <v>200</v>
      </c>
      <c r="H239" s="191"/>
      <c r="I239" s="191">
        <v>0</v>
      </c>
      <c r="J239" s="407"/>
      <c r="K239" s="28" t="s">
        <v>772</v>
      </c>
      <c r="L239" s="28">
        <f t="shared" si="28"/>
        <v>26</v>
      </c>
      <c r="M239" s="99" t="str">
        <f>IF(E239="VEDTATT","VEDTATT",0)</f>
        <v>VEDTATT</v>
      </c>
      <c r="N239" s="99">
        <f>IF(E239="MÅ","Nye tiltak",0)</f>
        <v>0</v>
      </c>
      <c r="O239" s="99"/>
      <c r="P239" s="28"/>
    </row>
    <row r="240" spans="1:16" s="38" customFormat="1" x14ac:dyDescent="0.25">
      <c r="A240" s="72" t="s">
        <v>251</v>
      </c>
      <c r="B240" s="78" t="str">
        <f t="shared" ref="B240:B258" si="29">IF(L240,K240&amp;L240,"")</f>
        <v>F27</v>
      </c>
      <c r="C240" s="38" t="s">
        <v>293</v>
      </c>
      <c r="D240" s="79" t="s">
        <v>664</v>
      </c>
      <c r="E240" s="71" t="s">
        <v>84</v>
      </c>
      <c r="F240" s="191"/>
      <c r="G240" s="191">
        <v>-2000</v>
      </c>
      <c r="H240" s="191">
        <v>-2000</v>
      </c>
      <c r="I240" s="191">
        <v>-2000</v>
      </c>
      <c r="J240" s="407" t="s">
        <v>794</v>
      </c>
      <c r="K240" s="28" t="s">
        <v>772</v>
      </c>
      <c r="L240" s="28">
        <f t="shared" si="28"/>
        <v>27</v>
      </c>
      <c r="M240" s="99" t="str">
        <f>IF(E240="VEDTATT","VEDTATT",0)</f>
        <v>VEDTATT</v>
      </c>
      <c r="N240" s="99">
        <f>IF(E240="MÅ","Nye tiltak",0)</f>
        <v>0</v>
      </c>
      <c r="O240" s="99"/>
      <c r="P240" s="28"/>
    </row>
    <row r="241" spans="1:16" s="38" customFormat="1" x14ac:dyDescent="0.25">
      <c r="A241" s="72" t="s">
        <v>251</v>
      </c>
      <c r="B241" s="78" t="str">
        <f t="shared" si="29"/>
        <v>F28</v>
      </c>
      <c r="C241" s="38" t="s">
        <v>289</v>
      </c>
      <c r="D241" s="79" t="s">
        <v>91</v>
      </c>
      <c r="E241" s="71" t="s">
        <v>24</v>
      </c>
      <c r="F241" s="191"/>
      <c r="G241" s="191"/>
      <c r="H241" s="191"/>
      <c r="I241" s="191">
        <v>2430</v>
      </c>
      <c r="J241" s="407"/>
      <c r="K241" s="28" t="s">
        <v>772</v>
      </c>
      <c r="L241" s="28">
        <f t="shared" si="28"/>
        <v>28</v>
      </c>
      <c r="M241" s="99"/>
      <c r="N241" s="99"/>
      <c r="O241" s="99"/>
      <c r="P241" s="28"/>
    </row>
    <row r="242" spans="1:16" s="38" customFormat="1" x14ac:dyDescent="0.25">
      <c r="A242" s="72" t="s">
        <v>251</v>
      </c>
      <c r="B242" s="78" t="str">
        <f t="shared" si="29"/>
        <v>F29</v>
      </c>
      <c r="C242" s="38" t="s">
        <v>910</v>
      </c>
      <c r="D242" s="79" t="s">
        <v>91</v>
      </c>
      <c r="E242" s="71" t="s">
        <v>24</v>
      </c>
      <c r="F242" s="191"/>
      <c r="G242" s="191"/>
      <c r="H242" s="191"/>
      <c r="I242" s="191">
        <v>400</v>
      </c>
      <c r="J242" s="407"/>
      <c r="K242" s="28" t="s">
        <v>772</v>
      </c>
      <c r="L242" s="28">
        <f t="shared" si="28"/>
        <v>29</v>
      </c>
      <c r="M242" s="99"/>
      <c r="N242" s="99"/>
      <c r="O242" s="99"/>
      <c r="P242" s="28"/>
    </row>
    <row r="243" spans="1:16" s="38" customFormat="1" x14ac:dyDescent="0.25">
      <c r="A243" s="72" t="s">
        <v>251</v>
      </c>
      <c r="B243" s="78" t="str">
        <f t="shared" si="29"/>
        <v>F30</v>
      </c>
      <c r="C243" s="38" t="s">
        <v>398</v>
      </c>
      <c r="D243" s="79" t="s">
        <v>91</v>
      </c>
      <c r="E243" s="71" t="s">
        <v>24</v>
      </c>
      <c r="F243" s="191"/>
      <c r="G243" s="191">
        <v>400</v>
      </c>
      <c r="H243" s="191"/>
      <c r="I243" s="191">
        <v>400</v>
      </c>
      <c r="J243" s="407"/>
      <c r="K243" s="28" t="s">
        <v>772</v>
      </c>
      <c r="L243" s="28">
        <f t="shared" si="28"/>
        <v>30</v>
      </c>
      <c r="M243" s="99"/>
      <c r="N243" s="99"/>
      <c r="O243" s="99"/>
      <c r="P243" s="28"/>
    </row>
    <row r="244" spans="1:16" s="38" customFormat="1" x14ac:dyDescent="0.25">
      <c r="A244" s="72" t="s">
        <v>251</v>
      </c>
      <c r="B244" s="78" t="str">
        <f t="shared" si="29"/>
        <v>F31</v>
      </c>
      <c r="C244" s="38" t="s">
        <v>470</v>
      </c>
      <c r="D244" s="79" t="s">
        <v>91</v>
      </c>
      <c r="E244" s="71" t="s">
        <v>24</v>
      </c>
      <c r="F244" s="191"/>
      <c r="G244" s="191">
        <v>300</v>
      </c>
      <c r="H244" s="191"/>
      <c r="I244" s="191">
        <v>300</v>
      </c>
      <c r="J244" s="407"/>
      <c r="K244" s="28" t="s">
        <v>772</v>
      </c>
      <c r="L244" s="28">
        <f t="shared" si="28"/>
        <v>31</v>
      </c>
      <c r="M244" s="99">
        <f>IF(E244="VEDTATT","VEDTATT",0)</f>
        <v>0</v>
      </c>
      <c r="N244" s="99" t="str">
        <f>IF(E244="MÅ","Nye tiltak",0)</f>
        <v>Nye tiltak</v>
      </c>
      <c r="O244" s="99"/>
      <c r="P244" s="28"/>
    </row>
    <row r="245" spans="1:16" s="38" customFormat="1" x14ac:dyDescent="0.25">
      <c r="A245" s="72" t="s">
        <v>251</v>
      </c>
      <c r="B245" s="78" t="str">
        <f t="shared" si="29"/>
        <v>F32</v>
      </c>
      <c r="C245" s="293" t="s">
        <v>911</v>
      </c>
      <c r="D245" s="79" t="s">
        <v>91</v>
      </c>
      <c r="E245" s="71" t="s">
        <v>24</v>
      </c>
      <c r="F245" s="191">
        <v>50</v>
      </c>
      <c r="G245" s="191">
        <v>50</v>
      </c>
      <c r="H245" s="191">
        <v>50</v>
      </c>
      <c r="I245" s="191">
        <v>50</v>
      </c>
      <c r="J245" s="407"/>
      <c r="K245" s="28" t="s">
        <v>772</v>
      </c>
      <c r="L245" s="28">
        <f t="shared" si="28"/>
        <v>32</v>
      </c>
      <c r="M245" s="99"/>
      <c r="N245" s="99"/>
      <c r="O245" s="99"/>
      <c r="P245" s="28"/>
    </row>
    <row r="246" spans="1:16" s="38" customFormat="1" x14ac:dyDescent="0.25">
      <c r="A246" s="72" t="s">
        <v>251</v>
      </c>
      <c r="B246" s="78" t="str">
        <f t="shared" si="29"/>
        <v>F33</v>
      </c>
      <c r="C246" s="293" t="s">
        <v>796</v>
      </c>
      <c r="D246" s="79" t="s">
        <v>91</v>
      </c>
      <c r="E246" s="71" t="s">
        <v>24</v>
      </c>
      <c r="F246" s="191"/>
      <c r="G246" s="191"/>
      <c r="H246" s="191">
        <v>1000</v>
      </c>
      <c r="I246" s="191"/>
      <c r="J246" s="407"/>
      <c r="K246" s="28" t="s">
        <v>772</v>
      </c>
      <c r="L246" s="28">
        <f t="shared" si="28"/>
        <v>33</v>
      </c>
      <c r="M246" s="99"/>
      <c r="N246" s="99"/>
      <c r="O246" s="99"/>
      <c r="P246" s="28"/>
    </row>
    <row r="247" spans="1:16" s="38" customFormat="1" x14ac:dyDescent="0.25">
      <c r="A247" s="72"/>
      <c r="B247" s="78" t="str">
        <f t="shared" si="29"/>
        <v/>
      </c>
      <c r="C247" s="82" t="s">
        <v>282</v>
      </c>
      <c r="D247" s="388"/>
      <c r="E247" s="71"/>
      <c r="F247" s="389"/>
      <c r="G247" s="389"/>
      <c r="H247" s="389"/>
      <c r="I247" s="389"/>
      <c r="J247" s="407"/>
      <c r="M247" s="99"/>
      <c r="N247" s="99"/>
      <c r="O247" s="99"/>
      <c r="P247" s="28"/>
    </row>
    <row r="248" spans="1:16" s="38" customFormat="1" x14ac:dyDescent="0.25">
      <c r="A248" s="72" t="s">
        <v>251</v>
      </c>
      <c r="B248" s="78" t="str">
        <f t="shared" si="29"/>
        <v>F34</v>
      </c>
      <c r="C248" s="84" t="s">
        <v>628</v>
      </c>
      <c r="D248" s="72" t="s">
        <v>661</v>
      </c>
      <c r="E248" s="71" t="s">
        <v>84</v>
      </c>
      <c r="F248" s="484">
        <v>-22250</v>
      </c>
      <c r="G248" s="484">
        <v>-23950</v>
      </c>
      <c r="H248" s="484">
        <v>-23950</v>
      </c>
      <c r="I248" s="484">
        <v>-23950</v>
      </c>
      <c r="J248" s="486" t="s">
        <v>798</v>
      </c>
      <c r="K248" s="28" t="s">
        <v>772</v>
      </c>
      <c r="L248" s="28">
        <f>L246+1</f>
        <v>34</v>
      </c>
      <c r="M248" s="99" t="str">
        <f>IF(E248="VEDTATT","VEDTATT",0)</f>
        <v>VEDTATT</v>
      </c>
      <c r="N248" s="99">
        <f>IF(E248="MÅ","Nye tiltak",0)</f>
        <v>0</v>
      </c>
      <c r="O248" s="99"/>
      <c r="P248" s="28"/>
    </row>
    <row r="249" spans="1:16" s="38" customFormat="1" x14ac:dyDescent="0.25">
      <c r="A249" s="72" t="s">
        <v>251</v>
      </c>
      <c r="B249" s="78" t="str">
        <f t="shared" si="29"/>
        <v>F35</v>
      </c>
      <c r="C249" s="84" t="s">
        <v>629</v>
      </c>
      <c r="D249" s="72" t="s">
        <v>661</v>
      </c>
      <c r="E249" s="71" t="s">
        <v>84</v>
      </c>
      <c r="F249" s="487">
        <v>-4210</v>
      </c>
      <c r="G249" s="487">
        <v>-16430</v>
      </c>
      <c r="H249" s="487">
        <v>-31250</v>
      </c>
      <c r="I249" s="487">
        <v>-37308</v>
      </c>
      <c r="J249" s="486" t="s">
        <v>798</v>
      </c>
      <c r="K249" s="28" t="s">
        <v>772</v>
      </c>
      <c r="L249" s="28">
        <f t="shared" ref="L249:L255" si="30">+L248+1</f>
        <v>35</v>
      </c>
      <c r="M249" s="99" t="str">
        <f>IF(E249="VEDTATT","VEDTATT",0)</f>
        <v>VEDTATT</v>
      </c>
      <c r="N249" s="99">
        <f>IF(E249="MÅ","Nye tiltak",0)</f>
        <v>0</v>
      </c>
      <c r="O249" s="99"/>
      <c r="P249" s="28"/>
    </row>
    <row r="250" spans="1:16" s="38" customFormat="1" x14ac:dyDescent="0.25">
      <c r="A250" s="72" t="s">
        <v>251</v>
      </c>
      <c r="B250" s="78" t="str">
        <f t="shared" si="29"/>
        <v>F36</v>
      </c>
      <c r="C250" s="84" t="s">
        <v>912</v>
      </c>
      <c r="D250" s="72" t="s">
        <v>661</v>
      </c>
      <c r="E250" s="71" t="s">
        <v>84</v>
      </c>
      <c r="F250" s="484">
        <v>-2550</v>
      </c>
      <c r="G250" s="484">
        <v>-2550</v>
      </c>
      <c r="H250" s="484">
        <v>-2550</v>
      </c>
      <c r="I250" s="484">
        <v>-2550</v>
      </c>
      <c r="J250" s="486" t="s">
        <v>799</v>
      </c>
      <c r="K250" s="28" t="s">
        <v>772</v>
      </c>
      <c r="L250" s="28">
        <f t="shared" si="30"/>
        <v>36</v>
      </c>
      <c r="M250" s="99" t="str">
        <f>IF(E250="VEDTATT","VEDTATT",0)</f>
        <v>VEDTATT</v>
      </c>
      <c r="N250" s="99">
        <f>IF(E250="MÅ","Nye tiltak",0)</f>
        <v>0</v>
      </c>
      <c r="O250" s="99"/>
      <c r="P250" s="28"/>
    </row>
    <row r="251" spans="1:16" s="38" customFormat="1" x14ac:dyDescent="0.25">
      <c r="A251" s="72" t="s">
        <v>251</v>
      </c>
      <c r="B251" s="78" t="str">
        <f t="shared" si="29"/>
        <v>F37</v>
      </c>
      <c r="C251" s="84" t="s">
        <v>631</v>
      </c>
      <c r="D251" s="72" t="s">
        <v>661</v>
      </c>
      <c r="E251" s="71" t="s">
        <v>84</v>
      </c>
      <c r="F251" s="484">
        <v>-4420</v>
      </c>
      <c r="G251" s="484">
        <v>-4420</v>
      </c>
      <c r="H251" s="484">
        <v>-4420</v>
      </c>
      <c r="I251" s="484">
        <v>-4420</v>
      </c>
      <c r="J251" s="486" t="s">
        <v>798</v>
      </c>
      <c r="K251" s="28" t="s">
        <v>772</v>
      </c>
      <c r="L251" s="28">
        <f t="shared" si="30"/>
        <v>37</v>
      </c>
      <c r="M251" s="99" t="str">
        <f>IF(E251="VEDTATT","VEDTATT",0)</f>
        <v>VEDTATT</v>
      </c>
      <c r="N251" s="99">
        <f>IF(E251="MÅ","Nye tiltak",0)</f>
        <v>0</v>
      </c>
      <c r="O251" s="99"/>
      <c r="P251" s="28"/>
    </row>
    <row r="252" spans="1:16" s="38" customFormat="1" x14ac:dyDescent="0.25">
      <c r="A252" s="72" t="s">
        <v>251</v>
      </c>
      <c r="B252" s="78" t="str">
        <f t="shared" si="29"/>
        <v>F38</v>
      </c>
      <c r="C252" s="84" t="s">
        <v>913</v>
      </c>
      <c r="D252" s="72" t="s">
        <v>661</v>
      </c>
      <c r="E252" s="61" t="s">
        <v>84</v>
      </c>
      <c r="F252" s="90">
        <v>35700</v>
      </c>
      <c r="G252" s="90">
        <v>50700</v>
      </c>
      <c r="H252" s="90">
        <v>63700</v>
      </c>
      <c r="I252" s="90">
        <v>72700</v>
      </c>
      <c r="J252" s="412" t="s">
        <v>800</v>
      </c>
      <c r="K252" s="28" t="s">
        <v>772</v>
      </c>
      <c r="L252" s="28">
        <f t="shared" si="30"/>
        <v>38</v>
      </c>
      <c r="M252" s="99"/>
      <c r="N252" s="99"/>
      <c r="O252" s="99"/>
      <c r="P252" s="28"/>
    </row>
    <row r="253" spans="1:16" s="38" customFormat="1" x14ac:dyDescent="0.25">
      <c r="A253" s="72" t="s">
        <v>251</v>
      </c>
      <c r="B253" s="78" t="str">
        <f t="shared" si="29"/>
        <v>F39</v>
      </c>
      <c r="C253" s="84" t="s">
        <v>914</v>
      </c>
      <c r="D253" s="72" t="s">
        <v>661</v>
      </c>
      <c r="E253" s="71" t="s">
        <v>84</v>
      </c>
      <c r="F253" s="90">
        <v>-35700</v>
      </c>
      <c r="G253" s="90">
        <v>-50700</v>
      </c>
      <c r="H253" s="90">
        <v>-63700</v>
      </c>
      <c r="I253" s="90">
        <v>-72700</v>
      </c>
      <c r="J253" s="412" t="s">
        <v>800</v>
      </c>
      <c r="K253" s="28" t="s">
        <v>772</v>
      </c>
      <c r="L253" s="28">
        <f t="shared" si="30"/>
        <v>39</v>
      </c>
      <c r="M253" s="99"/>
      <c r="N253" s="99"/>
      <c r="O253" s="99"/>
      <c r="P253" s="28"/>
    </row>
    <row r="254" spans="1:16" s="38" customFormat="1" x14ac:dyDescent="0.25">
      <c r="A254" s="72" t="s">
        <v>251</v>
      </c>
      <c r="B254" s="78" t="str">
        <f t="shared" si="29"/>
        <v>F40</v>
      </c>
      <c r="C254" s="84" t="s">
        <v>631</v>
      </c>
      <c r="D254" s="72" t="s">
        <v>661</v>
      </c>
      <c r="E254" s="71" t="s">
        <v>84</v>
      </c>
      <c r="F254" s="90">
        <v>4420</v>
      </c>
      <c r="G254" s="90">
        <v>4420</v>
      </c>
      <c r="H254" s="90">
        <v>4420</v>
      </c>
      <c r="I254" s="90">
        <v>4420</v>
      </c>
      <c r="J254" s="412" t="s">
        <v>835</v>
      </c>
      <c r="K254" s="28" t="s">
        <v>772</v>
      </c>
      <c r="L254" s="28">
        <f t="shared" si="30"/>
        <v>40</v>
      </c>
      <c r="M254" s="99"/>
      <c r="N254" s="99"/>
      <c r="O254" s="99"/>
      <c r="P254" s="28"/>
    </row>
    <row r="255" spans="1:16" s="38" customFormat="1" ht="25.5" x14ac:dyDescent="0.25">
      <c r="A255" s="72" t="s">
        <v>251</v>
      </c>
      <c r="B255" s="78" t="str">
        <f t="shared" si="29"/>
        <v>F41</v>
      </c>
      <c r="C255" s="84" t="s">
        <v>634</v>
      </c>
      <c r="D255" s="72" t="s">
        <v>661</v>
      </c>
      <c r="E255" s="71" t="s">
        <v>84</v>
      </c>
      <c r="F255" s="90">
        <v>600</v>
      </c>
      <c r="G255" s="90">
        <v>600</v>
      </c>
      <c r="H255" s="90">
        <v>600</v>
      </c>
      <c r="I255" s="90">
        <v>600</v>
      </c>
      <c r="J255" s="412" t="s">
        <v>835</v>
      </c>
      <c r="K255" s="28" t="s">
        <v>772</v>
      </c>
      <c r="L255" s="28">
        <f t="shared" si="30"/>
        <v>41</v>
      </c>
      <c r="M255" s="99"/>
      <c r="N255" s="99"/>
      <c r="O255" s="99"/>
      <c r="P255" s="28"/>
    </row>
    <row r="256" spans="1:16" s="38" customFormat="1" x14ac:dyDescent="0.25">
      <c r="A256" s="72"/>
      <c r="B256" s="78"/>
      <c r="C256" s="84"/>
      <c r="D256" s="72"/>
      <c r="E256" s="71"/>
      <c r="F256" s="90"/>
      <c r="G256" s="90"/>
      <c r="H256" s="90"/>
      <c r="I256" s="90"/>
      <c r="J256" s="412"/>
      <c r="K256" s="28" t="s">
        <v>772</v>
      </c>
      <c r="L256" s="28">
        <f>+L255+1</f>
        <v>42</v>
      </c>
      <c r="M256" s="99"/>
      <c r="N256" s="99"/>
      <c r="O256" s="99"/>
      <c r="P256" s="28"/>
    </row>
    <row r="257" spans="1:16" s="38" customFormat="1" x14ac:dyDescent="0.25">
      <c r="A257" s="72"/>
      <c r="B257" s="78"/>
      <c r="C257" s="84"/>
      <c r="D257" s="72"/>
      <c r="E257" s="71"/>
      <c r="F257" s="90"/>
      <c r="G257" s="90"/>
      <c r="H257" s="90"/>
      <c r="I257" s="90"/>
      <c r="J257" s="407"/>
      <c r="K257" s="28" t="s">
        <v>772</v>
      </c>
      <c r="L257" s="28">
        <f>+L256+1</f>
        <v>43</v>
      </c>
      <c r="M257" s="99">
        <f>IF(E257="VEDTATT","VEDTATT",0)</f>
        <v>0</v>
      </c>
      <c r="N257" s="99">
        <f>IF(E257="MÅ","Nye tiltak",0)</f>
        <v>0</v>
      </c>
      <c r="O257" s="99"/>
      <c r="P257" s="28"/>
    </row>
    <row r="258" spans="1:16" s="38" customFormat="1" x14ac:dyDescent="0.25">
      <c r="A258" s="72"/>
      <c r="B258" s="78" t="str">
        <f t="shared" si="29"/>
        <v/>
      </c>
      <c r="C258" s="82"/>
      <c r="D258" s="83"/>
      <c r="E258" s="71"/>
      <c r="F258" s="191"/>
      <c r="G258" s="191"/>
      <c r="H258" s="191"/>
      <c r="I258" s="191"/>
      <c r="J258" s="407"/>
      <c r="K258" s="28"/>
      <c r="L258" s="28"/>
      <c r="M258" s="99"/>
      <c r="N258" s="99"/>
      <c r="O258" s="99"/>
      <c r="P258" s="28"/>
    </row>
    <row r="259" spans="1:16" s="38" customFormat="1" ht="30" x14ac:dyDescent="0.25">
      <c r="A259" s="43"/>
      <c r="B259" s="43" t="s">
        <v>127</v>
      </c>
      <c r="C259" s="3" t="s">
        <v>304</v>
      </c>
      <c r="D259" s="52"/>
      <c r="E259" s="52"/>
      <c r="F259" s="56">
        <f>SUMIF($A:$A,"KOM.FELLES",F:F)</f>
        <v>106082</v>
      </c>
      <c r="G259" s="56">
        <f>SUMIF($A:$A,"KOM.FELLES",G:G)</f>
        <v>97097</v>
      </c>
      <c r="H259" s="56">
        <f>SUMIF($A:$A,"KOM.FELLES",H:H)</f>
        <v>77372</v>
      </c>
      <c r="I259" s="56">
        <f>SUMIF($A:$A,"KOM.FELLES",I:I)</f>
        <v>73844</v>
      </c>
      <c r="J259" s="407"/>
      <c r="K259" s="337"/>
      <c r="L259" s="337"/>
      <c r="M259" s="99"/>
      <c r="N259" s="99"/>
      <c r="O259" s="99"/>
      <c r="P259" s="28"/>
    </row>
    <row r="260" spans="1:16" x14ac:dyDescent="0.25">
      <c r="K260" s="38"/>
      <c r="L260" s="38"/>
      <c r="M260"/>
      <c r="N260"/>
      <c r="O260"/>
    </row>
    <row r="262" spans="1:16" x14ac:dyDescent="0.25">
      <c r="E262" t="s">
        <v>836</v>
      </c>
      <c r="F262" s="256" t="e">
        <f>#REF!+#REF!+#REF!+#REF!</f>
        <v>#REF!</v>
      </c>
      <c r="G262" s="256" t="e">
        <f>#REF!+#REF!+#REF!+#REF!</f>
        <v>#REF!</v>
      </c>
      <c r="H262" s="256" t="e">
        <f>#REF!+#REF!+#REF!+#REF!</f>
        <v>#REF!</v>
      </c>
      <c r="I262" s="256"/>
    </row>
    <row r="263" spans="1:16" x14ac:dyDescent="0.25">
      <c r="E263" t="s">
        <v>837</v>
      </c>
      <c r="F263" s="256">
        <f>30987+13258+710+30241</f>
        <v>75196</v>
      </c>
      <c r="G263" s="256">
        <f>30987+29145+1313+30241</f>
        <v>91686</v>
      </c>
      <c r="H263" s="256">
        <f>30987+29145+1313+30241</f>
        <v>91686</v>
      </c>
      <c r="I263" s="256"/>
    </row>
    <row r="264" spans="1:16" x14ac:dyDescent="0.25">
      <c r="E264" s="202" t="s">
        <v>838</v>
      </c>
      <c r="F264" s="203" t="e">
        <f>F262-F263</f>
        <v>#REF!</v>
      </c>
      <c r="G264" s="203" t="e">
        <f>G262-G263</f>
        <v>#REF!</v>
      </c>
      <c r="H264" s="203" t="e">
        <f>H262-H263</f>
        <v>#REF!</v>
      </c>
      <c r="I264" s="348"/>
    </row>
    <row r="265" spans="1:16" x14ac:dyDescent="0.25">
      <c r="E265" t="s">
        <v>839</v>
      </c>
      <c r="F265" s="183">
        <f>-7929-3038</f>
        <v>-10967</v>
      </c>
      <c r="G265" s="183">
        <f>-9809-3549</f>
        <v>-13358</v>
      </c>
      <c r="H265" s="183">
        <f>-9809-3549</f>
        <v>-13358</v>
      </c>
      <c r="I265" s="183"/>
    </row>
    <row r="266" spans="1:16" x14ac:dyDescent="0.25">
      <c r="E266" s="202" t="s">
        <v>838</v>
      </c>
      <c r="F266" s="203" t="e">
        <f>F265-F264</f>
        <v>#REF!</v>
      </c>
      <c r="G266" s="203" t="e">
        <f>G265-G264</f>
        <v>#REF!</v>
      </c>
      <c r="H266" s="203" t="e">
        <f>H265-H264</f>
        <v>#REF!</v>
      </c>
      <c r="I266" s="348"/>
    </row>
    <row r="268" spans="1:16" x14ac:dyDescent="0.25">
      <c r="F268" s="256" t="e">
        <f>F73+F75+#REF!+#REF!+#REF!+#REF!+#REF!+#REF!+#REF!+#REF!+#REF!+F132+F134+#REF!+#REF!+#REF!+#REF!+#REF!+#REF!+#REF!</f>
        <v>#REF!</v>
      </c>
      <c r="G268" s="256" t="e">
        <f>G73+G75+#REF!+#REF!+#REF!+#REF!+#REF!+#REF!+#REF!+#REF!+#REF!+G132+G134+#REF!+#REF!+#REF!+#REF!+#REF!+#REF!+#REF!</f>
        <v>#REF!</v>
      </c>
      <c r="H268" s="256" t="e">
        <f>H73+H75+#REF!+#REF!+#REF!+#REF!+#REF!+#REF!+#REF!+#REF!+#REF!+H132+H134+#REF!+#REF!+#REF!+#REF!+#REF!+#REF!+#REF!</f>
        <v>#REF!</v>
      </c>
      <c r="I268" s="256"/>
    </row>
    <row r="273" spans="4:21" x14ac:dyDescent="0.25">
      <c r="F273" s="182"/>
      <c r="G273" s="182"/>
      <c r="H273" s="182"/>
      <c r="I273" s="182"/>
    </row>
    <row r="274" spans="4:21" x14ac:dyDescent="0.25">
      <c r="D274" s="256"/>
      <c r="E274" s="256"/>
      <c r="F274" s="256"/>
      <c r="G274" s="256"/>
      <c r="H274" s="256"/>
      <c r="I274" s="256"/>
      <c r="Q274" s="204"/>
      <c r="R274" s="205">
        <v>2019</v>
      </c>
      <c r="S274" s="205">
        <v>2020</v>
      </c>
      <c r="T274" s="205">
        <v>2021</v>
      </c>
      <c r="U274" s="205">
        <v>2022</v>
      </c>
    </row>
    <row r="275" spans="4:21" x14ac:dyDescent="0.25">
      <c r="F275" s="256"/>
      <c r="G275" s="256"/>
      <c r="H275" s="256"/>
      <c r="I275" s="256"/>
      <c r="Q275" s="349" t="s">
        <v>840</v>
      </c>
      <c r="R275" s="186" t="e">
        <f>#REF!+#REF!</f>
        <v>#REF!</v>
      </c>
      <c r="S275" s="186" t="e">
        <f>#REF!+#REF!</f>
        <v>#REF!</v>
      </c>
      <c r="T275" s="186" t="e">
        <f>#REF!+#REF!</f>
        <v>#REF!</v>
      </c>
      <c r="U275" s="186" t="e">
        <f>#REF!+#REF!</f>
        <v>#REF!</v>
      </c>
    </row>
    <row r="276" spans="4:21" x14ac:dyDescent="0.25">
      <c r="F276" s="256"/>
      <c r="G276" s="256"/>
      <c r="H276" s="256"/>
      <c r="I276" s="256"/>
      <c r="Q276" s="349" t="s">
        <v>841</v>
      </c>
      <c r="R276" s="186" t="e">
        <f>#REF!+#REF!</f>
        <v>#REF!</v>
      </c>
      <c r="S276" s="186" t="e">
        <f>#REF!+#REF!</f>
        <v>#REF!</v>
      </c>
      <c r="T276" s="186" t="e">
        <f>#REF!+#REF!</f>
        <v>#REF!</v>
      </c>
      <c r="U276" s="186" t="e">
        <f>#REF!+#REF!</f>
        <v>#REF!</v>
      </c>
    </row>
    <row r="277" spans="4:21" x14ac:dyDescent="0.25">
      <c r="F277" s="256"/>
      <c r="G277" s="256"/>
      <c r="H277" s="256"/>
      <c r="I277" s="256"/>
      <c r="Q277" s="349" t="s">
        <v>803</v>
      </c>
      <c r="R277" s="186" t="e">
        <f>#REF!+#REF!</f>
        <v>#REF!</v>
      </c>
      <c r="S277" s="186" t="e">
        <f>F122+#REF!</f>
        <v>#REF!</v>
      </c>
      <c r="T277" s="186" t="e">
        <f>G122+#REF!</f>
        <v>#REF!</v>
      </c>
      <c r="U277" s="186" t="e">
        <f>H122+#REF!</f>
        <v>#REF!</v>
      </c>
    </row>
    <row r="278" spans="4:21" x14ac:dyDescent="0.25">
      <c r="F278" s="256"/>
      <c r="G278" s="256"/>
      <c r="H278" s="256"/>
      <c r="I278" s="256"/>
      <c r="Q278" s="349" t="s">
        <v>842</v>
      </c>
      <c r="R278" s="186" t="e">
        <f>#REF!</f>
        <v>#REF!</v>
      </c>
      <c r="S278" s="186" t="e">
        <f>#REF!</f>
        <v>#REF!</v>
      </c>
      <c r="T278" s="186" t="e">
        <f>#REF!</f>
        <v>#REF!</v>
      </c>
      <c r="U278" s="186" t="e">
        <f>#REF!</f>
        <v>#REF!</v>
      </c>
    </row>
    <row r="279" spans="4:21" x14ac:dyDescent="0.25">
      <c r="F279" s="256"/>
      <c r="G279" s="256"/>
      <c r="H279" s="256"/>
      <c r="I279" s="256"/>
      <c r="Q279" s="349" t="s">
        <v>808</v>
      </c>
      <c r="R279" s="186" t="e">
        <f>#REF!+#REF!</f>
        <v>#REF!</v>
      </c>
      <c r="S279" s="186" t="e">
        <f>#REF!+#REF!</f>
        <v>#REF!</v>
      </c>
      <c r="T279" s="186" t="e">
        <f>#REF!+#REF!</f>
        <v>#REF!</v>
      </c>
      <c r="U279" s="186" t="e">
        <f>#REF!+#REF!</f>
        <v>#REF!</v>
      </c>
    </row>
    <row r="280" spans="4:21" x14ac:dyDescent="0.25">
      <c r="F280" s="256"/>
      <c r="G280" s="256"/>
      <c r="H280" s="256"/>
      <c r="I280" s="256"/>
      <c r="Q280" s="349" t="s">
        <v>231</v>
      </c>
      <c r="R280" s="186" t="e">
        <f>#REF!</f>
        <v>#REF!</v>
      </c>
      <c r="S280" s="186" t="e">
        <f>#REF!</f>
        <v>#REF!</v>
      </c>
      <c r="T280" s="186" t="e">
        <f>#REF!</f>
        <v>#REF!</v>
      </c>
      <c r="U280" s="186" t="e">
        <f>#REF!</f>
        <v>#REF!</v>
      </c>
    </row>
    <row r="281" spans="4:21" x14ac:dyDescent="0.25">
      <c r="F281" s="256"/>
      <c r="G281" s="256"/>
      <c r="H281" s="256"/>
      <c r="I281" s="256"/>
      <c r="Q281" s="349" t="s">
        <v>241</v>
      </c>
      <c r="R281" s="186" t="e">
        <f>#REF!</f>
        <v>#REF!</v>
      </c>
      <c r="S281" s="186" t="e">
        <f>#REF!</f>
        <v>#REF!</v>
      </c>
      <c r="T281" s="186" t="e">
        <f>#REF!</f>
        <v>#REF!</v>
      </c>
      <c r="U281" s="186" t="e">
        <f>#REF!</f>
        <v>#REF!</v>
      </c>
    </row>
    <row r="282" spans="4:21" ht="30" x14ac:dyDescent="0.25">
      <c r="Q282" s="349" t="s">
        <v>843</v>
      </c>
      <c r="R282" s="186" t="e">
        <f>#REF!+#REF!</f>
        <v>#REF!</v>
      </c>
      <c r="S282" s="186" t="e">
        <f>F209+#REF!</f>
        <v>#REF!</v>
      </c>
      <c r="T282" s="186" t="e">
        <f>G209+#REF!</f>
        <v>#REF!</v>
      </c>
      <c r="U282" s="186" t="e">
        <f>H209+#REF!</f>
        <v>#REF!</v>
      </c>
    </row>
    <row r="283" spans="4:21" x14ac:dyDescent="0.25">
      <c r="Q283" s="185" t="s">
        <v>844</v>
      </c>
      <c r="R283" s="187" t="e">
        <f>SUBTOTAL(9,R275:R282)</f>
        <v>#REF!</v>
      </c>
      <c r="S283" s="187" t="e">
        <f>SUBTOTAL(9,S275:S282)</f>
        <v>#REF!</v>
      </c>
      <c r="T283" s="187" t="e">
        <f>SUBTOTAL(9,T275:T282)</f>
        <v>#REF!</v>
      </c>
      <c r="U283" s="187" t="e">
        <f>SUBTOTAL(9,U275:U282)</f>
        <v>#REF!</v>
      </c>
    </row>
  </sheetData>
  <mergeCells count="16">
    <mergeCell ref="AO1:AR1"/>
    <mergeCell ref="AS1:AV1"/>
    <mergeCell ref="Q2:T2"/>
    <mergeCell ref="U2:X2"/>
    <mergeCell ref="Y2:AB2"/>
    <mergeCell ref="AC2:AF2"/>
    <mergeCell ref="AG2:AJ2"/>
    <mergeCell ref="AK2:AN2"/>
    <mergeCell ref="AO2:AR2"/>
    <mergeCell ref="AS2:AV2"/>
    <mergeCell ref="Q1:T1"/>
    <mergeCell ref="U1:X1"/>
    <mergeCell ref="Y1:AB1"/>
    <mergeCell ref="AC1:AF1"/>
    <mergeCell ref="AG1:AJ1"/>
    <mergeCell ref="AK1:AN1"/>
  </mergeCells>
  <phoneticPr fontId="23" type="noConversion"/>
  <conditionalFormatting sqref="F18:I18">
    <cfRule type="cellIs" dxfId="5" priority="2" operator="notEqual">
      <formula>0</formula>
    </cfRule>
  </conditionalFormatting>
  <conditionalFormatting sqref="I18">
    <cfRule type="cellIs" dxfId="4" priority="1" operator="notEqual">
      <formula>0</formula>
    </cfRule>
  </conditionalFormatting>
  <dataValidations count="1">
    <dataValidation type="list" allowBlank="1" showInputMessage="1" showErrorMessage="1" sqref="D179:D187 E185" xr:uid="{C2845CF1-82FD-4E3C-BF5E-57AD46C4FA10}">
      <formula1>#REF!</formula1>
    </dataValidation>
  </dataValidations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C22B1403-DFAA-4685-B8D8-6017D0A92F22}">
          <x14:formula1>
            <xm:f>Div!$B$3:$B$6</xm:f>
          </x14:formula1>
          <xm:sqref>E62:E67 E206:E207 E247 E130 E190 E258 E199 E141:E142 E146 E210 E235 E153 E157 E120 E135 E109:E110 E81:E82</xm:sqref>
        </x14:dataValidation>
        <x14:dataValidation type="list" allowBlank="1" showInputMessage="1" showErrorMessage="1" xr:uid="{4B27FEA3-DE6E-49B4-BDB0-ED5D599C10DE}">
          <x14:formula1>
            <xm:f>Div!$C$3:$C$58</xm:f>
          </x14:formula1>
          <xm:sqref>D62:D67 D146 D259:E259 D90:E90 D130 D139:D142 D197:D199 D204:D207 D210 D235 D247 D258 D151:D153 D157 D120 D135 D108:D110 D188:D190 E147:E149 D81:D82 E208:E209 E29:E61 E83:E89 E151:E152 E236:E246 E108 E131:E140 E211:E234 E91:E103 E111:E129 E143:E145 E154:E184 E186:E189 E200:E205 E256:F256 E248:E255 E257 E68:E80 E191:E198</xm:sqref>
        </x14:dataValidation>
        <x14:dataValidation type="list" allowBlank="1" showInputMessage="1" showErrorMessage="1" xr:uid="{030C57D2-8060-4489-B1A3-2BEBB577608D}">
          <x14:formula1>
            <xm:f>'C:\Users\lincbak\Desktop\[Kopi av Driftskostnader for nye bygg - tiltaksliste 2018-2021.xlsx]Div'!#REF!</xm:f>
          </x14:formula1>
          <xm:sqref>E150</xm:sqref>
        </x14:dataValidation>
        <x14:dataValidation type="list" allowBlank="1" showInputMessage="1" showErrorMessage="1" xr:uid="{431BF476-5358-40C1-8202-3292DA15F9AF}">
          <x14:formula1>
            <xm:f>Div!$B$3:$B$8</xm:f>
          </x14:formula1>
          <xm:sqref>D236:D246 D83:D89 D208:D209 D147:D150 D131:D138 D29:D61 D211:D234 D91:D103 D111:D129 D143:D145 D154:D178 D68:D80 D200:D203 D248:D257 D191:D196</xm:sqref>
        </x14:dataValidation>
        <x14:dataValidation type="list" allowBlank="1" showInputMessage="1" showErrorMessage="1" xr:uid="{C4442E11-1DB5-407A-BF8B-5B328E50058F}">
          <x14:formula1>
            <xm:f>Div!$A$3:$A$11</xm:f>
          </x14:formula1>
          <xm:sqref>A184:A259 A29:A67 A81:A82 A108:A182 A90</xm:sqref>
        </x14:dataValidation>
        <x14:dataValidation type="list" allowBlank="1" showInputMessage="1" showErrorMessage="1" xr:uid="{38B5FC59-1E44-40BF-A726-96F504569718}">
          <x14:formula1>
            <xm:f>Div!$A$3:$A$13</xm:f>
          </x14:formula1>
          <xm:sqref>A83:A89 A91:A107 A68:A73 A75:A80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21E84-7DE0-4404-8285-9E0917517607}">
  <sheetPr codeName="Ark6">
    <tabColor rgb="FFFF0000"/>
  </sheetPr>
  <dimension ref="A1:AW366"/>
  <sheetViews>
    <sheetView topLeftCell="A73" zoomScaleNormal="100" workbookViewId="0">
      <selection activeCell="G120" sqref="G120"/>
    </sheetView>
  </sheetViews>
  <sheetFormatPr baseColWidth="10" defaultColWidth="11.42578125" defaultRowHeight="15" x14ac:dyDescent="0.25"/>
  <cols>
    <col min="1" max="1" width="10.140625" customWidth="1"/>
    <col min="2" max="2" width="5" customWidth="1"/>
    <col min="3" max="3" width="65.28515625" customWidth="1"/>
    <col min="4" max="4" width="14.42578125" bestFit="1" customWidth="1"/>
    <col min="5" max="5" width="11.28515625" bestFit="1" customWidth="1"/>
    <col min="6" max="6" width="12" bestFit="1" customWidth="1"/>
    <col min="7" max="7" width="13.42578125" customWidth="1"/>
    <col min="8" max="8" width="13.5703125" customWidth="1"/>
    <col min="9" max="9" width="13" customWidth="1"/>
    <col min="10" max="10" width="58.42578125" customWidth="1"/>
    <col min="11" max="11" width="7.42578125" style="28" customWidth="1"/>
    <col min="12" max="12" width="7.5703125" style="28" bestFit="1" customWidth="1"/>
    <col min="13" max="13" width="8.5703125" style="94" customWidth="1"/>
    <col min="14" max="14" width="9.5703125" style="94" customWidth="1"/>
    <col min="15" max="15" width="13.42578125" style="94" customWidth="1"/>
    <col min="16" max="16" width="13.5703125" bestFit="1" customWidth="1"/>
    <col min="17" max="17" width="31.5703125" customWidth="1"/>
    <col min="18" max="21" width="14.42578125" customWidth="1"/>
    <col min="49" max="49" width="20.42578125" customWidth="1"/>
  </cols>
  <sheetData>
    <row r="1" spans="1:48" s="28" customFormat="1" ht="23.25" x14ac:dyDescent="0.25">
      <c r="A1" s="294" t="s">
        <v>635</v>
      </c>
      <c r="B1" s="295"/>
      <c r="C1" s="296"/>
      <c r="D1" s="93"/>
      <c r="E1" s="93"/>
      <c r="F1" s="294"/>
      <c r="G1" s="294"/>
      <c r="H1" s="294"/>
      <c r="I1" s="294"/>
      <c r="J1" s="286"/>
      <c r="K1" s="38"/>
      <c r="L1" s="38"/>
      <c r="M1" s="93"/>
      <c r="N1" s="51"/>
      <c r="O1" s="51"/>
      <c r="Q1" s="635" t="s">
        <v>801</v>
      </c>
      <c r="R1" s="635"/>
      <c r="S1" s="635"/>
      <c r="T1" s="635"/>
      <c r="U1" s="635" t="s">
        <v>802</v>
      </c>
      <c r="V1" s="635"/>
      <c r="W1" s="635"/>
      <c r="X1" s="635"/>
      <c r="Y1" s="635" t="s">
        <v>803</v>
      </c>
      <c r="Z1" s="635"/>
      <c r="AA1" s="635"/>
      <c r="AB1" s="635"/>
      <c r="AC1" s="635" t="s">
        <v>804</v>
      </c>
      <c r="AD1" s="635"/>
      <c r="AE1" s="635"/>
      <c r="AF1" s="635"/>
      <c r="AG1" s="635" t="s">
        <v>805</v>
      </c>
      <c r="AH1" s="635"/>
      <c r="AI1" s="635"/>
      <c r="AJ1" s="635"/>
      <c r="AK1" s="635" t="s">
        <v>232</v>
      </c>
      <c r="AL1" s="635"/>
      <c r="AM1" s="635"/>
      <c r="AN1" s="635"/>
      <c r="AO1" s="635" t="s">
        <v>242</v>
      </c>
      <c r="AP1" s="635"/>
      <c r="AQ1" s="635"/>
      <c r="AR1" s="635"/>
      <c r="AS1" s="635" t="s">
        <v>251</v>
      </c>
      <c r="AT1" s="635"/>
      <c r="AU1" s="635"/>
      <c r="AV1" s="635"/>
    </row>
    <row r="2" spans="1:48" s="28" customFormat="1" x14ac:dyDescent="0.25">
      <c r="A2" s="38"/>
      <c r="B2" s="295"/>
      <c r="C2" s="295"/>
      <c r="D2" s="93"/>
      <c r="E2" s="93"/>
      <c r="F2" s="38"/>
      <c r="G2" s="38"/>
      <c r="H2" s="38"/>
      <c r="I2" s="38"/>
      <c r="J2" s="286"/>
      <c r="K2" s="38"/>
      <c r="L2" s="38"/>
      <c r="M2" s="93"/>
      <c r="N2" s="93"/>
      <c r="O2" s="93"/>
      <c r="Q2" s="636" t="s">
        <v>801</v>
      </c>
      <c r="R2" s="636"/>
      <c r="S2" s="636"/>
      <c r="T2" s="636"/>
      <c r="U2" s="636" t="s">
        <v>806</v>
      </c>
      <c r="V2" s="636"/>
      <c r="W2" s="636"/>
      <c r="X2" s="636"/>
      <c r="Y2" s="636" t="s">
        <v>803</v>
      </c>
      <c r="Z2" s="636"/>
      <c r="AA2" s="636"/>
      <c r="AB2" s="636"/>
      <c r="AC2" s="636" t="s">
        <v>807</v>
      </c>
      <c r="AD2" s="636"/>
      <c r="AE2" s="636"/>
      <c r="AF2" s="636"/>
      <c r="AG2" s="636" t="s">
        <v>808</v>
      </c>
      <c r="AH2" s="636"/>
      <c r="AI2" s="636"/>
      <c r="AJ2" s="636"/>
      <c r="AK2" s="636" t="s">
        <v>231</v>
      </c>
      <c r="AL2" s="636"/>
      <c r="AM2" s="636"/>
      <c r="AN2" s="636"/>
      <c r="AO2" s="636" t="s">
        <v>241</v>
      </c>
      <c r="AP2" s="636"/>
      <c r="AQ2" s="636"/>
      <c r="AR2" s="636"/>
      <c r="AS2" s="636" t="s">
        <v>809</v>
      </c>
      <c r="AT2" s="636"/>
      <c r="AU2" s="636"/>
      <c r="AV2" s="636"/>
    </row>
    <row r="3" spans="1:48" s="38" customFormat="1" x14ac:dyDescent="0.25">
      <c r="A3" s="297"/>
      <c r="B3" s="298"/>
      <c r="C3" s="298"/>
      <c r="D3" s="299"/>
      <c r="E3" s="299"/>
      <c r="F3" s="300">
        <v>2020</v>
      </c>
      <c r="G3" s="300">
        <v>46210</v>
      </c>
      <c r="H3" s="300">
        <v>2022</v>
      </c>
      <c r="I3" s="300"/>
      <c r="M3" s="93"/>
      <c r="N3" s="93"/>
      <c r="O3" s="93"/>
      <c r="P3" s="28"/>
      <c r="Q3" s="29">
        <v>2018</v>
      </c>
      <c r="R3" s="29">
        <v>2019</v>
      </c>
      <c r="S3" s="29">
        <v>2020</v>
      </c>
      <c r="T3" s="29">
        <v>2021</v>
      </c>
      <c r="U3" s="29">
        <v>2018</v>
      </c>
      <c r="V3" s="29">
        <v>2019</v>
      </c>
      <c r="W3" s="29">
        <v>2020</v>
      </c>
      <c r="X3" s="29">
        <v>2021</v>
      </c>
      <c r="Y3" s="29">
        <v>2018</v>
      </c>
      <c r="Z3" s="29">
        <v>2019</v>
      </c>
      <c r="AA3" s="29">
        <v>2020</v>
      </c>
      <c r="AB3" s="29">
        <v>2021</v>
      </c>
      <c r="AC3" s="29">
        <v>2018</v>
      </c>
      <c r="AD3" s="29">
        <v>2019</v>
      </c>
      <c r="AE3" s="29">
        <v>2020</v>
      </c>
      <c r="AF3" s="29">
        <v>2021</v>
      </c>
      <c r="AG3" s="29">
        <v>2018</v>
      </c>
      <c r="AH3" s="29">
        <v>2019</v>
      </c>
      <c r="AI3" s="29">
        <v>2020</v>
      </c>
      <c r="AJ3" s="29">
        <v>2021</v>
      </c>
      <c r="AK3" s="29">
        <v>2018</v>
      </c>
      <c r="AL3" s="29">
        <v>2019</v>
      </c>
      <c r="AM3" s="29">
        <v>2020</v>
      </c>
      <c r="AN3" s="29">
        <v>2021</v>
      </c>
      <c r="AO3" s="29">
        <v>2018</v>
      </c>
      <c r="AP3" s="29">
        <v>2019</v>
      </c>
      <c r="AQ3" s="29">
        <v>2020</v>
      </c>
      <c r="AR3" s="29">
        <v>2021</v>
      </c>
      <c r="AS3" s="29">
        <v>2018</v>
      </c>
      <c r="AT3" s="29">
        <v>2019</v>
      </c>
      <c r="AU3" s="29">
        <v>2020</v>
      </c>
      <c r="AV3" s="29">
        <v>2021</v>
      </c>
    </row>
    <row r="4" spans="1:48" s="38" customFormat="1" x14ac:dyDescent="0.25">
      <c r="A4" s="301" t="s">
        <v>636</v>
      </c>
      <c r="B4" s="302"/>
      <c r="C4" s="303"/>
      <c r="D4" s="304"/>
      <c r="E4" s="304"/>
      <c r="F4" s="305">
        <v>4546363</v>
      </c>
      <c r="G4" s="305">
        <v>4546363</v>
      </c>
      <c r="H4" s="305">
        <v>4546363</v>
      </c>
      <c r="I4" s="305">
        <v>4546363</v>
      </c>
      <c r="J4" s="1"/>
      <c r="M4" s="306">
        <v>29670</v>
      </c>
      <c r="N4" s="93">
        <v>13290</v>
      </c>
      <c r="O4" s="93"/>
      <c r="P4" s="29" t="s">
        <v>810</v>
      </c>
      <c r="Q4" s="12" t="e">
        <f>SUMIFS(#REF!,$O:$O,$P$4,$A:$A,$Q$1)</f>
        <v>#REF!</v>
      </c>
      <c r="R4" s="12" t="e">
        <f>SUMIFS(#REF!,$O:$O,$P$4,$A:$A,$Q$1)</f>
        <v>#REF!</v>
      </c>
      <c r="S4" s="12">
        <f>SUMIFS(F:F,$O:$O,$P$4,$A:$A,$Q$1)</f>
        <v>0</v>
      </c>
      <c r="T4" s="12">
        <f>SUMIFS(G:G,$O:$O,$P$4,$A:$A,$Q$1)</f>
        <v>0</v>
      </c>
      <c r="U4" s="12" t="e">
        <f>SUMIFS(#REF!,$O:$O,$P$4,$A:$A,$U$1)</f>
        <v>#REF!</v>
      </c>
      <c r="V4" s="12" t="e">
        <f>SUMIFS(#REF!,$O:$O,$P$4,$A:$A,$U$1)</f>
        <v>#REF!</v>
      </c>
      <c r="W4" s="12">
        <f>SUMIFS(F:F,$O:$O,$P$4,$A:$A,$U$1)</f>
        <v>0</v>
      </c>
      <c r="X4" s="12">
        <f>SUMIFS(G:G,$O:$O,$P$4,$A:$A,$U$1)</f>
        <v>0</v>
      </c>
      <c r="Y4" s="12" t="e">
        <f>SUMIFS(#REF!,$O:$O,$P$4,$A:$A,$Y$1)</f>
        <v>#REF!</v>
      </c>
      <c r="Z4" s="12" t="e">
        <f>SUMIFS(#REF!,$O:$O,$P$4,$A:$A,$Y$1)</f>
        <v>#REF!</v>
      </c>
      <c r="AA4" s="12">
        <f>SUMIFS(F:F,$O:$O,$P$4,$A:$A,$Y$1)</f>
        <v>0</v>
      </c>
      <c r="AB4" s="12">
        <f>SUMIFS(G:G,$O:$O,$P$4,$A:$A,$Y$1)</f>
        <v>0</v>
      </c>
      <c r="AC4" s="12" t="e">
        <f>SUMIFS(#REF!,$O:$O,$P$4,$A:$A,$AC$1)</f>
        <v>#REF!</v>
      </c>
      <c r="AD4" s="12" t="e">
        <f>SUMIFS(#REF!,$O:$O,$P$4,$A:$A,$AC$1)</f>
        <v>#REF!</v>
      </c>
      <c r="AE4" s="12">
        <f>SUMIFS(F:F,$O:$O,$P$4,$A:$A,$AC$1)</f>
        <v>0</v>
      </c>
      <c r="AF4" s="12">
        <f>SUMIFS(G:G,$O:$O,$P$4,$A:$A,$AC$1)</f>
        <v>0</v>
      </c>
      <c r="AG4" s="12" t="e">
        <f>SUMIFS(#REF!,$O:$O,$P$4,$A:$A,$AG$1)</f>
        <v>#REF!</v>
      </c>
      <c r="AH4" s="12" t="e">
        <f>SUMIFS(#REF!,$O:$O,$P$4,$A:$A,$AG$1)</f>
        <v>#REF!</v>
      </c>
      <c r="AI4" s="12">
        <f>SUMIFS(F:F,$O:$O,$P$4,$A:$A,$AG$1)</f>
        <v>0</v>
      </c>
      <c r="AJ4" s="12">
        <f>SUMIFS(G:G,$O:$O,$P$4,$A:$A,$AG$1)</f>
        <v>0</v>
      </c>
      <c r="AK4" s="12" t="e">
        <f>SUMIFS(#REF!,$O:$O,$P$4,$A:$A,$AK$1)</f>
        <v>#REF!</v>
      </c>
      <c r="AL4" s="12" t="e">
        <f>SUMIFS(#REF!,$O:$O,$P$4,$A:$A,$AK$1)</f>
        <v>#REF!</v>
      </c>
      <c r="AM4" s="12">
        <f>SUMIFS(F:F,$O:$O,$P$4,$A:$A,$AK$1)</f>
        <v>0</v>
      </c>
      <c r="AN4" s="12">
        <f>SUMIFS(G:G,$O:$O,$P$4,$A:$A,$AK$1)</f>
        <v>0</v>
      </c>
      <c r="AO4" s="12" t="e">
        <f>SUMIFS(#REF!,$O:$O,$P$4,$A:$A,$AO$1)</f>
        <v>#REF!</v>
      </c>
      <c r="AP4" s="12" t="e">
        <f>SUMIFS(#REF!,$O:$O,$P$4,$A:$A,$AO$1)</f>
        <v>#REF!</v>
      </c>
      <c r="AQ4" s="12">
        <f>SUMIFS(F:F,$O:$O,$P$4,$A:$A,$AO$1)</f>
        <v>0</v>
      </c>
      <c r="AR4" s="12">
        <f>SUMIFS(G:G,$O:$O,$P$4,$A:$A,$AO$1)</f>
        <v>0</v>
      </c>
      <c r="AS4" s="12" t="e">
        <f>SUMIFS(#REF!,$O:$O,$P$4,$A:$A,$AS$1)</f>
        <v>#REF!</v>
      </c>
      <c r="AT4" s="12" t="e">
        <f>SUMIFS(#REF!,$O:$O,$P$4,$A:$A,$AS$1)</f>
        <v>#REF!</v>
      </c>
      <c r="AU4" s="12">
        <f>SUMIFS(F:F,$O:$O,$P$4,$A:$A,$AS$1)</f>
        <v>0</v>
      </c>
      <c r="AV4" s="12">
        <f>SUMIFS(G:G,$O:$O,$P$4,$A:$A,$AS$1)</f>
        <v>0</v>
      </c>
    </row>
    <row r="5" spans="1:48" s="38" customFormat="1" x14ac:dyDescent="0.25">
      <c r="A5" s="38" t="str">
        <f>C62</f>
        <v>SUM SENTRALE INNTEKTER OG FINANSPOSTER</v>
      </c>
      <c r="B5" s="295"/>
      <c r="C5" s="123"/>
      <c r="D5" s="93"/>
      <c r="E5" s="93"/>
      <c r="F5" s="2">
        <f>F62</f>
        <v>-4748996</v>
      </c>
      <c r="G5" s="2">
        <f>G62</f>
        <v>-4807285</v>
      </c>
      <c r="H5" s="2">
        <f>H62</f>
        <v>-4826483</v>
      </c>
      <c r="I5" s="2">
        <f>I62</f>
        <v>-4849541</v>
      </c>
      <c r="M5" s="93">
        <v>9340</v>
      </c>
      <c r="N5" s="93">
        <v>6220</v>
      </c>
      <c r="O5" s="93"/>
      <c r="P5" s="1" t="s">
        <v>811</v>
      </c>
      <c r="Q5" s="12" t="e">
        <f>SUMIFS(#REF!,$M:$M,"VEDTATT",$A:$A,$Q$1)</f>
        <v>#REF!</v>
      </c>
      <c r="R5" s="12" t="e">
        <f>SUMIFS(#REF!,$M:$M,"VEDTATT",$A:$A,$Q$1)</f>
        <v>#REF!</v>
      </c>
      <c r="S5" s="12">
        <f>SUMIFS(F:F,$M:$M,"VEDTATT",$A:$A,$Q$1)</f>
        <v>0</v>
      </c>
      <c r="T5" s="12">
        <f>SUMIFS(G:G,$M:$M,"VEDTATT",$A:$A,$Q$1)</f>
        <v>0</v>
      </c>
      <c r="U5" s="12" t="e">
        <f>SUMIFS(#REF!,$M:$M,"VEDTATT",$A:$A,$U$1)</f>
        <v>#REF!</v>
      </c>
      <c r="V5" s="12" t="e">
        <f>SUMIFS(#REF!,$M:$M,"VEDTATT",$A:$A,$U$1)</f>
        <v>#REF!</v>
      </c>
      <c r="W5" s="12">
        <f>SUMIFS(F:F,$M:$M,"VEDTATT",$A:$A,$U$1)</f>
        <v>0</v>
      </c>
      <c r="X5" s="12">
        <f>SUMIFS(G:G,$M:$M,"VEDTATT",$A:$A,$U$1)</f>
        <v>0</v>
      </c>
      <c r="Y5" s="12" t="e">
        <f>SUMIFS(#REF!,$M:$M,"VEDTATT",$A:$A,$Y$1)</f>
        <v>#REF!</v>
      </c>
      <c r="Z5" s="12" t="e">
        <f>SUMIFS(#REF!,$M:$M,"VEDTATT",$A:$A,$Y$1)</f>
        <v>#REF!</v>
      </c>
      <c r="AA5" s="12">
        <f>SUMIFS(F:F,$M:$M,"VEDTATT",$A:$A,$Y$1)</f>
        <v>0</v>
      </c>
      <c r="AB5" s="12">
        <f>SUMIFS(G:G,$M:$M,"VEDTATT",$A:$A,$Y$1)</f>
        <v>0</v>
      </c>
      <c r="AC5" s="12" t="e">
        <f>SUMIFS(#REF!,$M:$M,"VEDTATT",$A:$A,$AC$1)</f>
        <v>#REF!</v>
      </c>
      <c r="AD5" s="12" t="e">
        <f>SUMIFS(#REF!,$M:$M,"VEDTATT",$A:$A,$AC$1)</f>
        <v>#REF!</v>
      </c>
      <c r="AE5" s="12">
        <f>SUMIFS(F:F,$M:$M,"VEDTATT",$A:$A,$AC$1)</f>
        <v>0</v>
      </c>
      <c r="AF5" s="12">
        <f>SUMIFS(G:G,$M:$M,"VEDTATT",$A:$A,$AC$1)</f>
        <v>0</v>
      </c>
      <c r="AG5" s="12" t="e">
        <f>SUMIFS(#REF!,$M:$M,"VEDTATT",$A:$A,$AG$1)</f>
        <v>#REF!</v>
      </c>
      <c r="AH5" s="12" t="e">
        <f>SUMIFS(#REF!,$M:$M,"VEDTATT",$A:$A,$AG$1)</f>
        <v>#REF!</v>
      </c>
      <c r="AI5" s="12">
        <f>SUMIFS(F:F,$M:$M,"VEDTATT",$A:$A,$AG$1)</f>
        <v>0</v>
      </c>
      <c r="AJ5" s="12">
        <f>SUMIFS(G:G,$M:$M,"VEDTATT",$A:$A,$AG$1)</f>
        <v>0</v>
      </c>
      <c r="AK5" s="12" t="e">
        <f>SUMIFS(#REF!,$M:$M,"VEDTATT",$A:$A,$AK$1)</f>
        <v>#REF!</v>
      </c>
      <c r="AL5" s="12" t="e">
        <f>SUMIFS(#REF!,$M:$M,"VEDTATT",$A:$A,$AK$1)</f>
        <v>#REF!</v>
      </c>
      <c r="AM5" s="12">
        <f>SUMIFS(F:F,$M:$M,"VEDTATT",$A:$A,$AK$1)</f>
        <v>0</v>
      </c>
      <c r="AN5" s="12">
        <f>SUMIFS(G:G,$M:$M,"VEDTATT",$A:$A,$AK$1)</f>
        <v>-800</v>
      </c>
      <c r="AO5" s="12" t="e">
        <f>SUMIFS(#REF!,$M:$M,"VEDTATT",$A:$A,$AO$1)</f>
        <v>#REF!</v>
      </c>
      <c r="AP5" s="12" t="e">
        <f>SUMIFS(#REF!,$M:$M,"VEDTATT",$A:$A,$AO$1)</f>
        <v>#REF!</v>
      </c>
      <c r="AQ5" s="12">
        <f>SUMIFS(F:F,$M:$M,"VEDTATT",$A:$A,$AO$1)</f>
        <v>0</v>
      </c>
      <c r="AR5" s="12">
        <f>SUMIFS(G:G,$M:$M,"VEDTATT",$A:$A,$AO$1)</f>
        <v>0</v>
      </c>
      <c r="AS5" s="12" t="e">
        <f>SUMIFS(#REF!,$M:$M,"VEDTATT",$A:$A,$AS$1)</f>
        <v>#REF!</v>
      </c>
      <c r="AT5" s="12" t="e">
        <f>SUMIFS(#REF!,$M:$M,"VEDTATT",$A:$A,$AS$1)</f>
        <v>#REF!</v>
      </c>
      <c r="AU5" s="12">
        <f>SUMIFS(F:F,$M:$M,"VEDTATT",$A:$A,$AS$1)</f>
        <v>-32824</v>
      </c>
      <c r="AV5" s="12">
        <f>SUMIFS(G:G,$M:$M,"VEDTATT",$A:$A,$AS$1)</f>
        <v>-31269</v>
      </c>
    </row>
    <row r="6" spans="1:48" s="38" customFormat="1" x14ac:dyDescent="0.25">
      <c r="A6" s="307" t="s">
        <v>2</v>
      </c>
      <c r="B6" s="308"/>
      <c r="C6" s="309"/>
      <c r="D6" s="310"/>
      <c r="E6" s="310"/>
      <c r="F6" s="311">
        <f>SUM(F4:F5)</f>
        <v>-202633</v>
      </c>
      <c r="G6" s="311">
        <f>SUM(G4:G5)</f>
        <v>-260922</v>
      </c>
      <c r="H6" s="311">
        <f>SUM(H4:H5)</f>
        <v>-280120</v>
      </c>
      <c r="I6" s="311">
        <f>SUM(I4:I5)</f>
        <v>-303178</v>
      </c>
      <c r="M6" s="93"/>
      <c r="N6" s="93"/>
      <c r="O6" s="93"/>
      <c r="P6" s="29" t="s">
        <v>812</v>
      </c>
      <c r="Q6" s="12" t="e">
        <f>SUMIFS(#REF!,$N:$N,$P$6,$A:$A,$Q$1)</f>
        <v>#REF!</v>
      </c>
      <c r="R6" s="12" t="e">
        <f>SUMIFS(#REF!,$N:$N,$P$6,$A:$A,$Q$1)</f>
        <v>#REF!</v>
      </c>
      <c r="S6" s="12">
        <f>SUMIFS(F:F,$N:$N,$P$6,$A:$A,$Q$1)</f>
        <v>0</v>
      </c>
      <c r="T6" s="12">
        <f>SUMIFS(G:G,$N:$N,$P$6,$A:$A,$Q$1)</f>
        <v>0</v>
      </c>
      <c r="U6" s="12" t="e">
        <f>SUMIFS(#REF!,$N:$N,$P$6,$A:$A,$U$1)</f>
        <v>#REF!</v>
      </c>
      <c r="V6" s="12" t="e">
        <f>SUMIFS(#REF!,$N:$N,$P$6,$A:$A,$U$1)</f>
        <v>#REF!</v>
      </c>
      <c r="W6" s="12">
        <f>SUMIFS(F:F,$N:$N,$P$6,$A:$A,$U$1)</f>
        <v>0</v>
      </c>
      <c r="X6" s="12">
        <f>SUMIFS(G:G,$N:$N,$P$6,$A:$A,$U$1)</f>
        <v>0</v>
      </c>
      <c r="Y6" s="12" t="e">
        <f>SUMIFS(#REF!,$N:$N,$P$6,$A:$A,$Y$1)</f>
        <v>#REF!</v>
      </c>
      <c r="Z6" s="12" t="e">
        <f>SUMIFS(#REF!,$N:$N,$P$6,$A:$A,$Y$1)</f>
        <v>#REF!</v>
      </c>
      <c r="AA6" s="12">
        <f>SUMIFS(F:F,$N:$N,$P$6,$A:$A,$Y$1)</f>
        <v>0</v>
      </c>
      <c r="AB6" s="12">
        <f>SUMIFS(G:G,$N:$N,$P$6,$A:$A,$Y$1)</f>
        <v>0</v>
      </c>
      <c r="AC6" s="12" t="e">
        <f>SUMIFS(#REF!,$N:$N,$P$6,$A:$A,$AC$1)</f>
        <v>#REF!</v>
      </c>
      <c r="AD6" s="12" t="e">
        <f>SUMIFS(#REF!,$N:$N,$P$6,$A:$A,$AC$1)</f>
        <v>#REF!</v>
      </c>
      <c r="AE6" s="12">
        <f>SUMIFS(F:F,$N:$N,$P$6,$A:$A,$AC$1)</f>
        <v>0</v>
      </c>
      <c r="AF6" s="12">
        <f>SUMIFS(G:G,$N:$N,$P$6,$A:$A,$AC$1)</f>
        <v>0</v>
      </c>
      <c r="AG6" s="12" t="e">
        <f>SUMIFS(#REF!,$N:$N,$P$6,$A:$A,$AG$1)</f>
        <v>#REF!</v>
      </c>
      <c r="AH6" s="12" t="e">
        <f>SUMIFS(#REF!,$N:$N,$P$6,$A:$A,$AG$1)</f>
        <v>#REF!</v>
      </c>
      <c r="AI6" s="12">
        <f>SUMIFS(F:F,$N:$N,$P$6,$A:$A,$AG$1)</f>
        <v>0</v>
      </c>
      <c r="AJ6" s="12">
        <f>SUMIFS(G:G,$N:$N,$P$6,$A:$A,$AG$1)</f>
        <v>0</v>
      </c>
      <c r="AK6" s="12" t="e">
        <f>SUMIFS(#REF!,$N:$N,$P$6,$A:$A,$AK$1)</f>
        <v>#REF!</v>
      </c>
      <c r="AL6" s="12" t="e">
        <f>SUMIFS(#REF!,$N:$N,$P$6,$A:$A,$AK$1)</f>
        <v>#REF!</v>
      </c>
      <c r="AM6" s="12">
        <f>SUMIFS(F:F,$N:$N,$P$6,$A:$A,$AK$1)</f>
        <v>0</v>
      </c>
      <c r="AN6" s="12">
        <f>SUMIFS(G:G,$N:$N,$P$6,$A:$A,$AK$1)</f>
        <v>0</v>
      </c>
      <c r="AO6" s="12" t="e">
        <f>SUMIFS(#REF!,$N:$N,$P$6,$A:$A,$AO$1)</f>
        <v>#REF!</v>
      </c>
      <c r="AP6" s="12" t="e">
        <f>SUMIFS(#REF!,$N:$N,$P$6,$A:$A,$AO$1)</f>
        <v>#REF!</v>
      </c>
      <c r="AQ6" s="12">
        <f>SUMIFS(F:F,$N:$N,$P$6,$A:$A,$AO$1)</f>
        <v>-50</v>
      </c>
      <c r="AR6" s="12">
        <f>SUMIFS(G:G,$N:$N,$P$6,$A:$A,$AO$1)</f>
        <v>-50</v>
      </c>
      <c r="AS6" s="12" t="e">
        <f>SUMIFS(#REF!,$N:$N,$P$6,$A:$A,$AS$1)</f>
        <v>#REF!</v>
      </c>
      <c r="AT6" s="12" t="e">
        <f>SUMIFS(#REF!,$N:$N,$P$6,$A:$A,$AS$1)</f>
        <v>#REF!</v>
      </c>
      <c r="AU6" s="12">
        <f>SUMIFS(F:F,$N:$N,$P$6,$A:$A,$AS$1)</f>
        <v>132467</v>
      </c>
      <c r="AV6" s="12">
        <f>SUMIFS(G:G,$N:$N,$P$6,$A:$A,$AS$1)</f>
        <v>134647</v>
      </c>
    </row>
    <row r="7" spans="1:48" s="38" customFormat="1" x14ac:dyDescent="0.25">
      <c r="A7" s="312"/>
      <c r="B7" s="302"/>
      <c r="C7" s="302"/>
      <c r="D7" s="304"/>
      <c r="E7" s="304"/>
      <c r="F7" s="313"/>
      <c r="G7" s="313"/>
      <c r="H7" s="313"/>
      <c r="I7" s="313"/>
      <c r="M7" s="93"/>
      <c r="N7" s="93"/>
      <c r="O7" s="93"/>
      <c r="P7" s="29" t="s">
        <v>813</v>
      </c>
      <c r="Q7" s="12" t="e">
        <f>SUMIFS(#REF!,$O:$O,$P$7,$A:$A,$Q$1)</f>
        <v>#REF!</v>
      </c>
      <c r="R7" s="12" t="e">
        <f>SUMIFS(#REF!,$O:$O,$P$7,$A:$A,$Q$1)</f>
        <v>#REF!</v>
      </c>
      <c r="S7" s="12">
        <f>SUMIFS(F:F,$O:$O,$P$7,$A:$A,$Q$1)</f>
        <v>0</v>
      </c>
      <c r="T7" s="12">
        <f>SUMIFS(G:G,$O:$O,$P$7,$A:$A,$Q$1)</f>
        <v>0</v>
      </c>
      <c r="U7" s="12" t="e">
        <f>SUMIFS(#REF!,$O:$O,$P$7,$A:$A,$U$1)</f>
        <v>#REF!</v>
      </c>
      <c r="V7" s="12" t="e">
        <f>SUMIFS(#REF!,$O:$O,$P$7,$A:$A,$U$1)</f>
        <v>#REF!</v>
      </c>
      <c r="W7" s="12">
        <f>SUMIFS(F:F,$O:$O,$P$7,$A:$A,$U$1)</f>
        <v>0</v>
      </c>
      <c r="X7" s="12">
        <f>SUMIFS(G:G,$O:$O,$P$7,$A:$A,$U$1)</f>
        <v>0</v>
      </c>
      <c r="Y7" s="12" t="e">
        <f>SUMIFS(#REF!,$O:$O,$P$7,$A:$A,$Y$1)</f>
        <v>#REF!</v>
      </c>
      <c r="Z7" s="12" t="e">
        <f>SUMIFS(#REF!,$O:$O,$P$7,$A:$A,$Y$1)</f>
        <v>#REF!</v>
      </c>
      <c r="AA7" s="12">
        <f>SUMIFS(F:F,$O:$O,$P$7,$A:$A,$Y$1)</f>
        <v>0</v>
      </c>
      <c r="AB7" s="12">
        <f>SUMIFS(G:G,$O:$O,$P$7,$A:$A,$Y$1)</f>
        <v>0</v>
      </c>
      <c r="AC7" s="12" t="e">
        <f>SUMIFS(#REF!,$O:$O,$P$7,$A:$A,$AC$1)</f>
        <v>#REF!</v>
      </c>
      <c r="AD7" s="12" t="e">
        <f>SUMIFS(#REF!,$O:$O,$P$7,$A:$A,$AC$1)</f>
        <v>#REF!</v>
      </c>
      <c r="AE7" s="12">
        <f>SUMIFS(F:F,$O:$O,$P$7,$A:$A,$AC$1)</f>
        <v>0</v>
      </c>
      <c r="AF7" s="12">
        <f>SUMIFS(G:G,$O:$O,$P$7,$A:$A,$AC$1)</f>
        <v>0</v>
      </c>
      <c r="AG7" s="12" t="e">
        <f>SUMIFS(#REF!,$O:$O,$P$7,$A:$A,$AG$1)</f>
        <v>#REF!</v>
      </c>
      <c r="AH7" s="12" t="e">
        <f>SUMIFS(#REF!,$O:$O,$P$7,$A:$A,$AG$1)</f>
        <v>#REF!</v>
      </c>
      <c r="AI7" s="12">
        <f>SUMIFS(F:F,$O:$O,$P$7,$A:$A,$AG$1)</f>
        <v>0</v>
      </c>
      <c r="AJ7" s="12">
        <f>SUMIFS(G:G,$O:$O,$P$7,$A:$A,$AG$1)</f>
        <v>0</v>
      </c>
      <c r="AK7" s="12" t="e">
        <f>SUMIFS(#REF!,$O:$O,$P$7,$A:$A,$AK$1)</f>
        <v>#REF!</v>
      </c>
      <c r="AL7" s="12" t="e">
        <f>SUMIFS(#REF!,$O:$O,$P$7,$A:$A,$AK$1)</f>
        <v>#REF!</v>
      </c>
      <c r="AM7" s="12">
        <f>SUMIFS(F:F,$O:$O,$P$7,$A:$A,$AK$1)</f>
        <v>0</v>
      </c>
      <c r="AN7" s="12">
        <f>SUMIFS(G:G,$O:$O,$P$7,$A:$A,$AK$1)</f>
        <v>0</v>
      </c>
      <c r="AO7" s="12" t="e">
        <f>SUMIFS(#REF!,$O:$O,$P$7,$A:$A,$AO$1)</f>
        <v>#REF!</v>
      </c>
      <c r="AP7" s="12" t="e">
        <f>SUMIFS(#REF!,$O:$O,$P$7,$A:$A,$AO$1)</f>
        <v>#REF!</v>
      </c>
      <c r="AQ7" s="12">
        <f>SUMIFS(F:F,$O:$O,$P$7,$A:$A,$AO$1)</f>
        <v>0</v>
      </c>
      <c r="AR7" s="12">
        <f>SUMIFS(G:G,$O:$O,$P$7,$A:$A,$AO$1)</f>
        <v>0</v>
      </c>
      <c r="AS7" s="12" t="e">
        <f>SUMIFS(#REF!,$O:$O,$P$7,$A:$A,$AS$1)</f>
        <v>#REF!</v>
      </c>
      <c r="AT7" s="12" t="e">
        <f>SUMIFS(#REF!,$O:$O,$P$7,$A:$A,$AS$1)</f>
        <v>#REF!</v>
      </c>
      <c r="AU7" s="12">
        <f>SUMIFS(F:F,$O:$O,$P$7,$A:$A,$AS$1)</f>
        <v>0</v>
      </c>
      <c r="AV7" s="12">
        <f>SUMIFS(G:G,$O:$O,$P$7,$A:$A,$AS$1)</f>
        <v>0</v>
      </c>
    </row>
    <row r="8" spans="1:48" s="38" customFormat="1" x14ac:dyDescent="0.25">
      <c r="A8" s="314" t="s">
        <v>637</v>
      </c>
      <c r="B8" s="207"/>
      <c r="C8" s="207"/>
      <c r="D8" s="315"/>
      <c r="E8" s="315"/>
      <c r="F8" s="39">
        <f>SUMIF($D:$D,"ØP 21-24",F:F)</f>
        <v>-15291</v>
      </c>
      <c r="G8" s="39">
        <f>SUMIF($D:$D,"ØP 21-24",G:G)</f>
        <v>-7286</v>
      </c>
      <c r="H8" s="39">
        <f>SUMIF($D:$D,"ØP 21-24",H:H)</f>
        <v>2091.5833333333321</v>
      </c>
      <c r="I8" s="39">
        <f>SUMIF($D:$D,"ØP 21-24",I:I)</f>
        <v>17460</v>
      </c>
      <c r="M8" s="93"/>
      <c r="N8" s="51"/>
      <c r="O8" s="51"/>
      <c r="P8" s="28" t="s">
        <v>305</v>
      </c>
      <c r="Q8" s="233" t="e">
        <f t="shared" ref="Q8:AV8" si="0">SUBTOTAL(9,Q4:Q7)</f>
        <v>#REF!</v>
      </c>
      <c r="R8" s="233" t="e">
        <f t="shared" si="0"/>
        <v>#REF!</v>
      </c>
      <c r="S8" s="233">
        <f t="shared" si="0"/>
        <v>0</v>
      </c>
      <c r="T8" s="233">
        <f t="shared" si="0"/>
        <v>0</v>
      </c>
      <c r="U8" s="233" t="e">
        <f t="shared" si="0"/>
        <v>#REF!</v>
      </c>
      <c r="V8" s="233" t="e">
        <f t="shared" si="0"/>
        <v>#REF!</v>
      </c>
      <c r="W8" s="233">
        <f t="shared" si="0"/>
        <v>0</v>
      </c>
      <c r="X8" s="233">
        <f t="shared" si="0"/>
        <v>0</v>
      </c>
      <c r="Y8" s="233" t="e">
        <f t="shared" si="0"/>
        <v>#REF!</v>
      </c>
      <c r="Z8" s="233" t="e">
        <f t="shared" si="0"/>
        <v>#REF!</v>
      </c>
      <c r="AA8" s="233">
        <f t="shared" si="0"/>
        <v>0</v>
      </c>
      <c r="AB8" s="233">
        <f t="shared" si="0"/>
        <v>0</v>
      </c>
      <c r="AC8" s="233" t="e">
        <f t="shared" si="0"/>
        <v>#REF!</v>
      </c>
      <c r="AD8" s="233" t="e">
        <f t="shared" si="0"/>
        <v>#REF!</v>
      </c>
      <c r="AE8" s="233">
        <f t="shared" si="0"/>
        <v>0</v>
      </c>
      <c r="AF8" s="233">
        <f t="shared" si="0"/>
        <v>0</v>
      </c>
      <c r="AG8" s="233" t="e">
        <f t="shared" si="0"/>
        <v>#REF!</v>
      </c>
      <c r="AH8" s="233" t="e">
        <f t="shared" si="0"/>
        <v>#REF!</v>
      </c>
      <c r="AI8" s="233">
        <f t="shared" si="0"/>
        <v>0</v>
      </c>
      <c r="AJ8" s="233">
        <f t="shared" si="0"/>
        <v>0</v>
      </c>
      <c r="AK8" s="233" t="e">
        <f t="shared" si="0"/>
        <v>#REF!</v>
      </c>
      <c r="AL8" s="233" t="e">
        <f t="shared" si="0"/>
        <v>#REF!</v>
      </c>
      <c r="AM8" s="233">
        <f t="shared" si="0"/>
        <v>0</v>
      </c>
      <c r="AN8" s="233">
        <f t="shared" si="0"/>
        <v>-800</v>
      </c>
      <c r="AO8" s="233" t="e">
        <f t="shared" si="0"/>
        <v>#REF!</v>
      </c>
      <c r="AP8" s="233" t="e">
        <f t="shared" si="0"/>
        <v>#REF!</v>
      </c>
      <c r="AQ8" s="233">
        <f t="shared" si="0"/>
        <v>-50</v>
      </c>
      <c r="AR8" s="233">
        <f t="shared" si="0"/>
        <v>-50</v>
      </c>
      <c r="AS8" s="233" t="e">
        <f t="shared" si="0"/>
        <v>#REF!</v>
      </c>
      <c r="AT8" s="233" t="e">
        <f t="shared" si="0"/>
        <v>#REF!</v>
      </c>
      <c r="AU8" s="233">
        <f t="shared" si="0"/>
        <v>99643</v>
      </c>
      <c r="AV8" s="233">
        <f t="shared" si="0"/>
        <v>103378</v>
      </c>
    </row>
    <row r="9" spans="1:48" s="38" customFormat="1" x14ac:dyDescent="0.25">
      <c r="A9" s="316" t="s">
        <v>4</v>
      </c>
      <c r="B9" s="317"/>
      <c r="C9" s="317"/>
      <c r="D9" s="318"/>
      <c r="E9" s="318"/>
      <c r="F9" s="267">
        <f>SUMIF($D:$D,"ØP 21-24 REKALK",F:F)</f>
        <v>29120</v>
      </c>
      <c r="G9" s="267">
        <f>SUMIF($D:$D,"ØP 21-24 REKALK",G:G)</f>
        <v>46498</v>
      </c>
      <c r="H9" s="267">
        <f>SUMIF($D:$D,"ØP 21-24 REKALK",H:H)</f>
        <v>57643</v>
      </c>
      <c r="I9" s="267">
        <f>SUMIF($D:$D,"ØP 21-24 REKALK",I:I)</f>
        <v>57643</v>
      </c>
      <c r="M9" s="93"/>
      <c r="N9" s="51"/>
      <c r="O9" s="51"/>
      <c r="P9" s="28"/>
    </row>
    <row r="10" spans="1:48" s="38" customFormat="1" x14ac:dyDescent="0.25">
      <c r="A10" s="319" t="s">
        <v>5</v>
      </c>
      <c r="B10" s="320"/>
      <c r="C10" s="320"/>
      <c r="D10" s="321"/>
      <c r="E10" s="321"/>
      <c r="F10" s="322">
        <f>F6+F8+F9</f>
        <v>-188804</v>
      </c>
      <c r="G10" s="322">
        <f>G6+G8+G9</f>
        <v>-221710</v>
      </c>
      <c r="H10" s="322">
        <f>H6+H8+H9</f>
        <v>-220385.41666666669</v>
      </c>
      <c r="I10" s="322">
        <f>I6+I8+I9</f>
        <v>-228075</v>
      </c>
      <c r="M10" s="93"/>
      <c r="N10" s="51"/>
      <c r="O10" s="51"/>
      <c r="P10" s="28"/>
    </row>
    <row r="11" spans="1:48" s="28" customFormat="1" x14ac:dyDescent="0.25">
      <c r="A11" s="38"/>
      <c r="B11" s="295"/>
      <c r="C11" s="295"/>
      <c r="D11" s="93"/>
      <c r="E11" s="93"/>
      <c r="F11" s="2"/>
      <c r="G11" s="2"/>
      <c r="H11" s="2"/>
      <c r="I11" s="2"/>
      <c r="J11" s="38"/>
      <c r="K11" s="38"/>
      <c r="L11" s="38"/>
      <c r="M11" s="93"/>
      <c r="N11" s="51"/>
      <c r="O11" s="51"/>
      <c r="Q11" s="95"/>
      <c r="R11" s="95"/>
      <c r="S11" s="95"/>
      <c r="T11" s="95"/>
    </row>
    <row r="12" spans="1:48" s="28" customFormat="1" x14ac:dyDescent="0.25">
      <c r="A12" s="312" t="s">
        <v>638</v>
      </c>
      <c r="B12" s="295"/>
      <c r="C12" s="295"/>
      <c r="D12" s="93"/>
      <c r="E12" s="93"/>
      <c r="F12" s="2">
        <f>SUMIFS(F:F,$D:$D,"NYTT",$E:$E,"INNSP")</f>
        <v>0</v>
      </c>
      <c r="G12" s="2">
        <f>SUMIFS(G:G,$D:$D,"NYTT",$E:$E,"INNSP")</f>
        <v>0</v>
      </c>
      <c r="H12" s="2">
        <f>SUMIFS(H:H,$D:$D,"NYTT",$E:$E,"INNSP")</f>
        <v>0</v>
      </c>
      <c r="I12" s="2">
        <f>SUMIFS(I:I,$D:$D,"NYTT",$E:$E,"INNSP")</f>
        <v>0</v>
      </c>
      <c r="J12" s="38"/>
      <c r="K12" s="38"/>
      <c r="L12" s="38"/>
      <c r="M12" s="93"/>
      <c r="N12" s="51"/>
      <c r="O12" s="51"/>
      <c r="Q12" s="95"/>
      <c r="R12" s="95"/>
      <c r="S12" s="95"/>
      <c r="T12" s="95"/>
    </row>
    <row r="13" spans="1:48" s="38" customFormat="1" x14ac:dyDescent="0.25">
      <c r="A13" s="316" t="s">
        <v>639</v>
      </c>
      <c r="B13" s="317"/>
      <c r="C13" s="317"/>
      <c r="D13" s="318"/>
      <c r="E13" s="318"/>
      <c r="F13" s="267">
        <f>SUMIFS(F:F,$D:$D,"NYTT",$E:$E,"MÅ")</f>
        <v>207622</v>
      </c>
      <c r="G13" s="267">
        <f>SUMIFS(G:G,$D:$D,"NYTT",$E:$E,"MÅ")</f>
        <v>219685</v>
      </c>
      <c r="H13" s="267">
        <f>SUMIFS(H:H,$D:$D,"NYTT",$E:$E,"MÅ")</f>
        <v>214245</v>
      </c>
      <c r="I13" s="267">
        <f>SUMIFS(I:I,$D:$D,"NYTT",$E:$E,"MÅ")</f>
        <v>221935</v>
      </c>
      <c r="M13" s="93"/>
      <c r="N13" s="51"/>
      <c r="O13" s="51"/>
      <c r="P13" s="29" t="s">
        <v>810</v>
      </c>
      <c r="Q13" s="95" t="e">
        <f t="shared" ref="Q13:T17" si="1">Q4+U4+Y4+AC4+AG4+AK4+AO4+AS4</f>
        <v>#REF!</v>
      </c>
      <c r="R13" s="95" t="e">
        <f t="shared" si="1"/>
        <v>#REF!</v>
      </c>
      <c r="S13" s="95">
        <f t="shared" si="1"/>
        <v>0</v>
      </c>
      <c r="T13" s="95">
        <f t="shared" si="1"/>
        <v>0</v>
      </c>
    </row>
    <row r="14" spans="1:48" s="38" customFormat="1" x14ac:dyDescent="0.25">
      <c r="A14" s="307" t="s">
        <v>8</v>
      </c>
      <c r="B14" s="309"/>
      <c r="C14" s="309"/>
      <c r="D14" s="323"/>
      <c r="E14" s="323"/>
      <c r="F14" s="324">
        <f>F6+F8+F9+F12+F13</f>
        <v>18818</v>
      </c>
      <c r="G14" s="324">
        <f>G6+G8+G9+G12+G13</f>
        <v>-2025</v>
      </c>
      <c r="H14" s="324">
        <f>H6+H8+H9+H12+H13</f>
        <v>-6140.4166666666861</v>
      </c>
      <c r="I14" s="324">
        <f>I6+I8+I9+I12+I13</f>
        <v>-6140</v>
      </c>
      <c r="M14" s="93"/>
      <c r="N14" s="51"/>
      <c r="O14" s="51"/>
      <c r="P14" s="1" t="s">
        <v>811</v>
      </c>
      <c r="Q14" s="95" t="e">
        <f t="shared" si="1"/>
        <v>#REF!</v>
      </c>
      <c r="R14" s="95" t="e">
        <f t="shared" si="1"/>
        <v>#REF!</v>
      </c>
      <c r="S14" s="95">
        <f t="shared" si="1"/>
        <v>-32824</v>
      </c>
      <c r="T14" s="95">
        <f t="shared" si="1"/>
        <v>-32069</v>
      </c>
    </row>
    <row r="15" spans="1:48" s="38" customFormat="1" x14ac:dyDescent="0.25">
      <c r="A15" s="312"/>
      <c r="B15" s="302"/>
      <c r="C15" s="302"/>
      <c r="D15" s="304"/>
      <c r="E15" s="304"/>
      <c r="F15" s="313"/>
      <c r="G15" s="313"/>
      <c r="H15" s="313"/>
      <c r="I15" s="313"/>
      <c r="M15" s="93"/>
      <c r="N15" s="51"/>
      <c r="O15" s="51"/>
      <c r="P15" s="29" t="s">
        <v>812</v>
      </c>
      <c r="Q15" s="95" t="e">
        <f t="shared" si="1"/>
        <v>#REF!</v>
      </c>
      <c r="R15" s="95" t="e">
        <f t="shared" si="1"/>
        <v>#REF!</v>
      </c>
      <c r="S15" s="95">
        <f t="shared" si="1"/>
        <v>132417</v>
      </c>
      <c r="T15" s="95">
        <f t="shared" si="1"/>
        <v>134597</v>
      </c>
    </row>
    <row r="16" spans="1:48" s="38" customFormat="1" x14ac:dyDescent="0.25">
      <c r="A16" s="314" t="s">
        <v>640</v>
      </c>
      <c r="B16" s="207"/>
      <c r="C16" s="207"/>
      <c r="D16" s="315"/>
      <c r="E16" s="315"/>
      <c r="F16" s="39">
        <f>SUMIF($D:$D,"NYTT",F:F)-F17-F13-F12</f>
        <v>36073</v>
      </c>
      <c r="G16" s="39">
        <f>SUMIF($D:$D,"NYTT",G:G)-G17-G13-G12</f>
        <v>40205</v>
      </c>
      <c r="H16" s="39">
        <f>SUMIF($D:$D,"NYTT",H:H)-H17-H13-H12</f>
        <v>41205</v>
      </c>
      <c r="I16" s="39">
        <f>SUMIF($D:$D,"NYTT",I:I)-I17-I13-I12</f>
        <v>41205</v>
      </c>
      <c r="M16" s="93"/>
      <c r="N16" s="51"/>
      <c r="O16" s="51"/>
      <c r="P16" s="29" t="s">
        <v>813</v>
      </c>
      <c r="Q16" s="95" t="e">
        <f t="shared" si="1"/>
        <v>#REF!</v>
      </c>
      <c r="R16" s="95" t="e">
        <f t="shared" si="1"/>
        <v>#REF!</v>
      </c>
      <c r="S16" s="95">
        <f t="shared" si="1"/>
        <v>0</v>
      </c>
      <c r="T16" s="95">
        <f t="shared" si="1"/>
        <v>0</v>
      </c>
    </row>
    <row r="17" spans="1:49" s="38" customFormat="1" x14ac:dyDescent="0.25">
      <c r="A17" s="325" t="s">
        <v>641</v>
      </c>
      <c r="B17" s="207"/>
      <c r="C17" s="326"/>
      <c r="D17" s="315"/>
      <c r="E17" s="315"/>
      <c r="F17" s="327">
        <f>SUMIFS(F:F,$D:$D,"NYTT",$E:$E,"IKKE PRI")</f>
        <v>63205</v>
      </c>
      <c r="G17" s="327">
        <f>SUMIFS(G:G,$D:$D,"NYTT",$E:$E,"IKKE PRI")</f>
        <v>62905</v>
      </c>
      <c r="H17" s="327">
        <f>SUMIFS(H:H,$D:$D,"NYTT",$E:$E,"IKKE PRI")</f>
        <v>62905</v>
      </c>
      <c r="I17" s="327">
        <f>SUMIFS(I:I,$D:$D,"NYTT",$E:$E,"IKKE PRI")</f>
        <v>62805</v>
      </c>
      <c r="M17" s="93"/>
      <c r="N17" s="51"/>
      <c r="O17" s="51"/>
      <c r="P17" s="28" t="s">
        <v>305</v>
      </c>
      <c r="Q17" s="95" t="e">
        <f t="shared" si="1"/>
        <v>#REF!</v>
      </c>
      <c r="R17" s="95" t="e">
        <f t="shared" si="1"/>
        <v>#REF!</v>
      </c>
      <c r="S17" s="95">
        <f t="shared" si="1"/>
        <v>99593</v>
      </c>
      <c r="T17" s="95">
        <f t="shared" si="1"/>
        <v>102528</v>
      </c>
    </row>
    <row r="18" spans="1:49" s="38" customFormat="1" x14ac:dyDescent="0.25">
      <c r="A18" s="325"/>
      <c r="B18" s="207"/>
      <c r="C18" s="326"/>
      <c r="D18" s="315"/>
      <c r="E18" s="315"/>
      <c r="F18" s="292">
        <f>(F8+F9+F13+F16+F17+F12)-SUMIF($B:$B,"X",F:F)</f>
        <v>-600</v>
      </c>
      <c r="G18" s="292">
        <f>(G8+G9+G13+G16+G17+G12)-SUMIF($B:$B,"X",G:G)</f>
        <v>-2100</v>
      </c>
      <c r="H18" s="292">
        <f>(H8+H9+H13+H16+H17+H12)-SUMIF($B:$B,"X",H:H)</f>
        <v>-3600.0000000000582</v>
      </c>
      <c r="I18" s="292">
        <f>(I8+I9+I13+I16+I17+I12)-SUMIF($B:$B,"X",I:I)</f>
        <v>-3600</v>
      </c>
      <c r="M18" s="93"/>
      <c r="N18" s="51"/>
      <c r="O18" s="51"/>
      <c r="P18" s="28"/>
    </row>
    <row r="19" spans="1:49" s="38" customFormat="1" x14ac:dyDescent="0.25">
      <c r="A19" s="328"/>
      <c r="B19" s="329"/>
      <c r="C19" s="298"/>
      <c r="D19" s="330"/>
      <c r="E19" s="330"/>
      <c r="F19" s="331"/>
      <c r="G19" s="331"/>
      <c r="H19" s="331"/>
      <c r="I19" s="331"/>
      <c r="M19" s="93"/>
      <c r="N19" s="51"/>
      <c r="O19" s="51"/>
      <c r="P19" s="28"/>
    </row>
    <row r="20" spans="1:49" s="38" customFormat="1" x14ac:dyDescent="0.25">
      <c r="A20" s="332"/>
      <c r="B20" s="295"/>
      <c r="C20" s="333"/>
      <c r="D20" s="93"/>
      <c r="E20" s="93"/>
      <c r="F20" s="334">
        <f>F8+F9+F13+F12</f>
        <v>221451</v>
      </c>
      <c r="G20" s="334">
        <f>G8+G9+G13+G12</f>
        <v>258897</v>
      </c>
      <c r="H20" s="334">
        <f>H8+H9+H13+H12</f>
        <v>273979.58333333331</v>
      </c>
      <c r="I20" s="334">
        <f>I8+I9+I13+I12</f>
        <v>297038</v>
      </c>
      <c r="M20" s="93"/>
      <c r="N20" s="51"/>
      <c r="O20" s="51"/>
      <c r="P20" s="28"/>
    </row>
    <row r="21" spans="1:49" s="38" customFormat="1" x14ac:dyDescent="0.25">
      <c r="A21" s="332"/>
      <c r="B21" s="295"/>
      <c r="C21" s="333"/>
      <c r="D21" s="93"/>
      <c r="E21" s="93"/>
      <c r="F21" s="334"/>
      <c r="G21" s="334"/>
      <c r="H21" s="334"/>
      <c r="I21" s="334"/>
      <c r="M21" s="93"/>
      <c r="N21" s="51"/>
      <c r="O21" s="51"/>
      <c r="P21" s="28"/>
    </row>
    <row r="22" spans="1:49" s="38" customFormat="1" hidden="1" x14ac:dyDescent="0.25">
      <c r="A22" s="192" t="s">
        <v>12</v>
      </c>
      <c r="B22" s="335"/>
      <c r="C22" s="236"/>
      <c r="D22" s="237"/>
      <c r="E22" s="237"/>
      <c r="F22" s="193"/>
      <c r="G22" s="193"/>
      <c r="H22" s="193"/>
      <c r="I22" s="193"/>
      <c r="J22" s="28"/>
      <c r="K22" s="28"/>
      <c r="L22" s="28"/>
      <c r="M22" s="51"/>
      <c r="N22" s="51"/>
      <c r="O22" s="51"/>
      <c r="P22" s="28"/>
    </row>
    <row r="23" spans="1:49" s="125" customFormat="1" hidden="1" x14ac:dyDescent="0.25">
      <c r="A23" s="194" t="s">
        <v>13</v>
      </c>
      <c r="B23" s="238"/>
      <c r="C23" s="195"/>
      <c r="D23" s="239"/>
      <c r="E23" s="239"/>
      <c r="F23" s="196">
        <f>SUMIF($N:$N,"FOND",F:F)</f>
        <v>0</v>
      </c>
      <c r="G23" s="196">
        <f>SUMIF($N:$N,"FOND",G:G)</f>
        <v>0</v>
      </c>
      <c r="H23" s="196">
        <f>SUMIF($N:$N,"FOND",H:H)</f>
        <v>0</v>
      </c>
      <c r="I23" s="196">
        <f>SUMIF($N:$N,"FOND",I:I)</f>
        <v>0</v>
      </c>
      <c r="J23" s="240"/>
      <c r="K23" s="240"/>
      <c r="L23" s="240"/>
      <c r="M23" s="241"/>
      <c r="N23" s="241"/>
      <c r="O23" s="241"/>
      <c r="P23" s="240"/>
      <c r="AW23" s="38"/>
    </row>
    <row r="24" spans="1:49" s="38" customFormat="1" hidden="1" x14ac:dyDescent="0.25">
      <c r="A24" s="197" t="s">
        <v>14</v>
      </c>
      <c r="B24" s="335"/>
      <c r="C24" s="236"/>
      <c r="D24" s="237"/>
      <c r="E24" s="237"/>
      <c r="F24" s="198">
        <f>SUBTOTAL(9,F22:F23)</f>
        <v>0</v>
      </c>
      <c r="G24" s="198">
        <f>SUBTOTAL(9,G22:G23)</f>
        <v>0</v>
      </c>
      <c r="H24" s="198">
        <f>SUBTOTAL(9,H22:H23)</f>
        <v>0</v>
      </c>
      <c r="I24" s="198">
        <f>SUBTOTAL(9,I22:I23)</f>
        <v>0</v>
      </c>
      <c r="J24" s="28"/>
      <c r="K24" s="28"/>
      <c r="L24" s="28"/>
      <c r="M24" s="51"/>
      <c r="N24" s="51"/>
      <c r="O24" s="51"/>
      <c r="P24" s="28"/>
    </row>
    <row r="25" spans="1:49" s="38" customFormat="1" x14ac:dyDescent="0.25">
      <c r="A25" s="28"/>
      <c r="B25" s="11"/>
      <c r="C25" s="11"/>
      <c r="D25" s="242"/>
      <c r="E25" s="242"/>
      <c r="F25" s="336">
        <f>(F8+F9+F13+F16+F17+F12)-SUMIF($B:$B,"X",F:F)</f>
        <v>-600</v>
      </c>
      <c r="G25" s="336">
        <f>(G8+G9+G13+G16+G17+G12)-SUMIF($B:$B,"X",G:G)</f>
        <v>-2100</v>
      </c>
      <c r="H25" s="336">
        <f>(H8+H9+H13+H16+H17+H12)-SUMIF($B:$B,"X",H:H)</f>
        <v>-3600.0000000000582</v>
      </c>
      <c r="I25" s="336">
        <f>(I8+I9+I13+I16+I17+I12)-SUMIF($B:$B,"X",I:I)</f>
        <v>-3600</v>
      </c>
      <c r="J25" s="28"/>
      <c r="K25" s="28"/>
      <c r="L25" s="28"/>
      <c r="M25" s="51"/>
      <c r="N25" s="51"/>
      <c r="O25" s="51"/>
      <c r="P25" s="28"/>
    </row>
    <row r="26" spans="1:49" s="38" customFormat="1" x14ac:dyDescent="0.25">
      <c r="A26" s="4" t="s">
        <v>15</v>
      </c>
      <c r="B26" s="5" t="s">
        <v>16</v>
      </c>
      <c r="C26" s="3" t="s">
        <v>17</v>
      </c>
      <c r="D26" s="8" t="s">
        <v>18</v>
      </c>
      <c r="E26" s="46" t="s">
        <v>19</v>
      </c>
      <c r="F26" s="4">
        <v>2022</v>
      </c>
      <c r="G26" s="4">
        <v>2023</v>
      </c>
      <c r="H26" s="4">
        <v>2024</v>
      </c>
      <c r="I26" s="4">
        <v>2025</v>
      </c>
      <c r="J26" s="4" t="s">
        <v>642</v>
      </c>
      <c r="K26" s="28" t="s">
        <v>643</v>
      </c>
      <c r="L26" s="28" t="s">
        <v>644</v>
      </c>
      <c r="M26" s="51"/>
      <c r="N26" s="51"/>
      <c r="O26" s="51"/>
      <c r="P26" s="28"/>
    </row>
    <row r="27" spans="1:49" s="38" customFormat="1" x14ac:dyDescent="0.25">
      <c r="A27" s="234"/>
      <c r="B27" s="11"/>
      <c r="C27" s="17"/>
      <c r="D27" s="51"/>
      <c r="E27" s="86" t="s">
        <v>645</v>
      </c>
      <c r="F27" s="235">
        <v>-2691000</v>
      </c>
      <c r="G27" s="235">
        <v>-2721000</v>
      </c>
      <c r="H27" s="235">
        <v>-2752000</v>
      </c>
      <c r="I27" s="235"/>
      <c r="J27" s="39"/>
      <c r="K27" s="28"/>
      <c r="L27" s="28"/>
      <c r="M27" s="28"/>
      <c r="N27" s="28"/>
      <c r="O27" s="28"/>
      <c r="P27" s="28"/>
      <c r="R27" s="235"/>
      <c r="S27" s="235"/>
      <c r="T27" s="235"/>
    </row>
    <row r="28" spans="1:49" s="38" customFormat="1" x14ac:dyDescent="0.25">
      <c r="A28" s="15"/>
      <c r="B28" s="44"/>
      <c r="C28" s="16" t="s">
        <v>21</v>
      </c>
      <c r="D28" s="41"/>
      <c r="E28" s="87" t="s">
        <v>646</v>
      </c>
      <c r="F28" s="85">
        <v>-1958000</v>
      </c>
      <c r="G28" s="85">
        <v>-1989000</v>
      </c>
      <c r="H28" s="85">
        <v>-2013000</v>
      </c>
      <c r="I28" s="85"/>
      <c r="J28" s="39"/>
      <c r="K28" s="337"/>
      <c r="L28" s="337"/>
      <c r="M28" s="77"/>
      <c r="N28" s="243"/>
      <c r="O28" s="243"/>
      <c r="P28" s="243"/>
      <c r="Q28" s="243"/>
      <c r="R28" s="85"/>
      <c r="S28" s="85"/>
      <c r="T28" s="85"/>
    </row>
    <row r="29" spans="1:49" s="38" customFormat="1" x14ac:dyDescent="0.25">
      <c r="A29" s="78" t="s">
        <v>22</v>
      </c>
      <c r="B29" s="338" t="str">
        <f t="shared" ref="B29:B60" si="2">IF(L29,K29&amp;L29,"")</f>
        <v>I1</v>
      </c>
      <c r="C29" s="98" t="s">
        <v>23</v>
      </c>
      <c r="D29" s="79" t="s">
        <v>22</v>
      </c>
      <c r="E29" s="79" t="s">
        <v>24</v>
      </c>
      <c r="F29" s="90">
        <v>-2781000</v>
      </c>
      <c r="G29" s="90">
        <v>-2811000</v>
      </c>
      <c r="H29" s="90">
        <v>-2842000</v>
      </c>
      <c r="I29" s="90">
        <v>-2873000</v>
      </c>
      <c r="J29" s="292" t="s">
        <v>915</v>
      </c>
      <c r="K29" s="28" t="s">
        <v>648</v>
      </c>
      <c r="L29" s="28">
        <f t="shared" ref="L29:L61" si="3">L28+1</f>
        <v>1</v>
      </c>
      <c r="M29" s="199"/>
      <c r="N29" s="200"/>
      <c r="O29" s="200"/>
      <c r="P29" s="28"/>
      <c r="R29" s="90"/>
      <c r="S29" s="90"/>
      <c r="T29" s="90"/>
      <c r="U29" s="90"/>
      <c r="V29" s="95"/>
    </row>
    <row r="30" spans="1:49" s="38" customFormat="1" x14ac:dyDescent="0.25">
      <c r="A30" s="78" t="s">
        <v>22</v>
      </c>
      <c r="B30" s="338" t="str">
        <f t="shared" si="2"/>
        <v>I2</v>
      </c>
      <c r="C30" s="98" t="s">
        <v>29</v>
      </c>
      <c r="D30" s="79" t="s">
        <v>22</v>
      </c>
      <c r="E30" s="79" t="s">
        <v>24</v>
      </c>
      <c r="F30" s="90">
        <f>-2052000-20000</f>
        <v>-2072000</v>
      </c>
      <c r="G30" s="90">
        <f>-2083000-20000</f>
        <v>-2103000</v>
      </c>
      <c r="H30" s="90">
        <f>-2108000-20000</f>
        <v>-2128000</v>
      </c>
      <c r="I30" s="90">
        <f>-2131000-20000</f>
        <v>-2151000</v>
      </c>
      <c r="J30" s="292" t="s">
        <v>915</v>
      </c>
      <c r="K30" s="28" t="s">
        <v>648</v>
      </c>
      <c r="L30" s="28">
        <f t="shared" si="3"/>
        <v>2</v>
      </c>
      <c r="M30" s="199"/>
      <c r="N30" s="200"/>
      <c r="O30" s="200"/>
      <c r="P30" s="28"/>
      <c r="R30" s="90"/>
      <c r="S30" s="90"/>
      <c r="T30" s="90"/>
      <c r="U30" s="90"/>
      <c r="V30" s="95"/>
    </row>
    <row r="31" spans="1:49" s="38" customFormat="1" x14ac:dyDescent="0.25">
      <c r="A31" s="78" t="s">
        <v>22</v>
      </c>
      <c r="B31" s="338" t="str">
        <f t="shared" si="2"/>
        <v>I3</v>
      </c>
      <c r="C31" s="98" t="s">
        <v>32</v>
      </c>
      <c r="D31" s="79" t="s">
        <v>22</v>
      </c>
      <c r="E31" s="79" t="s">
        <v>24</v>
      </c>
      <c r="F31" s="90">
        <v>-53000</v>
      </c>
      <c r="G31" s="90">
        <v>-55000</v>
      </c>
      <c r="H31" s="90">
        <v>-55000</v>
      </c>
      <c r="I31" s="90">
        <v>-55000</v>
      </c>
      <c r="J31" s="292" t="s">
        <v>916</v>
      </c>
      <c r="K31" s="28" t="s">
        <v>648</v>
      </c>
      <c r="L31" s="28">
        <f t="shared" si="3"/>
        <v>3</v>
      </c>
      <c r="M31" s="199"/>
      <c r="N31" s="258">
        <f>1-N32</f>
        <v>0.13649999999999995</v>
      </c>
      <c r="O31" s="200"/>
      <c r="P31" s="28"/>
      <c r="R31" s="90"/>
      <c r="S31" s="90"/>
      <c r="T31" s="90"/>
      <c r="U31" s="90"/>
      <c r="V31" s="95"/>
    </row>
    <row r="32" spans="1:49" s="38" customFormat="1" x14ac:dyDescent="0.25">
      <c r="A32" s="78" t="s">
        <v>22</v>
      </c>
      <c r="B32" s="338" t="str">
        <f t="shared" si="2"/>
        <v>I4</v>
      </c>
      <c r="C32" s="98" t="s">
        <v>34</v>
      </c>
      <c r="D32" s="79" t="s">
        <v>22</v>
      </c>
      <c r="E32" s="79" t="s">
        <v>24</v>
      </c>
      <c r="F32" s="90">
        <v>-17000</v>
      </c>
      <c r="G32" s="90">
        <v>-15000</v>
      </c>
      <c r="H32" s="90">
        <v>-14000</v>
      </c>
      <c r="I32" s="90">
        <v>-16000</v>
      </c>
      <c r="J32" s="292" t="s">
        <v>917</v>
      </c>
      <c r="K32" s="28" t="s">
        <v>648</v>
      </c>
      <c r="L32" s="28">
        <f t="shared" si="3"/>
        <v>4</v>
      </c>
      <c r="M32" s="199"/>
      <c r="N32" s="258">
        <v>0.86350000000000005</v>
      </c>
      <c r="O32" s="200"/>
      <c r="P32" s="28"/>
      <c r="R32" s="250"/>
      <c r="S32" s="250"/>
      <c r="T32" s="250"/>
      <c r="U32" s="250"/>
      <c r="V32" s="339"/>
    </row>
    <row r="33" spans="1:22" s="38" customFormat="1" x14ac:dyDescent="0.25">
      <c r="A33" s="78" t="s">
        <v>22</v>
      </c>
      <c r="B33" s="338" t="str">
        <f t="shared" si="2"/>
        <v>I5</v>
      </c>
      <c r="C33" s="98" t="s">
        <v>36</v>
      </c>
      <c r="D33" s="79" t="s">
        <v>22</v>
      </c>
      <c r="E33" s="79" t="s">
        <v>24</v>
      </c>
      <c r="F33" s="90">
        <v>-10300</v>
      </c>
      <c r="G33" s="90">
        <v>-10300</v>
      </c>
      <c r="H33" s="90">
        <v>-10300</v>
      </c>
      <c r="I33" s="90">
        <v>-10300</v>
      </c>
      <c r="J33" s="292" t="s">
        <v>651</v>
      </c>
      <c r="K33" s="28" t="s">
        <v>648</v>
      </c>
      <c r="L33" s="28">
        <f t="shared" si="3"/>
        <v>5</v>
      </c>
      <c r="M33" s="199"/>
      <c r="N33" s="200"/>
      <c r="O33" s="200"/>
      <c r="P33" s="28"/>
      <c r="R33" s="340"/>
      <c r="S33" s="340"/>
      <c r="T33" s="340"/>
      <c r="U33" s="340"/>
      <c r="V33" s="339"/>
    </row>
    <row r="34" spans="1:22" s="38" customFormat="1" x14ac:dyDescent="0.25">
      <c r="A34" s="78" t="s">
        <v>22</v>
      </c>
      <c r="B34" s="338" t="str">
        <f t="shared" si="2"/>
        <v>I6</v>
      </c>
      <c r="C34" s="98" t="s">
        <v>38</v>
      </c>
      <c r="D34" s="79" t="s">
        <v>22</v>
      </c>
      <c r="E34" s="79" t="s">
        <v>24</v>
      </c>
      <c r="F34" s="90">
        <v>10300</v>
      </c>
      <c r="G34" s="90">
        <v>10300</v>
      </c>
      <c r="H34" s="90">
        <v>10300</v>
      </c>
      <c r="I34" s="90">
        <v>10300</v>
      </c>
      <c r="J34" s="292" t="s">
        <v>651</v>
      </c>
      <c r="K34" s="28" t="s">
        <v>648</v>
      </c>
      <c r="L34" s="28">
        <f t="shared" si="3"/>
        <v>6</v>
      </c>
      <c r="M34" s="199"/>
      <c r="N34" s="200">
        <f>G31+G34</f>
        <v>-44700</v>
      </c>
      <c r="O34" s="200">
        <f>H31+H34</f>
        <v>-44700</v>
      </c>
      <c r="P34" s="200">
        <f>I31+I34</f>
        <v>-44700</v>
      </c>
      <c r="Q34" s="200"/>
      <c r="R34" s="340"/>
      <c r="S34" s="340"/>
      <c r="T34" s="340"/>
      <c r="U34" s="340"/>
      <c r="V34" s="339"/>
    </row>
    <row r="35" spans="1:22" s="38" customFormat="1" x14ac:dyDescent="0.25">
      <c r="A35" s="78" t="s">
        <v>22</v>
      </c>
      <c r="B35" s="338" t="str">
        <f t="shared" si="2"/>
        <v>I7</v>
      </c>
      <c r="C35" s="98" t="s">
        <v>39</v>
      </c>
      <c r="D35" s="79" t="s">
        <v>22</v>
      </c>
      <c r="E35" s="79" t="s">
        <v>24</v>
      </c>
      <c r="F35" s="90">
        <v>-8700</v>
      </c>
      <c r="G35" s="90">
        <v>-8600</v>
      </c>
      <c r="H35" s="90">
        <v>-8700</v>
      </c>
      <c r="I35" s="90">
        <v>-8500</v>
      </c>
      <c r="J35" s="292" t="s">
        <v>918</v>
      </c>
      <c r="K35" s="28" t="s">
        <v>648</v>
      </c>
      <c r="L35" s="28">
        <f>L34+1</f>
        <v>7</v>
      </c>
      <c r="M35" s="199"/>
      <c r="N35" s="200"/>
      <c r="O35" s="200"/>
      <c r="P35" s="28"/>
      <c r="R35" s="340"/>
      <c r="S35" s="340"/>
      <c r="T35" s="340"/>
      <c r="U35" s="340"/>
      <c r="V35" s="339"/>
    </row>
    <row r="36" spans="1:22" s="38" customFormat="1" x14ac:dyDescent="0.25">
      <c r="A36" s="78" t="s">
        <v>22</v>
      </c>
      <c r="B36" s="338" t="str">
        <f t="shared" si="2"/>
        <v>I8</v>
      </c>
      <c r="C36" s="98" t="s">
        <v>41</v>
      </c>
      <c r="D36" s="79" t="s">
        <v>22</v>
      </c>
      <c r="E36" s="79" t="s">
        <v>24</v>
      </c>
      <c r="F36" s="90">
        <v>-39217</v>
      </c>
      <c r="G36" s="90">
        <v>-40722</v>
      </c>
      <c r="H36" s="90">
        <v>-42916</v>
      </c>
      <c r="I36" s="90">
        <v>-42916</v>
      </c>
      <c r="J36" s="252" t="s">
        <v>919</v>
      </c>
      <c r="K36" s="28" t="s">
        <v>648</v>
      </c>
      <c r="L36" s="28">
        <f t="shared" si="3"/>
        <v>8</v>
      </c>
      <c r="M36" s="199"/>
      <c r="N36" s="200"/>
      <c r="O36" s="200"/>
      <c r="P36" s="28"/>
      <c r="R36" s="340"/>
      <c r="S36" s="340"/>
      <c r="T36" s="340"/>
      <c r="U36" s="340"/>
      <c r="V36" s="339"/>
    </row>
    <row r="37" spans="1:22" s="38" customFormat="1" x14ac:dyDescent="0.25">
      <c r="A37" s="78" t="s">
        <v>22</v>
      </c>
      <c r="B37" s="338" t="str">
        <f t="shared" si="2"/>
        <v>I9</v>
      </c>
      <c r="C37" s="283" t="s">
        <v>43</v>
      </c>
      <c r="D37" s="284" t="s">
        <v>22</v>
      </c>
      <c r="E37" s="284" t="s">
        <v>24</v>
      </c>
      <c r="F37" s="285">
        <v>91000</v>
      </c>
      <c r="G37" s="285">
        <v>104000</v>
      </c>
      <c r="H37" s="285">
        <v>109000</v>
      </c>
      <c r="I37" s="285">
        <v>116000</v>
      </c>
      <c r="J37" s="292" t="s">
        <v>920</v>
      </c>
      <c r="K37" s="28" t="s">
        <v>648</v>
      </c>
      <c r="L37" s="28">
        <f t="shared" si="3"/>
        <v>9</v>
      </c>
      <c r="M37" s="199"/>
      <c r="N37" s="200"/>
      <c r="O37" s="200"/>
      <c r="P37" s="28"/>
      <c r="R37" s="340"/>
      <c r="S37" s="340"/>
      <c r="T37" s="340"/>
      <c r="U37" s="340"/>
      <c r="V37" s="339"/>
    </row>
    <row r="38" spans="1:22" s="38" customFormat="1" x14ac:dyDescent="0.25">
      <c r="A38" s="78" t="s">
        <v>22</v>
      </c>
      <c r="B38" s="338" t="str">
        <f t="shared" si="2"/>
        <v>I10</v>
      </c>
      <c r="C38" s="283" t="s">
        <v>47</v>
      </c>
      <c r="D38" s="284" t="s">
        <v>22</v>
      </c>
      <c r="E38" s="284" t="s">
        <v>24</v>
      </c>
      <c r="F38" s="285">
        <v>292000</v>
      </c>
      <c r="G38" s="285">
        <v>299000</v>
      </c>
      <c r="H38" s="285">
        <v>303000</v>
      </c>
      <c r="I38" s="285">
        <v>310000</v>
      </c>
      <c r="J38" s="292" t="s">
        <v>920</v>
      </c>
      <c r="K38" s="28" t="s">
        <v>648</v>
      </c>
      <c r="L38" s="28">
        <f t="shared" si="3"/>
        <v>10</v>
      </c>
      <c r="M38" s="199"/>
      <c r="N38" s="200"/>
      <c r="O38" s="200"/>
      <c r="P38" s="28"/>
      <c r="R38" s="340"/>
      <c r="S38" s="340"/>
      <c r="T38" s="340"/>
      <c r="U38" s="340"/>
      <c r="V38" s="339"/>
    </row>
    <row r="39" spans="1:22" s="38" customFormat="1" x14ac:dyDescent="0.25">
      <c r="A39" s="78" t="s">
        <v>22</v>
      </c>
      <c r="B39" s="338" t="str">
        <f t="shared" si="2"/>
        <v>I11</v>
      </c>
      <c r="C39" s="98" t="s">
        <v>50</v>
      </c>
      <c r="D39" s="79" t="s">
        <v>22</v>
      </c>
      <c r="E39" s="79" t="s">
        <v>24</v>
      </c>
      <c r="F39" s="90">
        <v>-14600</v>
      </c>
      <c r="G39" s="90">
        <v>-19100</v>
      </c>
      <c r="H39" s="90">
        <v>-21800</v>
      </c>
      <c r="I39" s="90">
        <v>-24800</v>
      </c>
      <c r="J39" s="292" t="s">
        <v>659</v>
      </c>
      <c r="K39" s="28" t="s">
        <v>648</v>
      </c>
      <c r="L39" s="28">
        <f t="shared" si="3"/>
        <v>11</v>
      </c>
      <c r="M39" s="199"/>
      <c r="N39" s="199"/>
      <c r="O39" s="199"/>
      <c r="P39" s="28"/>
    </row>
    <row r="40" spans="1:22" s="38" customFormat="1" x14ac:dyDescent="0.25">
      <c r="A40" s="78" t="s">
        <v>22</v>
      </c>
      <c r="B40" s="338" t="str">
        <f t="shared" si="2"/>
        <v>I12</v>
      </c>
      <c r="C40" s="98" t="s">
        <v>51</v>
      </c>
      <c r="D40" s="79" t="s">
        <v>22</v>
      </c>
      <c r="E40" s="79" t="s">
        <v>24</v>
      </c>
      <c r="F40" s="90">
        <v>-30800</v>
      </c>
      <c r="G40" s="90">
        <v>-40000</v>
      </c>
      <c r="H40" s="90">
        <v>-46000</v>
      </c>
      <c r="I40" s="90">
        <v>-52700</v>
      </c>
      <c r="J40" s="292" t="s">
        <v>659</v>
      </c>
      <c r="K40" s="28" t="s">
        <v>648</v>
      </c>
      <c r="L40" s="28">
        <f>L39+1</f>
        <v>12</v>
      </c>
      <c r="M40" s="199"/>
      <c r="N40" s="199"/>
      <c r="O40" s="199"/>
      <c r="P40" s="12"/>
      <c r="Q40" s="2"/>
      <c r="R40" s="2"/>
      <c r="S40" s="2"/>
      <c r="T40" s="95"/>
      <c r="U40" s="95"/>
    </row>
    <row r="41" spans="1:22" s="38" customFormat="1" x14ac:dyDescent="0.25">
      <c r="A41" s="78" t="s">
        <v>22</v>
      </c>
      <c r="B41" s="338" t="str">
        <f t="shared" si="2"/>
        <v>I13</v>
      </c>
      <c r="C41" s="98" t="s">
        <v>52</v>
      </c>
      <c r="D41" s="79" t="s">
        <v>22</v>
      </c>
      <c r="E41" s="79" t="s">
        <v>24</v>
      </c>
      <c r="F41" s="90">
        <v>30800</v>
      </c>
      <c r="G41" s="90">
        <v>40000</v>
      </c>
      <c r="H41" s="90">
        <v>46000</v>
      </c>
      <c r="I41" s="90">
        <v>52700</v>
      </c>
      <c r="J41" s="292" t="s">
        <v>659</v>
      </c>
      <c r="K41" s="28" t="s">
        <v>648</v>
      </c>
      <c r="L41" s="28">
        <f t="shared" si="3"/>
        <v>13</v>
      </c>
      <c r="M41" s="199"/>
      <c r="N41" s="199"/>
      <c r="O41" s="199"/>
      <c r="P41" s="200"/>
      <c r="Q41" s="2"/>
      <c r="R41" s="2"/>
      <c r="S41" s="2"/>
    </row>
    <row r="42" spans="1:22" s="38" customFormat="1" x14ac:dyDescent="0.25">
      <c r="A42" s="78" t="s">
        <v>22</v>
      </c>
      <c r="B42" s="338" t="str">
        <f t="shared" si="2"/>
        <v>I14</v>
      </c>
      <c r="C42" s="98" t="s">
        <v>53</v>
      </c>
      <c r="D42" s="79" t="s">
        <v>22</v>
      </c>
      <c r="E42" s="79" t="s">
        <v>24</v>
      </c>
      <c r="F42" s="90">
        <v>-9400</v>
      </c>
      <c r="G42" s="90">
        <v>-10200</v>
      </c>
      <c r="H42" s="90">
        <v>-10400</v>
      </c>
      <c r="I42" s="90">
        <v>-10500</v>
      </c>
      <c r="J42" s="292" t="s">
        <v>659</v>
      </c>
      <c r="K42" s="28" t="s">
        <v>648</v>
      </c>
      <c r="L42" s="28">
        <f t="shared" si="3"/>
        <v>14</v>
      </c>
      <c r="M42" s="199"/>
      <c r="N42" s="199"/>
      <c r="O42" s="199"/>
      <c r="P42" s="201"/>
      <c r="Q42" s="201"/>
      <c r="R42" s="201"/>
      <c r="S42" s="201"/>
    </row>
    <row r="43" spans="1:22" s="38" customFormat="1" x14ac:dyDescent="0.25">
      <c r="A43" s="78" t="s">
        <v>22</v>
      </c>
      <c r="B43" s="338" t="str">
        <f t="shared" si="2"/>
        <v>I15</v>
      </c>
      <c r="C43" s="98" t="s">
        <v>54</v>
      </c>
      <c r="D43" s="79" t="s">
        <v>22</v>
      </c>
      <c r="E43" s="79" t="s">
        <v>24</v>
      </c>
      <c r="F43" s="90">
        <v>-123000</v>
      </c>
      <c r="G43" s="90">
        <v>-127000</v>
      </c>
      <c r="H43" s="90">
        <v>-131000</v>
      </c>
      <c r="I43" s="90">
        <v>-135000</v>
      </c>
      <c r="J43" s="292" t="s">
        <v>846</v>
      </c>
      <c r="K43" s="28" t="s">
        <v>648</v>
      </c>
      <c r="L43" s="28">
        <f t="shared" si="3"/>
        <v>15</v>
      </c>
      <c r="M43" s="199"/>
      <c r="N43" s="199"/>
      <c r="O43" s="199"/>
      <c r="P43" s="201"/>
      <c r="Q43" s="201"/>
      <c r="R43" s="201"/>
      <c r="S43" s="201"/>
    </row>
    <row r="44" spans="1:22" s="38" customFormat="1" x14ac:dyDescent="0.25">
      <c r="A44" s="78" t="s">
        <v>22</v>
      </c>
      <c r="B44" s="338" t="str">
        <f t="shared" si="2"/>
        <v>I16</v>
      </c>
      <c r="C44" s="98" t="s">
        <v>55</v>
      </c>
      <c r="D44" s="79" t="s">
        <v>22</v>
      </c>
      <c r="E44" s="79" t="s">
        <v>24</v>
      </c>
      <c r="F44" s="90">
        <v>-1250</v>
      </c>
      <c r="G44" s="90">
        <v>-1339</v>
      </c>
      <c r="H44" s="90">
        <v>-1428</v>
      </c>
      <c r="I44" s="90">
        <v>-1428</v>
      </c>
      <c r="J44" s="292" t="s">
        <v>655</v>
      </c>
      <c r="K44" s="28" t="s">
        <v>648</v>
      </c>
      <c r="L44" s="28">
        <f t="shared" si="3"/>
        <v>16</v>
      </c>
      <c r="M44" s="199"/>
      <c r="N44" s="199"/>
      <c r="O44" s="199"/>
      <c r="P44" s="201"/>
      <c r="Q44" s="201"/>
      <c r="R44" s="201"/>
      <c r="S44" s="201"/>
    </row>
    <row r="45" spans="1:22" s="38" customFormat="1" x14ac:dyDescent="0.25">
      <c r="A45" s="78" t="s">
        <v>22</v>
      </c>
      <c r="B45" s="338" t="str">
        <f t="shared" si="2"/>
        <v>I17</v>
      </c>
      <c r="C45" s="98" t="s">
        <v>57</v>
      </c>
      <c r="D45" s="79" t="s">
        <v>22</v>
      </c>
      <c r="E45" s="79" t="s">
        <v>24</v>
      </c>
      <c r="F45" s="90">
        <v>-2000</v>
      </c>
      <c r="G45" s="90">
        <v>-2000</v>
      </c>
      <c r="H45" s="90">
        <v>-2000</v>
      </c>
      <c r="I45" s="90">
        <v>-2000</v>
      </c>
      <c r="J45" s="292" t="s">
        <v>655</v>
      </c>
      <c r="K45" s="28" t="s">
        <v>648</v>
      </c>
      <c r="L45" s="28">
        <f t="shared" si="3"/>
        <v>17</v>
      </c>
      <c r="M45" s="199"/>
      <c r="N45" s="199"/>
      <c r="O45" s="199"/>
      <c r="P45" s="201"/>
      <c r="Q45" s="201"/>
      <c r="R45" s="201"/>
      <c r="S45" s="201"/>
    </row>
    <row r="46" spans="1:22" s="38" customFormat="1" x14ac:dyDescent="0.25">
      <c r="A46" s="78" t="s">
        <v>22</v>
      </c>
      <c r="B46" s="338" t="str">
        <f t="shared" si="2"/>
        <v>I18</v>
      </c>
      <c r="C46" s="98" t="s">
        <v>59</v>
      </c>
      <c r="D46" s="79" t="s">
        <v>22</v>
      </c>
      <c r="E46" s="79" t="s">
        <v>24</v>
      </c>
      <c r="F46" s="90">
        <v>-3400</v>
      </c>
      <c r="G46" s="90">
        <v>-3600</v>
      </c>
      <c r="H46" s="90">
        <v>-3600</v>
      </c>
      <c r="I46" s="90">
        <v>-3600</v>
      </c>
      <c r="J46" s="292" t="s">
        <v>659</v>
      </c>
      <c r="K46" s="28" t="s">
        <v>648</v>
      </c>
      <c r="L46" s="28">
        <f>L45+1</f>
        <v>18</v>
      </c>
      <c r="M46" s="199"/>
      <c r="N46" s="199"/>
      <c r="O46" s="199"/>
      <c r="P46" s="199"/>
    </row>
    <row r="47" spans="1:22" s="38" customFormat="1" x14ac:dyDescent="0.25">
      <c r="A47" s="78" t="s">
        <v>22</v>
      </c>
      <c r="B47" s="338" t="str">
        <f t="shared" si="2"/>
        <v>I19</v>
      </c>
      <c r="C47" s="98" t="s">
        <v>60</v>
      </c>
      <c r="D47" s="79" t="s">
        <v>22</v>
      </c>
      <c r="E47" s="79" t="s">
        <v>24</v>
      </c>
      <c r="F47" s="90"/>
      <c r="G47" s="90"/>
      <c r="H47" s="90"/>
      <c r="I47" s="90"/>
      <c r="J47" s="292" t="s">
        <v>847</v>
      </c>
      <c r="K47" s="28" t="s">
        <v>648</v>
      </c>
      <c r="L47" s="28">
        <f t="shared" si="3"/>
        <v>19</v>
      </c>
      <c r="M47" s="199"/>
      <c r="N47" s="199"/>
      <c r="O47" s="199"/>
      <c r="P47" s="199"/>
    </row>
    <row r="48" spans="1:22" s="38" customFormat="1" x14ac:dyDescent="0.25">
      <c r="A48" s="78" t="s">
        <v>22</v>
      </c>
      <c r="B48" s="338" t="str">
        <f t="shared" si="2"/>
        <v>I20</v>
      </c>
      <c r="C48" s="98" t="s">
        <v>62</v>
      </c>
      <c r="D48" s="79" t="s">
        <v>22</v>
      </c>
      <c r="E48" s="79" t="s">
        <v>24</v>
      </c>
      <c r="F48" s="90">
        <v>-500</v>
      </c>
      <c r="G48" s="90">
        <v>-500</v>
      </c>
      <c r="H48" s="90">
        <v>-500</v>
      </c>
      <c r="I48" s="90">
        <v>-500</v>
      </c>
      <c r="J48" s="292" t="s">
        <v>848</v>
      </c>
      <c r="K48" s="28" t="s">
        <v>648</v>
      </c>
      <c r="L48" s="28">
        <f t="shared" si="3"/>
        <v>20</v>
      </c>
      <c r="M48" s="199"/>
      <c r="N48" s="199"/>
      <c r="O48" s="199"/>
      <c r="P48" s="199"/>
    </row>
    <row r="49" spans="1:49" s="38" customFormat="1" x14ac:dyDescent="0.25">
      <c r="A49" s="78" t="s">
        <v>22</v>
      </c>
      <c r="B49" s="338" t="str">
        <f t="shared" si="2"/>
        <v>I21</v>
      </c>
      <c r="C49" s="283" t="s">
        <v>64</v>
      </c>
      <c r="D49" s="284" t="s">
        <v>22</v>
      </c>
      <c r="E49" s="284" t="s">
        <v>24</v>
      </c>
      <c r="F49" s="285">
        <v>60000</v>
      </c>
      <c r="G49" s="285">
        <v>60000</v>
      </c>
      <c r="H49" s="285">
        <f>90000-690+5000</f>
        <v>94310</v>
      </c>
      <c r="I49" s="285">
        <f>90000+32319</f>
        <v>122319</v>
      </c>
      <c r="J49" s="292" t="s">
        <v>659</v>
      </c>
      <c r="K49" s="28" t="s">
        <v>648</v>
      </c>
      <c r="L49" s="28">
        <f t="shared" si="3"/>
        <v>21</v>
      </c>
      <c r="M49" s="38">
        <v>47663</v>
      </c>
      <c r="N49" s="38">
        <v>42964</v>
      </c>
      <c r="O49" s="38">
        <v>35638</v>
      </c>
      <c r="P49" s="38">
        <v>35638</v>
      </c>
    </row>
    <row r="50" spans="1:49" s="38" customFormat="1" x14ac:dyDescent="0.25">
      <c r="A50" s="78" t="s">
        <v>22</v>
      </c>
      <c r="B50" s="338" t="str">
        <f t="shared" si="2"/>
        <v>I22</v>
      </c>
      <c r="C50" s="98" t="s">
        <v>68</v>
      </c>
      <c r="D50" s="79" t="s">
        <v>22</v>
      </c>
      <c r="E50" s="79" t="s">
        <v>24</v>
      </c>
      <c r="F50" s="90">
        <v>-5500</v>
      </c>
      <c r="G50" s="90">
        <v>-5500</v>
      </c>
      <c r="H50" s="90"/>
      <c r="I50" s="90"/>
      <c r="J50" s="292" t="s">
        <v>850</v>
      </c>
      <c r="K50" s="28" t="s">
        <v>648</v>
      </c>
      <c r="L50" s="28">
        <f t="shared" si="3"/>
        <v>22</v>
      </c>
      <c r="M50" s="28"/>
      <c r="N50" s="28"/>
      <c r="O50" s="28"/>
      <c r="P50" s="28"/>
    </row>
    <row r="51" spans="1:49" s="38" customFormat="1" x14ac:dyDescent="0.25">
      <c r="A51" s="45" t="s">
        <v>22</v>
      </c>
      <c r="B51" s="338" t="str">
        <f t="shared" si="2"/>
        <v>I23</v>
      </c>
      <c r="C51" s="98" t="s">
        <v>69</v>
      </c>
      <c r="D51" s="79" t="s">
        <v>22</v>
      </c>
      <c r="E51" s="79" t="s">
        <v>24</v>
      </c>
      <c r="F51" s="90">
        <v>270000</v>
      </c>
      <c r="G51" s="90">
        <v>283000</v>
      </c>
      <c r="H51" s="90">
        <v>296000</v>
      </c>
      <c r="I51" s="90">
        <v>309000</v>
      </c>
      <c r="J51" s="292" t="s">
        <v>659</v>
      </c>
      <c r="K51" s="28" t="s">
        <v>648</v>
      </c>
      <c r="L51" s="28">
        <f t="shared" si="3"/>
        <v>23</v>
      </c>
      <c r="M51" s="28"/>
      <c r="N51" s="28"/>
      <c r="O51" s="28"/>
      <c r="P51" s="28"/>
    </row>
    <row r="52" spans="1:49" s="38" customFormat="1" x14ac:dyDescent="0.25">
      <c r="A52" s="45" t="s">
        <v>22</v>
      </c>
      <c r="B52" s="338" t="str">
        <f t="shared" si="2"/>
        <v>I24</v>
      </c>
      <c r="C52" s="98" t="s">
        <v>71</v>
      </c>
      <c r="D52" s="79" t="s">
        <v>22</v>
      </c>
      <c r="E52" s="79" t="s">
        <v>24</v>
      </c>
      <c r="F52" s="90">
        <v>-270000</v>
      </c>
      <c r="G52" s="90">
        <v>-283000</v>
      </c>
      <c r="H52" s="90">
        <v>-296000</v>
      </c>
      <c r="I52" s="90">
        <v>-309000</v>
      </c>
      <c r="J52" s="292" t="s">
        <v>659</v>
      </c>
      <c r="K52" s="28" t="s">
        <v>648</v>
      </c>
      <c r="L52" s="28">
        <f t="shared" si="3"/>
        <v>24</v>
      </c>
      <c r="M52" s="28"/>
      <c r="N52" s="28"/>
      <c r="O52" s="28"/>
      <c r="P52" s="28"/>
    </row>
    <row r="53" spans="1:49" s="38" customFormat="1" x14ac:dyDescent="0.25">
      <c r="A53" s="45" t="s">
        <v>22</v>
      </c>
      <c r="B53" s="338" t="str">
        <f t="shared" si="2"/>
        <v>I25</v>
      </c>
      <c r="C53" s="98" t="s">
        <v>72</v>
      </c>
      <c r="D53" s="79" t="s">
        <v>22</v>
      </c>
      <c r="E53" s="79" t="s">
        <v>24</v>
      </c>
      <c r="F53" s="90">
        <v>-19941</v>
      </c>
      <c r="G53" s="90">
        <v>-21381</v>
      </c>
      <c r="H53" s="90">
        <v>-21189</v>
      </c>
      <c r="I53" s="90">
        <v>-21619</v>
      </c>
      <c r="J53" s="292" t="s">
        <v>921</v>
      </c>
      <c r="K53" s="28" t="s">
        <v>648</v>
      </c>
      <c r="L53" s="28">
        <f t="shared" si="3"/>
        <v>25</v>
      </c>
      <c r="M53" s="28"/>
      <c r="N53" s="28"/>
      <c r="O53" s="28"/>
      <c r="P53" s="28"/>
    </row>
    <row r="54" spans="1:49" s="38" customFormat="1" x14ac:dyDescent="0.25">
      <c r="A54" s="45" t="s">
        <v>22</v>
      </c>
      <c r="B54" s="338" t="str">
        <f t="shared" si="2"/>
        <v>I26</v>
      </c>
      <c r="C54" s="98" t="s">
        <v>74</v>
      </c>
      <c r="D54" s="79" t="s">
        <v>22</v>
      </c>
      <c r="E54" s="79" t="s">
        <v>24</v>
      </c>
      <c r="F54" s="90">
        <v>-41629</v>
      </c>
      <c r="G54" s="90">
        <v>-46431</v>
      </c>
      <c r="H54" s="90">
        <v>-50107</v>
      </c>
      <c r="I54" s="90">
        <v>-50938</v>
      </c>
      <c r="J54" s="292" t="s">
        <v>921</v>
      </c>
      <c r="K54" s="28" t="s">
        <v>648</v>
      </c>
      <c r="L54" s="28">
        <f t="shared" si="3"/>
        <v>26</v>
      </c>
      <c r="M54" s="28"/>
      <c r="N54" s="28"/>
      <c r="O54" s="28"/>
      <c r="P54" s="28"/>
    </row>
    <row r="55" spans="1:49" s="38" customFormat="1" x14ac:dyDescent="0.25">
      <c r="A55" s="45" t="s">
        <v>22</v>
      </c>
      <c r="B55" s="338" t="str">
        <f t="shared" si="2"/>
        <v>I27</v>
      </c>
      <c r="C55" s="98" t="s">
        <v>75</v>
      </c>
      <c r="D55" s="79" t="s">
        <v>22</v>
      </c>
      <c r="E55" s="79" t="s">
        <v>24</v>
      </c>
      <c r="F55" s="90">
        <v>141</v>
      </c>
      <c r="G55" s="90">
        <v>88</v>
      </c>
      <c r="H55" s="90">
        <v>-153</v>
      </c>
      <c r="I55" s="90">
        <v>-1059</v>
      </c>
      <c r="J55" s="292" t="s">
        <v>921</v>
      </c>
      <c r="K55" s="28" t="s">
        <v>648</v>
      </c>
      <c r="L55" s="28">
        <f t="shared" si="3"/>
        <v>27</v>
      </c>
      <c r="M55" s="28"/>
      <c r="N55" s="28"/>
      <c r="O55" s="28"/>
      <c r="P55" s="28"/>
    </row>
    <row r="56" spans="1:49" s="38" customFormat="1" x14ac:dyDescent="0.25">
      <c r="A56" s="78" t="s">
        <v>22</v>
      </c>
      <c r="B56" s="338" t="str">
        <f t="shared" si="2"/>
        <v>I28</v>
      </c>
      <c r="C56" s="98"/>
      <c r="D56" s="79" t="s">
        <v>22</v>
      </c>
      <c r="E56" s="79" t="s">
        <v>24</v>
      </c>
      <c r="F56" s="90"/>
      <c r="G56" s="90"/>
      <c r="H56" s="90"/>
      <c r="I56" s="90"/>
      <c r="J56" s="292"/>
      <c r="K56" s="28" t="s">
        <v>648</v>
      </c>
      <c r="L56" s="28">
        <f t="shared" si="3"/>
        <v>28</v>
      </c>
      <c r="M56" s="28"/>
      <c r="N56" s="28"/>
      <c r="O56" s="28"/>
      <c r="P56" s="28"/>
    </row>
    <row r="57" spans="1:49" s="38" customFormat="1" x14ac:dyDescent="0.25">
      <c r="A57" s="78" t="s">
        <v>22</v>
      </c>
      <c r="B57" s="338" t="str">
        <f t="shared" si="2"/>
        <v>I29</v>
      </c>
      <c r="C57" s="98"/>
      <c r="D57" s="79" t="s">
        <v>22</v>
      </c>
      <c r="E57" s="79" t="s">
        <v>24</v>
      </c>
      <c r="F57" s="90"/>
      <c r="G57" s="90"/>
      <c r="H57" s="90"/>
      <c r="I57" s="90"/>
      <c r="J57" s="292"/>
      <c r="K57" s="28" t="s">
        <v>648</v>
      </c>
      <c r="L57" s="28">
        <f t="shared" si="3"/>
        <v>29</v>
      </c>
      <c r="M57" s="28"/>
      <c r="N57" s="28"/>
      <c r="O57" s="28"/>
      <c r="P57" s="28"/>
    </row>
    <row r="58" spans="1:49" s="38" customFormat="1" x14ac:dyDescent="0.25">
      <c r="A58" s="78" t="s">
        <v>22</v>
      </c>
      <c r="B58" s="338" t="str">
        <f t="shared" si="2"/>
        <v>I30</v>
      </c>
      <c r="C58" s="98"/>
      <c r="D58" s="79" t="s">
        <v>22</v>
      </c>
      <c r="E58" s="79" t="s">
        <v>24</v>
      </c>
      <c r="F58" s="90"/>
      <c r="G58" s="90"/>
      <c r="H58" s="90"/>
      <c r="I58" s="90"/>
      <c r="J58" s="292"/>
      <c r="K58" s="28" t="s">
        <v>648</v>
      </c>
      <c r="L58" s="28">
        <f t="shared" si="3"/>
        <v>30</v>
      </c>
      <c r="M58" s="28"/>
      <c r="N58" s="28"/>
      <c r="O58" s="28"/>
      <c r="P58" s="28"/>
      <c r="AW58" s="95"/>
    </row>
    <row r="59" spans="1:49" s="38" customFormat="1" x14ac:dyDescent="0.25">
      <c r="A59" s="78" t="s">
        <v>22</v>
      </c>
      <c r="B59" s="338" t="str">
        <f t="shared" si="2"/>
        <v>I31</v>
      </c>
      <c r="C59" s="98"/>
      <c r="D59" s="79" t="s">
        <v>22</v>
      </c>
      <c r="E59" s="79" t="s">
        <v>24</v>
      </c>
      <c r="F59" s="90"/>
      <c r="G59" s="90"/>
      <c r="H59" s="90"/>
      <c r="I59" s="90"/>
      <c r="J59" s="292"/>
      <c r="K59" s="28" t="s">
        <v>648</v>
      </c>
      <c r="L59" s="28">
        <f t="shared" si="3"/>
        <v>31</v>
      </c>
      <c r="M59" s="28"/>
      <c r="N59" s="28"/>
      <c r="O59" s="28"/>
      <c r="P59" s="28"/>
    </row>
    <row r="60" spans="1:49" s="38" customFormat="1" x14ac:dyDescent="0.25">
      <c r="A60" s="78" t="s">
        <v>22</v>
      </c>
      <c r="B60" s="338" t="str">
        <f t="shared" si="2"/>
        <v>I32</v>
      </c>
      <c r="C60" s="98"/>
      <c r="D60" s="79" t="s">
        <v>22</v>
      </c>
      <c r="E60" s="79" t="s">
        <v>24</v>
      </c>
      <c r="F60" s="90"/>
      <c r="G60" s="90"/>
      <c r="H60" s="90"/>
      <c r="I60" s="90"/>
      <c r="J60" s="292"/>
      <c r="K60" s="28" t="s">
        <v>648</v>
      </c>
      <c r="L60" s="28">
        <f t="shared" si="3"/>
        <v>32</v>
      </c>
      <c r="M60" s="28"/>
      <c r="N60" s="28"/>
      <c r="O60" s="28"/>
      <c r="P60" s="28"/>
    </row>
    <row r="61" spans="1:49" s="38" customFormat="1" x14ac:dyDescent="0.25">
      <c r="A61" s="244"/>
      <c r="B61" s="244"/>
      <c r="C61" s="245"/>
      <c r="D61" s="214"/>
      <c r="E61" s="111"/>
      <c r="F61" s="110"/>
      <c r="G61" s="110"/>
      <c r="H61" s="110"/>
      <c r="I61" s="110"/>
      <c r="J61" s="39"/>
      <c r="K61" s="28" t="s">
        <v>648</v>
      </c>
      <c r="L61" s="28">
        <f t="shared" si="3"/>
        <v>33</v>
      </c>
      <c r="M61" s="28"/>
      <c r="N61" s="28"/>
      <c r="O61" s="28"/>
      <c r="P61" s="28"/>
    </row>
    <row r="62" spans="1:49" s="38" customFormat="1" x14ac:dyDescent="0.25">
      <c r="A62" s="43"/>
      <c r="B62" s="43"/>
      <c r="C62" s="3" t="s">
        <v>76</v>
      </c>
      <c r="D62" s="63"/>
      <c r="E62" s="63"/>
      <c r="F62" s="9">
        <f>SUMIF($A:$A,"SENT.INNT",F:F)</f>
        <v>-4748996</v>
      </c>
      <c r="G62" s="9">
        <f>SUMIF($A:$A,"SENT.INNT",G:G)</f>
        <v>-4807285</v>
      </c>
      <c r="H62" s="9">
        <f>SUMIF($A:$A,"SENT.INNT",H:H)</f>
        <v>-4826483</v>
      </c>
      <c r="I62" s="9">
        <f>SUMIF($A:$A,"SENT.INNT",I:I)</f>
        <v>-4849541</v>
      </c>
      <c r="J62" s="39"/>
      <c r="K62" s="28"/>
      <c r="L62" s="28"/>
      <c r="M62" s="28"/>
      <c r="N62" s="28"/>
      <c r="O62" s="28"/>
      <c r="P62" s="28"/>
    </row>
    <row r="63" spans="1:49" s="38" customFormat="1" x14ac:dyDescent="0.25">
      <c r="A63" s="46"/>
      <c r="B63" s="46"/>
      <c r="C63" s="3" t="s">
        <v>77</v>
      </c>
      <c r="D63" s="52"/>
      <c r="E63" s="52"/>
      <c r="F63" s="9">
        <f>F4</f>
        <v>4546363</v>
      </c>
      <c r="G63" s="9">
        <f>G4</f>
        <v>4546363</v>
      </c>
      <c r="H63" s="9">
        <f>H4</f>
        <v>4546363</v>
      </c>
      <c r="I63" s="9">
        <f>I4</f>
        <v>4546363</v>
      </c>
      <c r="J63" s="39"/>
      <c r="K63" s="28"/>
      <c r="L63" s="28"/>
      <c r="M63" s="28"/>
      <c r="N63" s="28"/>
      <c r="O63" s="28"/>
      <c r="P63" s="28"/>
    </row>
    <row r="64" spans="1:49" s="38" customFormat="1" x14ac:dyDescent="0.25">
      <c r="A64" s="43"/>
      <c r="B64" s="43"/>
      <c r="C64" s="3" t="s">
        <v>78</v>
      </c>
      <c r="D64" s="52"/>
      <c r="E64" s="52"/>
      <c r="F64" s="9">
        <f>F62+F63</f>
        <v>-202633</v>
      </c>
      <c r="G64" s="9">
        <f>G62+G63</f>
        <v>-260922</v>
      </c>
      <c r="H64" s="9">
        <f>H62+H63</f>
        <v>-280120</v>
      </c>
      <c r="I64" s="9">
        <f>I62+I63</f>
        <v>-303178</v>
      </c>
      <c r="J64" s="39"/>
      <c r="K64" s="28"/>
      <c r="L64" s="28"/>
      <c r="M64" s="28"/>
      <c r="N64" s="28"/>
      <c r="O64" s="28"/>
      <c r="P64" s="28"/>
    </row>
    <row r="65" spans="1:20" s="38" customFormat="1" x14ac:dyDescent="0.25">
      <c r="A65" s="47"/>
      <c r="B65" s="47"/>
      <c r="C65" s="11"/>
      <c r="D65" s="49"/>
      <c r="E65" s="49"/>
      <c r="F65" s="12"/>
      <c r="G65" s="12"/>
      <c r="H65" s="12"/>
      <c r="I65" s="12"/>
      <c r="J65" s="39"/>
      <c r="K65" s="28"/>
      <c r="L65" s="28"/>
      <c r="M65" s="28"/>
      <c r="N65" s="28"/>
      <c r="O65" s="28"/>
      <c r="P65" s="28"/>
    </row>
    <row r="66" spans="1:20" s="1" customFormat="1" x14ac:dyDescent="0.25">
      <c r="A66" s="48"/>
      <c r="B66" s="48"/>
      <c r="C66" s="13" t="s">
        <v>79</v>
      </c>
      <c r="D66" s="50"/>
      <c r="E66" s="50"/>
      <c r="F66" s="14"/>
      <c r="G66" s="14"/>
      <c r="H66" s="14"/>
      <c r="I66" s="14"/>
      <c r="J66" s="39"/>
      <c r="K66" s="38"/>
      <c r="L66" s="38"/>
      <c r="M66" s="29"/>
      <c r="N66" s="29"/>
      <c r="O66" s="29"/>
      <c r="P66" s="29"/>
    </row>
    <row r="67" spans="1:20" s="38" customFormat="1" x14ac:dyDescent="0.25">
      <c r="A67" s="72"/>
      <c r="B67" s="341"/>
      <c r="C67" s="246" t="s">
        <v>80</v>
      </c>
      <c r="D67" s="83"/>
      <c r="E67" s="83"/>
      <c r="F67" s="4">
        <v>2022</v>
      </c>
      <c r="G67" s="4">
        <v>2023</v>
      </c>
      <c r="H67" s="4">
        <f>G67+1</f>
        <v>2024</v>
      </c>
      <c r="I67" s="4">
        <f>H67+1</f>
        <v>2025</v>
      </c>
      <c r="J67" s="39"/>
      <c r="K67" s="337"/>
      <c r="L67" s="337"/>
      <c r="M67" s="99" t="s">
        <v>817</v>
      </c>
      <c r="N67" s="99" t="s">
        <v>818</v>
      </c>
      <c r="O67" s="99" t="s">
        <v>819</v>
      </c>
      <c r="P67" s="28"/>
    </row>
    <row r="68" spans="1:20" s="38" customFormat="1" x14ac:dyDescent="0.25">
      <c r="A68" s="78" t="s">
        <v>81</v>
      </c>
      <c r="B68" s="78" t="str">
        <f t="shared" ref="B68:B90" si="4">IF(L68,K68&amp;L68,"")</f>
        <v>OV1</v>
      </c>
      <c r="C68" s="245" t="s">
        <v>82</v>
      </c>
      <c r="D68" s="72" t="s">
        <v>661</v>
      </c>
      <c r="E68" s="79" t="s">
        <v>84</v>
      </c>
      <c r="F68" s="90">
        <v>6680</v>
      </c>
      <c r="G68" s="90">
        <v>13556</v>
      </c>
      <c r="H68" s="90">
        <v>13921</v>
      </c>
      <c r="I68" s="90">
        <v>13921</v>
      </c>
      <c r="J68" s="402" t="s">
        <v>922</v>
      </c>
      <c r="K68" s="28" t="s">
        <v>663</v>
      </c>
      <c r="L68" s="38">
        <v>1</v>
      </c>
      <c r="M68" s="99" t="str">
        <f t="shared" ref="M68" si="5">IF(E68="VEDTATT","VEDTATT",0)</f>
        <v>VEDTATT</v>
      </c>
      <c r="N68" s="99">
        <f>IF(E68="MÅ","Nye tiltak",0)</f>
        <v>0</v>
      </c>
      <c r="O68" s="99"/>
      <c r="P68" s="28"/>
      <c r="Q68" s="95"/>
      <c r="R68" s="95"/>
      <c r="S68" s="95"/>
      <c r="T68" s="95"/>
    </row>
    <row r="69" spans="1:20" s="38" customFormat="1" x14ac:dyDescent="0.25">
      <c r="A69" s="78" t="s">
        <v>81</v>
      </c>
      <c r="B69" s="78" t="str">
        <f t="shared" si="4"/>
        <v>OV2</v>
      </c>
      <c r="C69" s="245" t="s">
        <v>86</v>
      </c>
      <c r="D69" s="72" t="s">
        <v>661</v>
      </c>
      <c r="E69" s="79" t="s">
        <v>84</v>
      </c>
      <c r="F69" s="90">
        <v>1335</v>
      </c>
      <c r="G69" s="90">
        <v>2710</v>
      </c>
      <c r="H69" s="90">
        <v>2782</v>
      </c>
      <c r="I69" s="90">
        <v>2782</v>
      </c>
      <c r="J69" s="402" t="s">
        <v>922</v>
      </c>
      <c r="K69" s="28" t="s">
        <v>663</v>
      </c>
      <c r="L69" s="38">
        <f>L68+1</f>
        <v>2</v>
      </c>
      <c r="M69" s="99" t="str">
        <f>IF(E69="VEDTATT","VEDTATT",0)</f>
        <v>VEDTATT</v>
      </c>
      <c r="N69" s="99">
        <f>IF(E69="MÅ","Nye tiltak",0)</f>
        <v>0</v>
      </c>
      <c r="O69" s="99"/>
      <c r="P69" s="28"/>
      <c r="R69" s="95"/>
      <c r="S69" s="95"/>
      <c r="T69" s="95"/>
    </row>
    <row r="70" spans="1:20" s="38" customFormat="1" x14ac:dyDescent="0.25">
      <c r="A70" s="78" t="s">
        <v>81</v>
      </c>
      <c r="B70" s="78" t="str">
        <f t="shared" si="4"/>
        <v>OV3</v>
      </c>
      <c r="C70" s="245" t="s">
        <v>88</v>
      </c>
      <c r="D70" s="72" t="s">
        <v>664</v>
      </c>
      <c r="E70" s="79" t="s">
        <v>84</v>
      </c>
      <c r="F70" s="90"/>
      <c r="G70" s="90"/>
      <c r="H70" s="90">
        <v>-852</v>
      </c>
      <c r="I70" s="90">
        <v>-852</v>
      </c>
      <c r="J70" s="403"/>
      <c r="K70" s="28" t="s">
        <v>663</v>
      </c>
      <c r="L70" s="38">
        <f t="shared" ref="L70:L90" si="6">L69+1</f>
        <v>3</v>
      </c>
      <c r="M70" s="99" t="str">
        <f>IF(E70="VEDTATT","VEDTATT",0)</f>
        <v>VEDTATT</v>
      </c>
      <c r="N70" s="99">
        <f>IF(E70="MÅ","Nye tiltak",0)</f>
        <v>0</v>
      </c>
      <c r="O70" s="253"/>
      <c r="P70" s="28"/>
    </row>
    <row r="71" spans="1:20" s="38" customFormat="1" x14ac:dyDescent="0.2">
      <c r="A71" s="78" t="s">
        <v>81</v>
      </c>
      <c r="B71" s="78" t="str">
        <f t="shared" si="4"/>
        <v>OV4</v>
      </c>
      <c r="C71" s="245" t="s">
        <v>670</v>
      </c>
      <c r="D71" s="72" t="s">
        <v>661</v>
      </c>
      <c r="E71" s="79" t="s">
        <v>84</v>
      </c>
      <c r="F71" s="473">
        <v>20900</v>
      </c>
      <c r="G71" s="473">
        <v>26400</v>
      </c>
      <c r="H71" s="473">
        <v>33700</v>
      </c>
      <c r="I71" s="473">
        <v>33700</v>
      </c>
      <c r="J71" s="403"/>
      <c r="K71" s="28" t="s">
        <v>663</v>
      </c>
      <c r="L71" s="38">
        <f t="shared" si="6"/>
        <v>4</v>
      </c>
      <c r="M71" s="99"/>
      <c r="N71" s="99"/>
      <c r="O71" s="253"/>
      <c r="P71" s="28"/>
    </row>
    <row r="72" spans="1:20" s="38" customFormat="1" x14ac:dyDescent="0.25">
      <c r="A72" s="78" t="s">
        <v>81</v>
      </c>
      <c r="B72" s="78" t="str">
        <f t="shared" ref="B72" si="7">IF(L72,K72&amp;L72,"")</f>
        <v>OV5</v>
      </c>
      <c r="C72" s="245" t="s">
        <v>672</v>
      </c>
      <c r="D72" s="72" t="s">
        <v>661</v>
      </c>
      <c r="E72" s="79" t="s">
        <v>84</v>
      </c>
      <c r="F72" s="90"/>
      <c r="G72" s="90"/>
      <c r="H72" s="90"/>
      <c r="I72" s="90"/>
      <c r="J72" s="403"/>
      <c r="K72" s="28" t="s">
        <v>663</v>
      </c>
      <c r="L72" s="38">
        <f t="shared" si="6"/>
        <v>5</v>
      </c>
      <c r="M72" s="99"/>
      <c r="N72" s="99"/>
      <c r="O72" s="253"/>
      <c r="P72" s="28"/>
    </row>
    <row r="73" spans="1:20" s="38" customFormat="1" x14ac:dyDescent="0.2">
      <c r="A73" s="78" t="s">
        <v>81</v>
      </c>
      <c r="B73" s="78" t="str">
        <f t="shared" si="4"/>
        <v>OV6</v>
      </c>
      <c r="C73" s="245" t="s">
        <v>673</v>
      </c>
      <c r="D73" s="72" t="s">
        <v>661</v>
      </c>
      <c r="E73" s="79" t="s">
        <v>84</v>
      </c>
      <c r="F73" s="472">
        <v>520</v>
      </c>
      <c r="G73" s="472">
        <v>520</v>
      </c>
      <c r="H73" s="472">
        <v>520</v>
      </c>
      <c r="I73" s="472">
        <v>520</v>
      </c>
      <c r="J73" s="403"/>
      <c r="K73" s="28" t="s">
        <v>663</v>
      </c>
      <c r="L73" s="38">
        <f t="shared" si="6"/>
        <v>6</v>
      </c>
      <c r="M73" s="99"/>
      <c r="N73" s="99"/>
      <c r="O73" s="253"/>
      <c r="P73" s="28"/>
    </row>
    <row r="74" spans="1:20" s="38" customFormat="1" x14ac:dyDescent="0.25">
      <c r="A74" s="78" t="s">
        <v>81</v>
      </c>
      <c r="B74" s="78" t="str">
        <f t="shared" si="4"/>
        <v>OV7</v>
      </c>
      <c r="C74" s="245" t="s">
        <v>665</v>
      </c>
      <c r="D74" s="72" t="s">
        <v>664</v>
      </c>
      <c r="E74" s="79" t="s">
        <v>84</v>
      </c>
      <c r="F74" s="90"/>
      <c r="G74" s="90">
        <v>-2300</v>
      </c>
      <c r="H74" s="90">
        <v>-2300</v>
      </c>
      <c r="I74" s="90">
        <v>-2300</v>
      </c>
      <c r="J74" s="402"/>
      <c r="K74" s="28" t="s">
        <v>663</v>
      </c>
      <c r="L74" s="38">
        <f t="shared" si="6"/>
        <v>7</v>
      </c>
      <c r="M74" s="99"/>
      <c r="N74" s="99"/>
      <c r="O74" s="253"/>
      <c r="P74" s="28"/>
    </row>
    <row r="75" spans="1:20" s="38" customFormat="1" x14ac:dyDescent="0.25">
      <c r="A75" s="78" t="s">
        <v>81</v>
      </c>
      <c r="B75" s="78" t="str">
        <f t="shared" si="4"/>
        <v>OV8</v>
      </c>
      <c r="C75" s="245" t="s">
        <v>668</v>
      </c>
      <c r="D75" s="72" t="s">
        <v>661</v>
      </c>
      <c r="E75" s="79" t="s">
        <v>84</v>
      </c>
      <c r="F75" s="90">
        <v>143</v>
      </c>
      <c r="G75" s="90">
        <v>292</v>
      </c>
      <c r="H75" s="90">
        <v>300</v>
      </c>
      <c r="I75" s="90">
        <v>300</v>
      </c>
      <c r="J75" s="402" t="s">
        <v>922</v>
      </c>
      <c r="K75" s="28" t="s">
        <v>663</v>
      </c>
      <c r="L75" s="38">
        <f t="shared" si="6"/>
        <v>8</v>
      </c>
      <c r="M75" s="99" t="str">
        <f>IF(E75="VEDTATT","VEDTATT",0)</f>
        <v>VEDTATT</v>
      </c>
      <c r="N75" s="99">
        <f>IF(E75="MÅ","Nye tiltak",0)</f>
        <v>0</v>
      </c>
      <c r="O75" s="99"/>
      <c r="P75" s="28"/>
    </row>
    <row r="76" spans="1:20" x14ac:dyDescent="0.25">
      <c r="A76" s="78" t="s">
        <v>81</v>
      </c>
      <c r="B76" s="78" t="str">
        <f t="shared" si="4"/>
        <v>OV9</v>
      </c>
      <c r="C76" s="245" t="s">
        <v>923</v>
      </c>
      <c r="D76" s="72" t="s">
        <v>91</v>
      </c>
      <c r="E76" s="79"/>
      <c r="F76" s="390">
        <v>12258</v>
      </c>
      <c r="G76" s="390">
        <v>12258</v>
      </c>
      <c r="H76" s="110">
        <v>12258</v>
      </c>
      <c r="I76" s="110">
        <v>12258</v>
      </c>
      <c r="J76" s="94" t="s">
        <v>924</v>
      </c>
      <c r="K76" s="28" t="s">
        <v>663</v>
      </c>
      <c r="L76" s="38">
        <f t="shared" si="6"/>
        <v>9</v>
      </c>
    </row>
    <row r="77" spans="1:20" x14ac:dyDescent="0.25">
      <c r="A77" s="78" t="s">
        <v>81</v>
      </c>
      <c r="B77" s="78" t="str">
        <f t="shared" si="4"/>
        <v>OV10</v>
      </c>
      <c r="C77" s="429" t="s">
        <v>851</v>
      </c>
      <c r="D77" s="72" t="s">
        <v>91</v>
      </c>
      <c r="E77" s="230" t="s">
        <v>24</v>
      </c>
      <c r="F77" s="390">
        <v>2100</v>
      </c>
      <c r="G77" s="110">
        <v>2100</v>
      </c>
      <c r="H77" s="110">
        <v>2100</v>
      </c>
      <c r="I77" s="110">
        <v>2100</v>
      </c>
      <c r="J77" s="94" t="s">
        <v>852</v>
      </c>
      <c r="K77" s="28" t="s">
        <v>663</v>
      </c>
      <c r="L77" s="38">
        <f t="shared" si="6"/>
        <v>10</v>
      </c>
    </row>
    <row r="78" spans="1:20" x14ac:dyDescent="0.25">
      <c r="A78" s="78" t="s">
        <v>81</v>
      </c>
      <c r="B78" s="78" t="str">
        <f t="shared" si="4"/>
        <v>OV11</v>
      </c>
      <c r="C78" s="429" t="s">
        <v>853</v>
      </c>
      <c r="D78" s="72" t="s">
        <v>91</v>
      </c>
      <c r="E78" s="230"/>
      <c r="J78" s="94" t="s">
        <v>854</v>
      </c>
      <c r="K78" s="28" t="s">
        <v>663</v>
      </c>
      <c r="L78" s="38">
        <f t="shared" si="6"/>
        <v>11</v>
      </c>
    </row>
    <row r="79" spans="1:20" s="38" customFormat="1" x14ac:dyDescent="0.25">
      <c r="A79" s="78"/>
      <c r="B79" s="78" t="str">
        <f t="shared" si="4"/>
        <v>OV12</v>
      </c>
      <c r="C79" s="245"/>
      <c r="D79" s="79"/>
      <c r="E79" s="79"/>
      <c r="F79" s="90"/>
      <c r="G79" s="90"/>
      <c r="H79" s="90"/>
      <c r="I79" s="90"/>
      <c r="J79" s="402"/>
      <c r="K79" s="28" t="s">
        <v>663</v>
      </c>
      <c r="L79" s="38">
        <f t="shared" si="6"/>
        <v>12</v>
      </c>
      <c r="M79" s="99"/>
      <c r="N79" s="99"/>
      <c r="O79" s="253"/>
      <c r="P79" s="28"/>
    </row>
    <row r="80" spans="1:20" x14ac:dyDescent="0.25">
      <c r="B80" s="78" t="str">
        <f t="shared" si="4"/>
        <v>OV13</v>
      </c>
      <c r="J80" s="94"/>
      <c r="K80" s="28" t="s">
        <v>663</v>
      </c>
      <c r="L80" s="38">
        <f t="shared" si="6"/>
        <v>13</v>
      </c>
    </row>
    <row r="81" spans="1:16" s="38" customFormat="1" x14ac:dyDescent="0.25">
      <c r="A81" s="78"/>
      <c r="B81" s="78" t="str">
        <f t="shared" si="4"/>
        <v>OV14</v>
      </c>
      <c r="C81" s="245"/>
      <c r="D81" s="72"/>
      <c r="E81" s="79"/>
      <c r="F81" s="90"/>
      <c r="G81" s="90"/>
      <c r="H81" s="90"/>
      <c r="I81" s="90"/>
      <c r="J81" s="402"/>
      <c r="K81" s="28" t="s">
        <v>663</v>
      </c>
      <c r="L81" s="38">
        <f t="shared" si="6"/>
        <v>14</v>
      </c>
      <c r="M81" s="99"/>
      <c r="N81" s="99"/>
      <c r="O81" s="253"/>
      <c r="P81" s="28"/>
    </row>
    <row r="82" spans="1:16" s="38" customFormat="1" x14ac:dyDescent="0.25">
      <c r="A82" s="78"/>
      <c r="B82" s="78" t="str">
        <f t="shared" si="4"/>
        <v>OV15</v>
      </c>
      <c r="C82" s="245"/>
      <c r="D82" s="72"/>
      <c r="E82" s="79"/>
      <c r="F82" s="90"/>
      <c r="G82" s="90"/>
      <c r="H82" s="90"/>
      <c r="I82" s="90"/>
      <c r="J82" s="403"/>
      <c r="K82" s="28" t="s">
        <v>663</v>
      </c>
      <c r="L82" s="38">
        <f t="shared" si="6"/>
        <v>15</v>
      </c>
      <c r="M82" s="99">
        <f>IF(E82="VEDTATT","VEDTATT",0)</f>
        <v>0</v>
      </c>
      <c r="N82" s="99">
        <f>IF(E82="MÅ","Nye tiltak",0)</f>
        <v>0</v>
      </c>
      <c r="O82" s="253"/>
      <c r="P82" s="28"/>
    </row>
    <row r="83" spans="1:16" s="38" customFormat="1" x14ac:dyDescent="0.25">
      <c r="A83" s="78"/>
      <c r="B83" s="78" t="str">
        <f t="shared" si="4"/>
        <v>OV16</v>
      </c>
      <c r="C83" s="343"/>
      <c r="D83" s="288"/>
      <c r="E83" s="288"/>
      <c r="F83" s="251"/>
      <c r="G83" s="251"/>
      <c r="H83" s="251"/>
      <c r="I83" s="251"/>
      <c r="J83" s="403"/>
      <c r="K83" s="28" t="s">
        <v>663</v>
      </c>
      <c r="L83" s="38">
        <f t="shared" si="6"/>
        <v>16</v>
      </c>
      <c r="M83" s="99"/>
      <c r="N83" s="99"/>
      <c r="O83" s="253"/>
      <c r="P83" s="28"/>
    </row>
    <row r="84" spans="1:16" s="38" customFormat="1" x14ac:dyDescent="0.25">
      <c r="B84" s="78" t="str">
        <f t="shared" si="4"/>
        <v>OV17</v>
      </c>
      <c r="C84" s="82"/>
      <c r="D84" s="288"/>
      <c r="E84" s="288"/>
      <c r="F84" s="251"/>
      <c r="G84" s="251"/>
      <c r="H84" s="251"/>
      <c r="I84" s="251"/>
      <c r="J84" s="209"/>
      <c r="K84" s="28" t="s">
        <v>663</v>
      </c>
      <c r="L84" s="38">
        <f t="shared" si="6"/>
        <v>17</v>
      </c>
    </row>
    <row r="85" spans="1:16" s="38" customFormat="1" x14ac:dyDescent="0.25">
      <c r="A85" s="78"/>
      <c r="B85" s="78" t="str">
        <f t="shared" si="4"/>
        <v>OV18</v>
      </c>
      <c r="D85" s="247"/>
      <c r="E85" s="247"/>
      <c r="F85" s="74"/>
      <c r="G85" s="74"/>
      <c r="H85" s="74"/>
      <c r="I85" s="74"/>
      <c r="J85" s="209"/>
      <c r="K85" s="28" t="s">
        <v>663</v>
      </c>
      <c r="L85" s="38">
        <f t="shared" si="6"/>
        <v>18</v>
      </c>
      <c r="M85" s="99"/>
      <c r="N85" s="99"/>
      <c r="O85" s="99"/>
    </row>
    <row r="86" spans="1:16" x14ac:dyDescent="0.25">
      <c r="B86" s="78" t="str">
        <f t="shared" si="4"/>
        <v>OV19</v>
      </c>
      <c r="J86" s="94"/>
      <c r="K86" s="28" t="s">
        <v>663</v>
      </c>
      <c r="L86" s="38">
        <f t="shared" si="6"/>
        <v>19</v>
      </c>
    </row>
    <row r="87" spans="1:16" s="38" customFormat="1" x14ac:dyDescent="0.25">
      <c r="A87" s="244"/>
      <c r="B87" s="78" t="str">
        <f t="shared" si="4"/>
        <v>OV20</v>
      </c>
      <c r="C87" s="245"/>
      <c r="D87" s="72"/>
      <c r="E87" s="111"/>
      <c r="F87" s="110"/>
      <c r="G87" s="110"/>
      <c r="H87" s="110"/>
      <c r="I87" s="110"/>
      <c r="J87" s="402"/>
      <c r="K87" s="28" t="s">
        <v>663</v>
      </c>
      <c r="L87" s="38">
        <f t="shared" si="6"/>
        <v>20</v>
      </c>
      <c r="M87" s="99"/>
      <c r="N87" s="99"/>
      <c r="O87" s="99"/>
      <c r="P87" s="28"/>
    </row>
    <row r="88" spans="1:16" s="38" customFormat="1" x14ac:dyDescent="0.25">
      <c r="A88" s="244"/>
      <c r="B88" s="78" t="str">
        <f t="shared" si="4"/>
        <v>OV21</v>
      </c>
      <c r="C88" s="245"/>
      <c r="D88" s="72"/>
      <c r="E88" s="111"/>
      <c r="F88"/>
      <c r="G88"/>
      <c r="H88"/>
      <c r="I88"/>
      <c r="J88" s="209"/>
      <c r="K88" s="28" t="s">
        <v>663</v>
      </c>
      <c r="L88" s="38">
        <f t="shared" si="6"/>
        <v>21</v>
      </c>
      <c r="M88" s="99">
        <f>IF(E88="VEDTATT","VEDTATT",0)</f>
        <v>0</v>
      </c>
      <c r="N88" s="99">
        <f>IF(E88="MÅ","Nye tiltak",0)</f>
        <v>0</v>
      </c>
      <c r="O88" s="99"/>
      <c r="P88" s="28"/>
    </row>
    <row r="89" spans="1:16" s="38" customFormat="1" x14ac:dyDescent="0.25">
      <c r="A89" s="244"/>
      <c r="B89" s="78" t="str">
        <f t="shared" si="4"/>
        <v>OV22</v>
      </c>
      <c r="C89" s="245"/>
      <c r="D89" s="72"/>
      <c r="E89" s="111"/>
      <c r="F89"/>
      <c r="G89"/>
      <c r="H89"/>
      <c r="I89"/>
      <c r="J89" s="209"/>
      <c r="K89" s="28" t="s">
        <v>663</v>
      </c>
      <c r="L89" s="38">
        <f t="shared" si="6"/>
        <v>22</v>
      </c>
      <c r="M89" s="99">
        <f>IF(E89="VEDTATT","VEDTATT",0)</f>
        <v>0</v>
      </c>
      <c r="N89" s="99">
        <f>IF(E89="MÅ","Nye tiltak",0)</f>
        <v>0</v>
      </c>
      <c r="O89" s="99"/>
      <c r="P89" s="28"/>
    </row>
    <row r="90" spans="1:16" s="38" customFormat="1" x14ac:dyDescent="0.25">
      <c r="A90" s="244"/>
      <c r="B90" s="78" t="str">
        <f t="shared" si="4"/>
        <v>OV23</v>
      </c>
      <c r="C90" s="245"/>
      <c r="D90" s="214"/>
      <c r="E90" s="214"/>
      <c r="F90" s="110"/>
      <c r="G90" s="110"/>
      <c r="H90" s="110"/>
      <c r="I90" s="110"/>
      <c r="J90" s="402"/>
      <c r="K90" s="28" t="s">
        <v>663</v>
      </c>
      <c r="L90" s="38">
        <f t="shared" si="6"/>
        <v>23</v>
      </c>
      <c r="M90" s="99"/>
      <c r="N90" s="99"/>
      <c r="O90" s="99"/>
      <c r="P90" s="28"/>
    </row>
    <row r="91" spans="1:16" s="38" customFormat="1" x14ac:dyDescent="0.25">
      <c r="A91" s="48"/>
      <c r="B91" s="48"/>
      <c r="C91" s="13"/>
      <c r="D91" s="50"/>
      <c r="E91" s="50"/>
      <c r="F91" s="58"/>
      <c r="G91" s="58"/>
      <c r="H91" s="58"/>
      <c r="I91" s="58"/>
      <c r="J91" s="209"/>
      <c r="M91" s="99"/>
      <c r="N91" s="99"/>
      <c r="O91" s="99"/>
      <c r="P91" s="28"/>
    </row>
    <row r="92" spans="1:16" s="1" customFormat="1" x14ac:dyDescent="0.25">
      <c r="A92" s="44"/>
      <c r="B92" s="44"/>
      <c r="C92" s="16" t="s">
        <v>112</v>
      </c>
      <c r="D92" s="50"/>
      <c r="E92" s="50"/>
      <c r="F92" s="4">
        <f>F67</f>
        <v>2022</v>
      </c>
      <c r="G92" s="4">
        <f>F92+1</f>
        <v>2023</v>
      </c>
      <c r="H92" s="4">
        <f>G92+1</f>
        <v>2024</v>
      </c>
      <c r="I92" s="4">
        <f>H92+1</f>
        <v>2025</v>
      </c>
      <c r="J92" s="209"/>
      <c r="K92" s="337"/>
      <c r="L92" s="337"/>
      <c r="M92" s="99"/>
      <c r="N92" s="99"/>
      <c r="O92" s="99"/>
      <c r="P92" s="29"/>
    </row>
    <row r="93" spans="1:16" s="38" customFormat="1" x14ac:dyDescent="0.25">
      <c r="A93" s="78" t="s">
        <v>81</v>
      </c>
      <c r="B93" s="78" t="str">
        <f t="shared" ref="B93:B103" si="8">IF(L93,K93&amp;L93,"")</f>
        <v>OV24</v>
      </c>
      <c r="C93" s="245" t="s">
        <v>675</v>
      </c>
      <c r="D93" s="72" t="s">
        <v>664</v>
      </c>
      <c r="E93" s="79" t="s">
        <v>84</v>
      </c>
      <c r="F93" s="418"/>
      <c r="G93" s="418"/>
      <c r="H93" s="418">
        <f>I93/12*5</f>
        <v>6666.6666666666661</v>
      </c>
      <c r="I93" s="418">
        <v>16000</v>
      </c>
      <c r="J93" s="257" t="s">
        <v>925</v>
      </c>
      <c r="K93" s="28" t="s">
        <v>663</v>
      </c>
      <c r="L93" s="28">
        <f>L90+1</f>
        <v>24</v>
      </c>
      <c r="M93" s="99" t="str">
        <f>IF(E93="VEDTATT","VEDTATT",0)</f>
        <v>VEDTATT</v>
      </c>
      <c r="N93" s="99">
        <f>IF(E93="MÅ","Nye tiltak",0)</f>
        <v>0</v>
      </c>
      <c r="O93" s="99"/>
      <c r="P93" s="28"/>
    </row>
    <row r="94" spans="1:16" s="38" customFormat="1" x14ac:dyDescent="0.25">
      <c r="A94" s="78" t="s">
        <v>81</v>
      </c>
      <c r="B94" s="78" t="str">
        <f t="shared" si="8"/>
        <v>OV25</v>
      </c>
      <c r="C94" s="245" t="s">
        <v>677</v>
      </c>
      <c r="D94" s="72" t="s">
        <v>664</v>
      </c>
      <c r="E94" s="79" t="s">
        <v>84</v>
      </c>
      <c r="F94" s="418"/>
      <c r="G94" s="418"/>
      <c r="H94" s="418">
        <f>I94/12*5</f>
        <v>-1332.0833333333335</v>
      </c>
      <c r="I94" s="418">
        <v>-3197</v>
      </c>
      <c r="J94" s="257" t="s">
        <v>926</v>
      </c>
      <c r="K94" s="28" t="s">
        <v>663</v>
      </c>
      <c r="L94" s="28">
        <f t="shared" ref="L94:L102" si="9">L93+1</f>
        <v>25</v>
      </c>
      <c r="M94" s="99" t="str">
        <f>IF(E94="VEDTATT","VEDTATT",0)</f>
        <v>VEDTATT</v>
      </c>
      <c r="N94" s="99">
        <f>IF(E94="MÅ","Nye tiltak",0)</f>
        <v>0</v>
      </c>
      <c r="O94" s="99"/>
      <c r="P94" s="28"/>
    </row>
    <row r="95" spans="1:16" s="38" customFormat="1" x14ac:dyDescent="0.25">
      <c r="A95" s="78" t="s">
        <v>81</v>
      </c>
      <c r="B95" s="78" t="str">
        <f t="shared" si="8"/>
        <v>OV26</v>
      </c>
      <c r="C95" s="245" t="s">
        <v>679</v>
      </c>
      <c r="D95" s="72" t="s">
        <v>664</v>
      </c>
      <c r="E95" s="79" t="s">
        <v>84</v>
      </c>
      <c r="F95" s="418">
        <v>-5390</v>
      </c>
      <c r="G95" s="418">
        <v>-5390</v>
      </c>
      <c r="H95" s="418">
        <v>-5390</v>
      </c>
      <c r="I95" s="418">
        <v>-5390</v>
      </c>
      <c r="J95" s="342"/>
      <c r="K95" s="28" t="s">
        <v>663</v>
      </c>
      <c r="L95" s="28">
        <f t="shared" si="9"/>
        <v>26</v>
      </c>
      <c r="M95" s="99" t="str">
        <f>IF(E95="VEDTATT","VEDTATT",0)</f>
        <v>VEDTATT</v>
      </c>
      <c r="N95" s="99">
        <f>IF(E95="MÅ","Nye tiltak",0)</f>
        <v>0</v>
      </c>
      <c r="O95" s="99"/>
      <c r="P95" s="28"/>
    </row>
    <row r="96" spans="1:16" s="38" customFormat="1" x14ac:dyDescent="0.25">
      <c r="A96" s="78" t="s">
        <v>81</v>
      </c>
      <c r="B96" s="78" t="str">
        <f t="shared" si="8"/>
        <v>OV27</v>
      </c>
      <c r="C96" s="245" t="s">
        <v>855</v>
      </c>
      <c r="D96" s="72" t="s">
        <v>664</v>
      </c>
      <c r="E96" s="79" t="s">
        <v>84</v>
      </c>
      <c r="F96" s="90"/>
      <c r="G96" s="90"/>
      <c r="H96" s="90"/>
      <c r="I96" s="90"/>
      <c r="J96" s="209"/>
      <c r="K96" s="28" t="s">
        <v>663</v>
      </c>
      <c r="L96" s="28">
        <f t="shared" si="9"/>
        <v>27</v>
      </c>
      <c r="M96" s="99" t="str">
        <f>IF(E96="VEDTATT","VEDTATT",0)</f>
        <v>VEDTATT</v>
      </c>
      <c r="N96" s="99">
        <f>IF(E96="MÅ","Nye tiltak",0)</f>
        <v>0</v>
      </c>
      <c r="O96" s="99"/>
      <c r="P96" s="28"/>
    </row>
    <row r="97" spans="1:21" s="38" customFormat="1" x14ac:dyDescent="0.25">
      <c r="A97" s="78" t="s">
        <v>81</v>
      </c>
      <c r="B97" s="78" t="str">
        <f t="shared" si="8"/>
        <v>OV28</v>
      </c>
      <c r="C97" s="245" t="s">
        <v>113</v>
      </c>
      <c r="D97" s="79" t="s">
        <v>661</v>
      </c>
      <c r="E97" s="79" t="s">
        <v>84</v>
      </c>
      <c r="F97" s="413">
        <v>19000</v>
      </c>
      <c r="G97" s="413">
        <v>19000</v>
      </c>
      <c r="H97" s="413">
        <v>19000</v>
      </c>
      <c r="I97" s="413">
        <v>19000</v>
      </c>
      <c r="J97" s="257" t="s">
        <v>927</v>
      </c>
      <c r="K97" s="28" t="s">
        <v>663</v>
      </c>
      <c r="L97" s="28">
        <f t="shared" si="9"/>
        <v>28</v>
      </c>
      <c r="M97" s="99"/>
      <c r="N97" s="99"/>
      <c r="O97" s="99"/>
      <c r="P97" s="28"/>
    </row>
    <row r="98" spans="1:21" s="38" customFormat="1" x14ac:dyDescent="0.25">
      <c r="A98" s="78" t="s">
        <v>81</v>
      </c>
      <c r="B98" s="78" t="str">
        <f t="shared" si="8"/>
        <v>OV29</v>
      </c>
      <c r="C98" s="343"/>
      <c r="D98" s="288"/>
      <c r="E98" s="288"/>
      <c r="F98" s="251"/>
      <c r="G98" s="251"/>
      <c r="H98" s="251"/>
      <c r="I98" s="251"/>
      <c r="J98" s="342"/>
      <c r="K98" s="28" t="s">
        <v>663</v>
      </c>
      <c r="L98" s="28">
        <f t="shared" si="9"/>
        <v>29</v>
      </c>
      <c r="M98" s="99"/>
      <c r="N98" s="99"/>
      <c r="O98" s="99"/>
      <c r="P98" s="28"/>
    </row>
    <row r="99" spans="1:21" s="38" customFormat="1" x14ac:dyDescent="0.25">
      <c r="A99" s="78" t="s">
        <v>81</v>
      </c>
      <c r="B99" s="78" t="str">
        <f t="shared" si="8"/>
        <v>OV30</v>
      </c>
      <c r="C99" s="343"/>
      <c r="D99" s="288"/>
      <c r="E99" s="288"/>
      <c r="F99" s="251"/>
      <c r="G99" s="251"/>
      <c r="H99" s="251"/>
      <c r="I99" s="251"/>
      <c r="J99" s="342"/>
      <c r="K99" s="28" t="s">
        <v>663</v>
      </c>
      <c r="L99" s="28">
        <f t="shared" si="9"/>
        <v>30</v>
      </c>
      <c r="M99" s="99"/>
      <c r="N99" s="99"/>
      <c r="O99" s="99"/>
      <c r="P99" s="28"/>
    </row>
    <row r="100" spans="1:21" s="38" customFormat="1" x14ac:dyDescent="0.25">
      <c r="A100" s="78" t="s">
        <v>81</v>
      </c>
      <c r="B100" s="78" t="str">
        <f t="shared" si="8"/>
        <v>OV31</v>
      </c>
      <c r="C100" s="343"/>
      <c r="D100" s="288"/>
      <c r="E100" s="288"/>
      <c r="F100" s="251"/>
      <c r="G100" s="251"/>
      <c r="H100" s="251"/>
      <c r="I100" s="251"/>
      <c r="J100" s="342"/>
      <c r="K100" s="28" t="s">
        <v>663</v>
      </c>
      <c r="L100" s="28">
        <f t="shared" si="9"/>
        <v>31</v>
      </c>
      <c r="M100" s="99"/>
      <c r="N100" s="99"/>
      <c r="O100" s="99"/>
      <c r="P100" s="28"/>
    </row>
    <row r="101" spans="1:21" s="38" customFormat="1" x14ac:dyDescent="0.25">
      <c r="A101" s="78" t="s">
        <v>81</v>
      </c>
      <c r="B101" s="78" t="str">
        <f t="shared" si="8"/>
        <v>OV32</v>
      </c>
      <c r="C101" s="343"/>
      <c r="D101" s="288"/>
      <c r="E101" s="288"/>
      <c r="F101" s="251"/>
      <c r="G101" s="251"/>
      <c r="H101" s="251"/>
      <c r="I101" s="251"/>
      <c r="J101" s="342"/>
      <c r="K101" s="28" t="s">
        <v>663</v>
      </c>
      <c r="L101" s="28">
        <f t="shared" si="9"/>
        <v>32</v>
      </c>
      <c r="M101" s="99"/>
      <c r="N101" s="99"/>
      <c r="O101" s="99"/>
      <c r="P101" s="28"/>
    </row>
    <row r="102" spans="1:21" s="38" customFormat="1" x14ac:dyDescent="0.25">
      <c r="A102" s="78" t="s">
        <v>81</v>
      </c>
      <c r="B102" s="78" t="str">
        <f t="shared" si="8"/>
        <v>OV33</v>
      </c>
      <c r="C102" s="343"/>
      <c r="D102" s="350"/>
      <c r="E102" s="350"/>
      <c r="F102" s="251"/>
      <c r="G102" s="251"/>
      <c r="H102" s="251"/>
      <c r="I102" s="251"/>
      <c r="J102" s="93"/>
      <c r="K102" s="28" t="s">
        <v>663</v>
      </c>
      <c r="L102" s="28">
        <f t="shared" si="9"/>
        <v>33</v>
      </c>
      <c r="M102" s="99">
        <f>IF(E102="VEDTATT","VEDTATT",0)</f>
        <v>0</v>
      </c>
      <c r="N102" s="99">
        <f>IF(E102="MÅ","Nye tiltak",0)</f>
        <v>0</v>
      </c>
      <c r="O102" s="99"/>
      <c r="P102" s="28"/>
    </row>
    <row r="103" spans="1:21" s="38" customFormat="1" x14ac:dyDescent="0.25">
      <c r="A103" s="78"/>
      <c r="B103" s="78" t="str">
        <f t="shared" si="8"/>
        <v/>
      </c>
      <c r="C103" s="245"/>
      <c r="J103" s="93"/>
      <c r="K103" s="28" t="s">
        <v>663</v>
      </c>
      <c r="L103" s="28"/>
      <c r="M103" s="99">
        <f>IF(E103="VEDTATT","VEDTATT",0)</f>
        <v>0</v>
      </c>
      <c r="N103" s="99">
        <f>IF(E103="MÅ","Nye tiltak",0)</f>
        <v>0</v>
      </c>
      <c r="O103" s="99"/>
      <c r="P103" s="28"/>
    </row>
    <row r="104" spans="1:21" s="38" customFormat="1" x14ac:dyDescent="0.25">
      <c r="A104" s="78"/>
      <c r="B104" s="78"/>
      <c r="C104" s="82" t="s">
        <v>117</v>
      </c>
      <c r="D104" s="96"/>
      <c r="E104" s="71"/>
      <c r="F104" s="4">
        <f>F92</f>
        <v>2022</v>
      </c>
      <c r="G104" s="4">
        <f>F104+1</f>
        <v>2023</v>
      </c>
      <c r="H104" s="4">
        <f>G104+1</f>
        <v>2024</v>
      </c>
      <c r="I104" s="4">
        <f>H104+1</f>
        <v>2025</v>
      </c>
      <c r="J104" s="209"/>
      <c r="K104" s="337"/>
      <c r="L104" s="337"/>
      <c r="M104" s="99"/>
      <c r="N104" s="99"/>
      <c r="O104" s="99"/>
      <c r="P104" s="28"/>
      <c r="Q104" s="2"/>
      <c r="R104" s="2"/>
      <c r="S104" s="2"/>
      <c r="T104" s="2"/>
      <c r="U104" s="2"/>
    </row>
    <row r="105" spans="1:21" s="38" customFormat="1" x14ac:dyDescent="0.25">
      <c r="A105" s="78" t="s">
        <v>81</v>
      </c>
      <c r="B105" s="78" t="str">
        <f t="shared" ref="B105:B123" si="10">IF(L105,K105&amp;L105,"")</f>
        <v>OV34</v>
      </c>
      <c r="C105" s="245" t="s">
        <v>822</v>
      </c>
      <c r="D105" s="72" t="s">
        <v>664</v>
      </c>
      <c r="E105" s="111" t="s">
        <v>84</v>
      </c>
      <c r="F105" s="74">
        <v>0</v>
      </c>
      <c r="G105" s="74">
        <v>990</v>
      </c>
      <c r="H105" s="74">
        <v>990</v>
      </c>
      <c r="I105" s="74">
        <v>990</v>
      </c>
      <c r="J105" s="209"/>
      <c r="K105" s="28" t="s">
        <v>663</v>
      </c>
      <c r="L105" s="28">
        <f>L102+1</f>
        <v>34</v>
      </c>
      <c r="M105" s="99" t="str">
        <f>IF(E105="VEDTATT","VEDTATT",0)</f>
        <v>VEDTATT</v>
      </c>
      <c r="N105" s="99">
        <f>IF(E105="MÅ","Nye tiltak",0)</f>
        <v>0</v>
      </c>
      <c r="O105" s="99"/>
      <c r="P105" s="28"/>
    </row>
    <row r="106" spans="1:21" s="38" customFormat="1" x14ac:dyDescent="0.2">
      <c r="A106" s="78" t="s">
        <v>81</v>
      </c>
      <c r="B106" s="78" t="str">
        <f t="shared" si="10"/>
        <v>OV35</v>
      </c>
      <c r="C106" s="245" t="s">
        <v>695</v>
      </c>
      <c r="D106" s="72" t="s">
        <v>661</v>
      </c>
      <c r="E106" s="79" t="s">
        <v>84</v>
      </c>
      <c r="F106" s="473">
        <v>1357</v>
      </c>
      <c r="G106" s="473">
        <v>1357</v>
      </c>
      <c r="H106" s="473">
        <v>1357</v>
      </c>
      <c r="I106" s="473">
        <v>1357</v>
      </c>
      <c r="J106" s="403"/>
      <c r="K106" s="28" t="s">
        <v>663</v>
      </c>
      <c r="L106" s="28">
        <f t="shared" ref="L106:L124" si="11">L105+1</f>
        <v>35</v>
      </c>
      <c r="M106" s="99" t="str">
        <f>IF(E106="VEDTATT","VEDTATT",0)</f>
        <v>VEDTATT</v>
      </c>
      <c r="N106" s="99">
        <f>IF(E106="MÅ","Nye tiltak",0)</f>
        <v>0</v>
      </c>
      <c r="O106" s="99"/>
      <c r="P106" s="28"/>
    </row>
    <row r="107" spans="1:21" s="38" customFormat="1" x14ac:dyDescent="0.2">
      <c r="A107" s="78" t="s">
        <v>81</v>
      </c>
      <c r="B107" s="78" t="str">
        <f t="shared" si="10"/>
        <v>OV36</v>
      </c>
      <c r="C107" s="245" t="s">
        <v>697</v>
      </c>
      <c r="D107" s="72" t="s">
        <v>661</v>
      </c>
      <c r="E107" s="111" t="s">
        <v>84</v>
      </c>
      <c r="F107" s="475">
        <v>1160</v>
      </c>
      <c r="G107" s="475">
        <v>1160</v>
      </c>
      <c r="H107" s="475">
        <v>1160</v>
      </c>
      <c r="I107" s="475">
        <v>1160</v>
      </c>
      <c r="J107" s="403"/>
      <c r="K107" s="28" t="s">
        <v>663</v>
      </c>
      <c r="L107" s="28">
        <f t="shared" si="11"/>
        <v>36</v>
      </c>
      <c r="M107" s="99" t="str">
        <f>IF(E107="VEDTATT","VEDTATT",0)</f>
        <v>VEDTATT</v>
      </c>
      <c r="N107" s="99">
        <f>IF(E107="MÅ","Nye tiltak",0)</f>
        <v>0</v>
      </c>
      <c r="O107" s="99"/>
      <c r="P107" s="28"/>
    </row>
    <row r="108" spans="1:21" s="38" customFormat="1" x14ac:dyDescent="0.25">
      <c r="A108" s="78" t="s">
        <v>81</v>
      </c>
      <c r="B108" s="78" t="str">
        <f t="shared" si="10"/>
        <v>OV37</v>
      </c>
      <c r="C108" s="245" t="s">
        <v>857</v>
      </c>
      <c r="D108" s="72" t="s">
        <v>664</v>
      </c>
      <c r="E108" s="71" t="s">
        <v>84</v>
      </c>
      <c r="F108" s="191"/>
      <c r="G108" s="191">
        <v>-3040</v>
      </c>
      <c r="H108" s="191">
        <v>-3040</v>
      </c>
      <c r="I108" s="191">
        <v>-3040</v>
      </c>
      <c r="J108" s="209" t="s">
        <v>687</v>
      </c>
      <c r="K108" s="28" t="s">
        <v>663</v>
      </c>
      <c r="L108" s="28">
        <f t="shared" si="11"/>
        <v>37</v>
      </c>
      <c r="M108" s="99" t="str">
        <f>IF(E109="VEDTATT","VEDTATT",0)</f>
        <v>VEDTATT</v>
      </c>
      <c r="N108" s="99">
        <f>IF(E109="MÅ","Nye tiltak",0)</f>
        <v>0</v>
      </c>
      <c r="O108" s="99"/>
      <c r="P108" s="28"/>
    </row>
    <row r="109" spans="1:21" s="38" customFormat="1" x14ac:dyDescent="0.25">
      <c r="A109" s="78" t="s">
        <v>81</v>
      </c>
      <c r="B109" s="78" t="str">
        <f t="shared" si="10"/>
        <v>OV38</v>
      </c>
      <c r="C109" s="245" t="s">
        <v>824</v>
      </c>
      <c r="D109" s="72" t="s">
        <v>661</v>
      </c>
      <c r="E109" s="71" t="s">
        <v>84</v>
      </c>
      <c r="F109" s="191"/>
      <c r="G109" s="191"/>
      <c r="H109" s="191"/>
      <c r="I109" s="191"/>
      <c r="J109" s="209"/>
      <c r="K109" s="28" t="s">
        <v>663</v>
      </c>
      <c r="L109" s="28">
        <f t="shared" si="11"/>
        <v>38</v>
      </c>
      <c r="M109" s="99" t="str">
        <f>IF(E110="VEDTATT","VEDTATT",0)</f>
        <v>VEDTATT</v>
      </c>
      <c r="N109" s="99">
        <f>IF(E110="MÅ","Nye tiltak",0)</f>
        <v>0</v>
      </c>
      <c r="O109" s="99"/>
      <c r="P109" s="28"/>
    </row>
    <row r="110" spans="1:21" s="38" customFormat="1" x14ac:dyDescent="0.25">
      <c r="A110" s="78" t="s">
        <v>81</v>
      </c>
      <c r="B110" s="78" t="str">
        <f t="shared" si="10"/>
        <v>OV39</v>
      </c>
      <c r="C110" s="245" t="s">
        <v>826</v>
      </c>
      <c r="D110" s="394" t="s">
        <v>661</v>
      </c>
      <c r="E110" s="395" t="s">
        <v>84</v>
      </c>
      <c r="F110" s="397"/>
      <c r="G110" s="397"/>
      <c r="H110" s="397"/>
      <c r="I110" s="397"/>
      <c r="J110" s="209"/>
      <c r="K110" s="28" t="s">
        <v>663</v>
      </c>
      <c r="L110" s="28">
        <f t="shared" si="11"/>
        <v>39</v>
      </c>
      <c r="M110" s="99"/>
      <c r="N110" s="99"/>
      <c r="O110" s="99"/>
      <c r="P110" s="28"/>
    </row>
    <row r="111" spans="1:21" s="38" customFormat="1" x14ac:dyDescent="0.25">
      <c r="A111" s="78" t="s">
        <v>81</v>
      </c>
      <c r="B111" s="78" t="str">
        <f t="shared" si="10"/>
        <v>OV40</v>
      </c>
      <c r="C111" s="245" t="s">
        <v>928</v>
      </c>
      <c r="D111" s="394" t="s">
        <v>91</v>
      </c>
      <c r="E111" s="401">
        <v>4</v>
      </c>
      <c r="F111" s="397">
        <v>1500</v>
      </c>
      <c r="G111" s="397">
        <f t="shared" ref="G111:I113" si="12">F111</f>
        <v>1500</v>
      </c>
      <c r="H111" s="397">
        <f t="shared" si="12"/>
        <v>1500</v>
      </c>
      <c r="I111" s="397">
        <f t="shared" si="12"/>
        <v>1500</v>
      </c>
      <c r="J111" s="423" t="s">
        <v>929</v>
      </c>
      <c r="K111" s="28" t="s">
        <v>663</v>
      </c>
      <c r="L111" s="28">
        <f>L110+1</f>
        <v>40</v>
      </c>
      <c r="M111" s="99"/>
      <c r="N111" s="99"/>
      <c r="O111" s="99"/>
      <c r="P111" s="28"/>
    </row>
    <row r="112" spans="1:21" s="38" customFormat="1" x14ac:dyDescent="0.25">
      <c r="A112" s="78" t="s">
        <v>81</v>
      </c>
      <c r="B112" s="78" t="str">
        <f t="shared" si="10"/>
        <v>OV41</v>
      </c>
      <c r="C112" s="245" t="s">
        <v>930</v>
      </c>
      <c r="D112" s="394" t="s">
        <v>91</v>
      </c>
      <c r="E112" s="401">
        <v>5</v>
      </c>
      <c r="F112" s="397">
        <v>1500</v>
      </c>
      <c r="G112" s="397">
        <f t="shared" si="12"/>
        <v>1500</v>
      </c>
      <c r="H112" s="397">
        <f t="shared" si="12"/>
        <v>1500</v>
      </c>
      <c r="I112" s="397">
        <f t="shared" si="12"/>
        <v>1500</v>
      </c>
      <c r="J112" s="422"/>
      <c r="K112" s="28" t="s">
        <v>663</v>
      </c>
      <c r="L112" s="28">
        <f t="shared" si="11"/>
        <v>41</v>
      </c>
      <c r="M112" s="99"/>
      <c r="N112" s="99"/>
      <c r="O112" s="99"/>
      <c r="P112" s="28"/>
    </row>
    <row r="113" spans="1:16" s="38" customFormat="1" x14ac:dyDescent="0.25">
      <c r="A113" s="78" t="s">
        <v>81</v>
      </c>
      <c r="B113" s="78" t="str">
        <f t="shared" si="10"/>
        <v>OV42</v>
      </c>
      <c r="C113" s="245" t="s">
        <v>827</v>
      </c>
      <c r="D113" s="394" t="s">
        <v>91</v>
      </c>
      <c r="E113" s="401" t="s">
        <v>24</v>
      </c>
      <c r="F113" s="397">
        <v>1800</v>
      </c>
      <c r="G113" s="397">
        <f>F113</f>
        <v>1800</v>
      </c>
      <c r="H113" s="397">
        <f t="shared" si="12"/>
        <v>1800</v>
      </c>
      <c r="I113" s="397">
        <f t="shared" si="12"/>
        <v>1800</v>
      </c>
      <c r="J113" s="422"/>
      <c r="K113" s="28" t="s">
        <v>663</v>
      </c>
      <c r="L113" s="28">
        <f t="shared" si="11"/>
        <v>42</v>
      </c>
      <c r="M113" s="99"/>
      <c r="N113" s="99"/>
      <c r="O113" s="99"/>
      <c r="P113" s="28"/>
    </row>
    <row r="114" spans="1:16" s="38" customFormat="1" x14ac:dyDescent="0.25">
      <c r="A114" s="78" t="s">
        <v>81</v>
      </c>
      <c r="B114" s="78" t="str">
        <f t="shared" si="10"/>
        <v>OV43</v>
      </c>
      <c r="C114" s="245" t="s">
        <v>828</v>
      </c>
      <c r="D114" s="394" t="s">
        <v>91</v>
      </c>
      <c r="E114" s="401" t="s">
        <v>24</v>
      </c>
      <c r="F114" s="397">
        <v>8000</v>
      </c>
      <c r="G114" s="397">
        <f t="shared" ref="G114:I121" si="13">F114</f>
        <v>8000</v>
      </c>
      <c r="H114" s="397">
        <f t="shared" si="13"/>
        <v>8000</v>
      </c>
      <c r="I114" s="397">
        <f t="shared" si="13"/>
        <v>8000</v>
      </c>
      <c r="J114" s="422"/>
      <c r="K114" s="28" t="s">
        <v>663</v>
      </c>
      <c r="L114" s="28">
        <f t="shared" si="11"/>
        <v>43</v>
      </c>
      <c r="M114" s="99"/>
      <c r="N114" s="99"/>
      <c r="O114" s="99"/>
      <c r="P114" s="28"/>
    </row>
    <row r="115" spans="1:16" s="38" customFormat="1" x14ac:dyDescent="0.25">
      <c r="A115" s="78" t="s">
        <v>81</v>
      </c>
      <c r="B115" s="78" t="str">
        <f t="shared" si="10"/>
        <v>OV44</v>
      </c>
      <c r="C115" s="245" t="s">
        <v>829</v>
      </c>
      <c r="D115" s="394" t="s">
        <v>91</v>
      </c>
      <c r="E115" s="401" t="s">
        <v>24</v>
      </c>
      <c r="F115" s="428">
        <v>25000</v>
      </c>
      <c r="G115" s="428">
        <f t="shared" si="13"/>
        <v>25000</v>
      </c>
      <c r="H115" s="428">
        <f t="shared" si="13"/>
        <v>25000</v>
      </c>
      <c r="I115" s="428">
        <f t="shared" si="13"/>
        <v>25000</v>
      </c>
      <c r="J115" s="423"/>
      <c r="K115" s="28" t="s">
        <v>663</v>
      </c>
      <c r="L115" s="28">
        <f t="shared" si="11"/>
        <v>44</v>
      </c>
      <c r="M115" s="99"/>
      <c r="N115" s="99"/>
      <c r="O115" s="99"/>
      <c r="P115" s="28"/>
    </row>
    <row r="116" spans="1:16" s="38" customFormat="1" x14ac:dyDescent="0.25">
      <c r="A116" s="78" t="s">
        <v>81</v>
      </c>
      <c r="B116" s="78" t="str">
        <f t="shared" si="10"/>
        <v>OV45</v>
      </c>
      <c r="C116" s="245" t="s">
        <v>931</v>
      </c>
      <c r="D116" s="394" t="s">
        <v>91</v>
      </c>
      <c r="E116" s="401">
        <v>3</v>
      </c>
      <c r="F116" s="397">
        <v>2300</v>
      </c>
      <c r="G116" s="397">
        <f t="shared" si="13"/>
        <v>2300</v>
      </c>
      <c r="H116" s="397">
        <f t="shared" si="13"/>
        <v>2300</v>
      </c>
      <c r="I116" s="397">
        <f t="shared" si="13"/>
        <v>2300</v>
      </c>
      <c r="J116" s="423" t="s">
        <v>932</v>
      </c>
      <c r="K116" s="28" t="s">
        <v>663</v>
      </c>
      <c r="L116" s="28">
        <f t="shared" si="11"/>
        <v>45</v>
      </c>
      <c r="M116" s="99"/>
      <c r="N116" s="99"/>
      <c r="O116" s="99"/>
      <c r="P116" s="28"/>
    </row>
    <row r="117" spans="1:16" s="38" customFormat="1" x14ac:dyDescent="0.25">
      <c r="A117" s="78" t="s">
        <v>81</v>
      </c>
      <c r="B117" s="78" t="str">
        <f t="shared" si="10"/>
        <v>OV46</v>
      </c>
      <c r="C117" s="245" t="s">
        <v>933</v>
      </c>
      <c r="D117" s="394" t="s">
        <v>91</v>
      </c>
      <c r="E117" s="401">
        <v>2</v>
      </c>
      <c r="F117" s="397">
        <v>3800</v>
      </c>
      <c r="G117" s="397">
        <f t="shared" si="13"/>
        <v>3800</v>
      </c>
      <c r="H117" s="397">
        <f t="shared" si="13"/>
        <v>3800</v>
      </c>
      <c r="I117" s="397">
        <f t="shared" si="13"/>
        <v>3800</v>
      </c>
      <c r="J117" s="423" t="s">
        <v>934</v>
      </c>
      <c r="K117" s="28" t="s">
        <v>663</v>
      </c>
      <c r="L117" s="28">
        <f t="shared" si="11"/>
        <v>46</v>
      </c>
      <c r="M117" s="99"/>
      <c r="N117" s="99"/>
      <c r="O117" s="99"/>
      <c r="P117" s="28"/>
    </row>
    <row r="118" spans="1:16" s="38" customFormat="1" x14ac:dyDescent="0.25">
      <c r="A118" s="78" t="s">
        <v>81</v>
      </c>
      <c r="B118" s="78" t="str">
        <f t="shared" si="10"/>
        <v>OV47</v>
      </c>
      <c r="C118" s="245" t="s">
        <v>830</v>
      </c>
      <c r="D118" s="394" t="s">
        <v>91</v>
      </c>
      <c r="E118" s="401" t="s">
        <v>24</v>
      </c>
      <c r="F118" s="397">
        <v>1900</v>
      </c>
      <c r="G118" s="397">
        <f t="shared" si="13"/>
        <v>1900</v>
      </c>
      <c r="H118" s="397">
        <f t="shared" si="13"/>
        <v>1900</v>
      </c>
      <c r="I118" s="397">
        <f t="shared" si="13"/>
        <v>1900</v>
      </c>
      <c r="J118" s="423" t="s">
        <v>831</v>
      </c>
      <c r="K118" s="28" t="s">
        <v>663</v>
      </c>
      <c r="L118" s="28">
        <f t="shared" si="11"/>
        <v>47</v>
      </c>
      <c r="M118" s="99"/>
      <c r="N118" s="99"/>
      <c r="O118" s="99"/>
      <c r="P118" s="28"/>
    </row>
    <row r="119" spans="1:16" s="38" customFormat="1" ht="25.5" x14ac:dyDescent="0.25">
      <c r="A119" s="78" t="s">
        <v>81</v>
      </c>
      <c r="B119" s="78" t="str">
        <f t="shared" si="10"/>
        <v>OV48</v>
      </c>
      <c r="C119" s="245" t="s">
        <v>935</v>
      </c>
      <c r="D119" s="394" t="s">
        <v>91</v>
      </c>
      <c r="E119" s="401">
        <v>8</v>
      </c>
      <c r="F119" s="397"/>
      <c r="G119" s="397">
        <f t="shared" si="13"/>
        <v>0</v>
      </c>
      <c r="H119" s="397">
        <f t="shared" si="13"/>
        <v>0</v>
      </c>
      <c r="I119" s="397">
        <f t="shared" si="13"/>
        <v>0</v>
      </c>
      <c r="J119" s="422"/>
      <c r="K119" s="28" t="s">
        <v>663</v>
      </c>
      <c r="L119" s="28">
        <f t="shared" si="11"/>
        <v>48</v>
      </c>
      <c r="M119" s="99"/>
      <c r="N119" s="99"/>
      <c r="O119" s="99"/>
      <c r="P119" s="28"/>
    </row>
    <row r="120" spans="1:16" s="38" customFormat="1" x14ac:dyDescent="0.25">
      <c r="A120" s="78" t="s">
        <v>81</v>
      </c>
      <c r="B120" s="78" t="str">
        <f t="shared" si="10"/>
        <v>OV49</v>
      </c>
      <c r="C120" s="245" t="s">
        <v>858</v>
      </c>
      <c r="D120" s="394" t="s">
        <v>91</v>
      </c>
      <c r="E120" s="401" t="s">
        <v>24</v>
      </c>
      <c r="F120" s="397">
        <v>950</v>
      </c>
      <c r="G120" s="397">
        <v>950</v>
      </c>
      <c r="H120" s="397">
        <v>950</v>
      </c>
      <c r="I120" s="397">
        <v>950</v>
      </c>
      <c r="J120" s="467"/>
      <c r="K120" s="28" t="s">
        <v>663</v>
      </c>
      <c r="L120" s="28">
        <f t="shared" si="11"/>
        <v>49</v>
      </c>
      <c r="M120" s="99"/>
      <c r="N120" s="99"/>
      <c r="O120" s="99"/>
      <c r="P120" s="28"/>
    </row>
    <row r="121" spans="1:16" s="38" customFormat="1" x14ac:dyDescent="0.25">
      <c r="A121" s="78" t="s">
        <v>81</v>
      </c>
      <c r="B121" s="78" t="str">
        <f t="shared" si="10"/>
        <v>OV50</v>
      </c>
      <c r="C121" s="396" t="s">
        <v>689</v>
      </c>
      <c r="D121" s="394" t="s">
        <v>91</v>
      </c>
      <c r="E121" s="401" t="s">
        <v>24</v>
      </c>
      <c r="F121" s="397">
        <v>550</v>
      </c>
      <c r="G121" s="397">
        <f>F121</f>
        <v>550</v>
      </c>
      <c r="H121" s="397">
        <f t="shared" si="13"/>
        <v>550</v>
      </c>
      <c r="I121" s="397">
        <f t="shared" si="13"/>
        <v>550</v>
      </c>
      <c r="J121" s="257" t="s">
        <v>690</v>
      </c>
      <c r="K121" s="28" t="s">
        <v>663</v>
      </c>
      <c r="L121" s="28">
        <f t="shared" si="11"/>
        <v>50</v>
      </c>
      <c r="M121" s="99"/>
      <c r="N121" s="99"/>
      <c r="O121" s="99"/>
      <c r="P121" s="28"/>
    </row>
    <row r="122" spans="1:16" s="38" customFormat="1" x14ac:dyDescent="0.25">
      <c r="A122" s="78" t="s">
        <v>81</v>
      </c>
      <c r="B122" s="78" t="str">
        <f t="shared" si="10"/>
        <v>OV51</v>
      </c>
      <c r="C122" s="396" t="s">
        <v>936</v>
      </c>
      <c r="D122" s="111" t="s">
        <v>91</v>
      </c>
      <c r="E122" s="400">
        <v>1</v>
      </c>
      <c r="F122" s="390">
        <v>770</v>
      </c>
      <c r="G122" s="390">
        <v>770</v>
      </c>
      <c r="H122" s="390">
        <v>770</v>
      </c>
      <c r="I122" s="390">
        <v>770</v>
      </c>
      <c r="J122" s="404"/>
      <c r="K122" s="28" t="s">
        <v>663</v>
      </c>
      <c r="L122" s="28">
        <f t="shared" si="11"/>
        <v>51</v>
      </c>
      <c r="M122" s="99"/>
      <c r="N122" s="99"/>
      <c r="O122" s="99"/>
      <c r="P122" s="28"/>
    </row>
    <row r="123" spans="1:16" s="38" customFormat="1" ht="25.5" x14ac:dyDescent="0.25">
      <c r="A123" s="78" t="s">
        <v>81</v>
      </c>
      <c r="B123" s="78" t="str">
        <f t="shared" si="10"/>
        <v>OV52</v>
      </c>
      <c r="C123" s="396" t="s">
        <v>937</v>
      </c>
      <c r="D123" s="394" t="s">
        <v>91</v>
      </c>
      <c r="E123" s="400">
        <v>1</v>
      </c>
      <c r="F123" s="397">
        <v>2840</v>
      </c>
      <c r="G123" s="397">
        <v>3672</v>
      </c>
      <c r="H123" s="397">
        <v>3672</v>
      </c>
      <c r="I123" s="397">
        <v>3672</v>
      </c>
      <c r="J123" s="209" t="s">
        <v>938</v>
      </c>
      <c r="K123" s="28" t="s">
        <v>663</v>
      </c>
      <c r="L123" s="28">
        <f t="shared" si="11"/>
        <v>52</v>
      </c>
      <c r="M123" s="99"/>
      <c r="N123" s="99"/>
      <c r="O123" s="99"/>
      <c r="P123" s="28"/>
    </row>
    <row r="124" spans="1:16" s="38" customFormat="1" x14ac:dyDescent="0.25">
      <c r="A124" s="244" t="s">
        <v>81</v>
      </c>
      <c r="B124" s="78" t="s">
        <v>939</v>
      </c>
      <c r="C124" s="396" t="s">
        <v>118</v>
      </c>
      <c r="D124" s="394" t="s">
        <v>91</v>
      </c>
      <c r="E124" s="111" t="s">
        <v>24</v>
      </c>
      <c r="F124" s="397">
        <v>5500</v>
      </c>
      <c r="G124" s="397">
        <v>5500</v>
      </c>
      <c r="J124" s="209" t="s">
        <v>691</v>
      </c>
      <c r="K124" s="28" t="s">
        <v>663</v>
      </c>
      <c r="L124" s="28">
        <f t="shared" si="11"/>
        <v>53</v>
      </c>
      <c r="M124" s="99"/>
      <c r="N124" s="99"/>
      <c r="O124" s="99"/>
      <c r="P124" s="28"/>
    </row>
    <row r="125" spans="1:16" s="38" customFormat="1" x14ac:dyDescent="0.25">
      <c r="A125" s="244"/>
      <c r="B125" s="244"/>
      <c r="C125" s="396"/>
      <c r="J125" s="209"/>
      <c r="K125" s="28"/>
      <c r="L125" s="28"/>
      <c r="M125" s="99"/>
      <c r="N125" s="99"/>
      <c r="O125" s="99"/>
      <c r="P125" s="28"/>
    </row>
    <row r="126" spans="1:16" s="38" customFormat="1" x14ac:dyDescent="0.25">
      <c r="A126" s="244"/>
      <c r="B126" s="244"/>
      <c r="C126" s="396"/>
      <c r="J126" s="209"/>
      <c r="K126" s="28"/>
      <c r="L126" s="28"/>
      <c r="M126" s="99"/>
      <c r="N126" s="99"/>
      <c r="O126" s="99"/>
      <c r="P126" s="28"/>
    </row>
    <row r="127" spans="1:16" s="38" customFormat="1" x14ac:dyDescent="0.25">
      <c r="A127" s="244"/>
      <c r="B127" s="244"/>
      <c r="C127" s="396"/>
      <c r="J127" s="209"/>
      <c r="K127" s="28"/>
      <c r="L127" s="28"/>
      <c r="M127" s="99"/>
      <c r="N127" s="99"/>
      <c r="O127" s="99"/>
      <c r="P127" s="28"/>
    </row>
    <row r="128" spans="1:16" s="38" customFormat="1" x14ac:dyDescent="0.25">
      <c r="A128" s="244"/>
      <c r="B128" s="244"/>
      <c r="C128" s="396"/>
      <c r="J128" s="209"/>
      <c r="K128" s="28"/>
      <c r="L128" s="28"/>
      <c r="M128" s="99"/>
      <c r="N128" s="99"/>
      <c r="O128" s="99"/>
      <c r="P128" s="28"/>
    </row>
    <row r="129" spans="1:17" s="38" customFormat="1" x14ac:dyDescent="0.25">
      <c r="A129" s="43"/>
      <c r="B129" s="43" t="s">
        <v>127</v>
      </c>
      <c r="C129" s="3" t="s">
        <v>701</v>
      </c>
      <c r="D129" s="52"/>
      <c r="E129" s="52"/>
      <c r="F129" s="56">
        <f>SUMIF($A:$A,"OPP",F:F)</f>
        <v>116473</v>
      </c>
      <c r="G129" s="56">
        <f>SUMIF($A:$A,"OPP",G:G)</f>
        <v>126855</v>
      </c>
      <c r="H129" s="56">
        <f>SUMIF($A:$A,"OPP",H:H)</f>
        <v>133582.58333333334</v>
      </c>
      <c r="I129" s="56">
        <f>SUMIF($A:$A,"OPP",I:I)</f>
        <v>141051</v>
      </c>
      <c r="J129" s="209"/>
      <c r="K129" s="337"/>
      <c r="L129" s="337"/>
      <c r="M129" s="99"/>
      <c r="N129" s="99"/>
      <c r="O129" s="99"/>
      <c r="P129" s="28"/>
    </row>
    <row r="130" spans="1:17" s="38" customFormat="1" x14ac:dyDescent="0.25">
      <c r="A130" s="47"/>
      <c r="B130" s="47"/>
      <c r="C130" s="11"/>
      <c r="D130" s="49"/>
      <c r="E130" s="49"/>
      <c r="F130" s="57"/>
      <c r="G130" s="57"/>
      <c r="H130" s="57"/>
      <c r="I130" s="57"/>
      <c r="J130" s="209"/>
      <c r="K130" s="28"/>
      <c r="L130" s="28"/>
      <c r="M130" s="99"/>
      <c r="N130" s="99"/>
      <c r="O130" s="99"/>
      <c r="P130" s="28"/>
    </row>
    <row r="131" spans="1:17" s="38" customFormat="1" x14ac:dyDescent="0.25">
      <c r="A131" s="48"/>
      <c r="B131" s="48"/>
      <c r="C131" s="13" t="s">
        <v>129</v>
      </c>
      <c r="D131" s="50"/>
      <c r="E131" s="61"/>
      <c r="F131" s="58"/>
      <c r="G131" s="58"/>
      <c r="H131" s="58"/>
      <c r="I131" s="58"/>
      <c r="J131" s="209"/>
      <c r="M131" s="99"/>
      <c r="N131" s="99"/>
      <c r="O131" s="99"/>
      <c r="P131" s="28"/>
    </row>
    <row r="132" spans="1:17" s="38" customFormat="1" x14ac:dyDescent="0.25">
      <c r="A132" s="78"/>
      <c r="B132" s="78" t="str">
        <f t="shared" ref="B132:B141" si="14">IF(L132,K132&amp;L132,"")</f>
        <v/>
      </c>
      <c r="C132" s="82" t="s">
        <v>130</v>
      </c>
      <c r="D132" s="72"/>
      <c r="E132" s="71"/>
      <c r="F132" s="4">
        <f>F104</f>
        <v>2022</v>
      </c>
      <c r="G132" s="4">
        <f>F132+1</f>
        <v>2023</v>
      </c>
      <c r="H132" s="4">
        <f>G132+1</f>
        <v>2024</v>
      </c>
      <c r="I132" s="4">
        <f>H132+1</f>
        <v>2025</v>
      </c>
      <c r="J132" s="209"/>
      <c r="K132" s="337"/>
      <c r="L132" s="337"/>
      <c r="M132" s="99"/>
      <c r="N132" s="99"/>
      <c r="O132" s="99"/>
      <c r="P132" s="28"/>
    </row>
    <row r="133" spans="1:17" s="38" customFormat="1" x14ac:dyDescent="0.25">
      <c r="A133" s="78" t="s">
        <v>131</v>
      </c>
      <c r="B133" s="78" t="str">
        <f t="shared" si="14"/>
        <v>H1</v>
      </c>
      <c r="C133" s="245" t="s">
        <v>702</v>
      </c>
      <c r="D133" s="72" t="s">
        <v>664</v>
      </c>
      <c r="E133" s="71" t="s">
        <v>84</v>
      </c>
      <c r="F133" s="74">
        <v>5000</v>
      </c>
      <c r="G133" s="74">
        <v>5000</v>
      </c>
      <c r="H133" s="74">
        <v>5000</v>
      </c>
      <c r="I133" s="70">
        <v>5000</v>
      </c>
      <c r="J133" s="209"/>
      <c r="K133" s="28" t="s">
        <v>703</v>
      </c>
      <c r="L133" s="28">
        <v>1</v>
      </c>
      <c r="M133" s="99" t="str">
        <f>IF(E133="VEDTATT","VEDTATT",0)</f>
        <v>VEDTATT</v>
      </c>
      <c r="N133" s="99">
        <f>IF(E133="MÅ","Nye tiltak",0)</f>
        <v>0</v>
      </c>
      <c r="O133" s="99"/>
      <c r="P133" s="28"/>
    </row>
    <row r="134" spans="1:17" s="38" customFormat="1" x14ac:dyDescent="0.25">
      <c r="A134" s="78" t="s">
        <v>131</v>
      </c>
      <c r="B134" s="78" t="str">
        <f t="shared" si="14"/>
        <v>H2</v>
      </c>
      <c r="C134" s="245" t="s">
        <v>330</v>
      </c>
      <c r="D134" s="72" t="s">
        <v>664</v>
      </c>
      <c r="E134" s="71" t="s">
        <v>84</v>
      </c>
      <c r="F134" s="74"/>
      <c r="G134" s="74"/>
      <c r="H134" s="74">
        <v>1000</v>
      </c>
      <c r="I134" s="74">
        <v>1000</v>
      </c>
      <c r="J134" s="209"/>
      <c r="K134" s="28" t="s">
        <v>703</v>
      </c>
      <c r="L134" s="28">
        <f>L133+1</f>
        <v>2</v>
      </c>
      <c r="M134" s="99" t="str">
        <f>IF(E134="VEDTATT","VEDTATT",0)</f>
        <v>VEDTATT</v>
      </c>
      <c r="N134" s="99">
        <f>IF(E134="MÅ","Nye tiltak",0)</f>
        <v>0</v>
      </c>
      <c r="O134" s="99"/>
      <c r="P134" s="28"/>
    </row>
    <row r="135" spans="1:17" s="38" customFormat="1" x14ac:dyDescent="0.25">
      <c r="A135" s="78" t="s">
        <v>131</v>
      </c>
      <c r="B135" s="78" t="str">
        <f>IF(L135,K135&amp;L135,"")</f>
        <v>H3</v>
      </c>
      <c r="C135" s="245" t="s">
        <v>940</v>
      </c>
      <c r="D135" s="72" t="s">
        <v>91</v>
      </c>
      <c r="E135" s="231" t="s">
        <v>24</v>
      </c>
      <c r="F135" s="74">
        <v>1600</v>
      </c>
      <c r="G135" s="74">
        <v>1600</v>
      </c>
      <c r="H135" s="74">
        <v>1600</v>
      </c>
      <c r="I135" s="74">
        <v>1600</v>
      </c>
      <c r="J135" s="209">
        <v>7</v>
      </c>
      <c r="K135" s="28" t="s">
        <v>703</v>
      </c>
      <c r="L135" s="28">
        <f>L134+1</f>
        <v>3</v>
      </c>
      <c r="M135" s="99"/>
      <c r="N135" s="99"/>
      <c r="O135" s="99"/>
      <c r="P135" s="28"/>
    </row>
    <row r="136" spans="1:17" s="38" customFormat="1" x14ac:dyDescent="0.25">
      <c r="A136" s="78" t="s">
        <v>131</v>
      </c>
      <c r="B136" s="78" t="str">
        <f>IF(L136,K136&amp;L136,"")</f>
        <v>H4</v>
      </c>
      <c r="C136" s="245" t="s">
        <v>941</v>
      </c>
      <c r="D136" s="72" t="s">
        <v>91</v>
      </c>
      <c r="E136" s="231">
        <v>9</v>
      </c>
      <c r="F136" s="74">
        <f>2700+300</f>
        <v>3000</v>
      </c>
      <c r="G136" s="74">
        <f>3700+300</f>
        <v>4000</v>
      </c>
      <c r="H136" s="74">
        <f>4700+300</f>
        <v>5000</v>
      </c>
      <c r="I136" s="74">
        <f>H136</f>
        <v>5000</v>
      </c>
      <c r="J136" s="209">
        <v>8</v>
      </c>
      <c r="K136" s="28" t="s">
        <v>703</v>
      </c>
      <c r="L136" s="28">
        <f>L135+1</f>
        <v>4</v>
      </c>
      <c r="M136" s="99"/>
      <c r="N136" s="99"/>
      <c r="O136" s="99"/>
      <c r="P136" s="28"/>
    </row>
    <row r="137" spans="1:17" s="38" customFormat="1" x14ac:dyDescent="0.25">
      <c r="A137" s="78" t="s">
        <v>131</v>
      </c>
      <c r="B137" s="78" t="str">
        <f t="shared" si="14"/>
        <v>H5</v>
      </c>
      <c r="C137" s="245" t="s">
        <v>420</v>
      </c>
      <c r="D137" s="72" t="s">
        <v>664</v>
      </c>
      <c r="E137" s="71" t="s">
        <v>84</v>
      </c>
      <c r="F137" s="90">
        <v>900</v>
      </c>
      <c r="G137" s="90">
        <v>1800</v>
      </c>
      <c r="H137" s="90">
        <v>1800</v>
      </c>
      <c r="I137" s="90">
        <v>1800</v>
      </c>
      <c r="J137" s="403"/>
      <c r="K137" s="28" t="s">
        <v>703</v>
      </c>
      <c r="L137" s="28">
        <f>L136+1</f>
        <v>5</v>
      </c>
      <c r="M137" s="99" t="str">
        <f>IF(E137="VEDTATT","VEDTATT",0)</f>
        <v>VEDTATT</v>
      </c>
      <c r="N137" s="99">
        <f>IF(E137="MÅ","Nye tiltak",0)</f>
        <v>0</v>
      </c>
      <c r="O137" s="99"/>
      <c r="P137" s="28"/>
    </row>
    <row r="138" spans="1:17" s="38" customFormat="1" x14ac:dyDescent="0.25">
      <c r="A138" s="78"/>
      <c r="B138" s="78" t="str">
        <f t="shared" si="14"/>
        <v/>
      </c>
      <c r="C138" s="82" t="s">
        <v>136</v>
      </c>
      <c r="D138" s="72"/>
      <c r="E138" s="71"/>
      <c r="F138" s="4">
        <f>F132</f>
        <v>2022</v>
      </c>
      <c r="G138" s="4">
        <f>F138+1</f>
        <v>2023</v>
      </c>
      <c r="H138" s="4">
        <f>G138+1</f>
        <v>2024</v>
      </c>
      <c r="I138" s="4">
        <f>H138+1</f>
        <v>2025</v>
      </c>
      <c r="J138" s="209"/>
      <c r="K138" s="337"/>
      <c r="L138" s="337"/>
      <c r="M138" s="99"/>
      <c r="N138" s="99"/>
      <c r="O138" s="99"/>
      <c r="P138" s="28"/>
    </row>
    <row r="139" spans="1:17" s="38" customFormat="1" x14ac:dyDescent="0.25">
      <c r="A139" s="78" t="s">
        <v>131</v>
      </c>
      <c r="B139" s="78" t="str">
        <f t="shared" si="14"/>
        <v>H6</v>
      </c>
      <c r="C139" s="245" t="s">
        <v>137</v>
      </c>
      <c r="D139" s="72" t="s">
        <v>664</v>
      </c>
      <c r="E139" s="71" t="s">
        <v>84</v>
      </c>
      <c r="F139" s="70">
        <v>2500</v>
      </c>
      <c r="G139" s="70">
        <v>5000</v>
      </c>
      <c r="H139" s="70">
        <v>7500</v>
      </c>
      <c r="I139" s="70">
        <v>10000</v>
      </c>
      <c r="J139" s="209"/>
      <c r="K139" s="28" t="s">
        <v>703</v>
      </c>
      <c r="L139" s="28">
        <f>L137+1</f>
        <v>6</v>
      </c>
      <c r="M139" s="99" t="str">
        <f>IF(E139="VEDTATT","VEDTATT",0)</f>
        <v>VEDTATT</v>
      </c>
      <c r="N139" s="99">
        <f>IF(E139="MÅ","Nye tiltak",0)</f>
        <v>0</v>
      </c>
      <c r="O139" s="99"/>
      <c r="P139" s="28"/>
    </row>
    <row r="140" spans="1:17" s="38" customFormat="1" x14ac:dyDescent="0.25">
      <c r="A140" s="78" t="s">
        <v>131</v>
      </c>
      <c r="B140" s="78" t="str">
        <f t="shared" si="14"/>
        <v>H7</v>
      </c>
      <c r="C140" s="245" t="s">
        <v>705</v>
      </c>
      <c r="D140" s="72" t="s">
        <v>664</v>
      </c>
      <c r="E140" s="71" t="s">
        <v>84</v>
      </c>
      <c r="F140" s="217">
        <v>10000</v>
      </c>
      <c r="G140" s="217">
        <v>20000</v>
      </c>
      <c r="H140" s="217">
        <v>20000</v>
      </c>
      <c r="I140" s="217">
        <v>20000</v>
      </c>
      <c r="J140" s="209"/>
      <c r="K140" s="28" t="s">
        <v>703</v>
      </c>
      <c r="L140" s="28">
        <f>L139+1</f>
        <v>7</v>
      </c>
      <c r="M140" s="99"/>
      <c r="N140" s="99"/>
      <c r="O140" s="99"/>
      <c r="P140" s="28"/>
    </row>
    <row r="141" spans="1:17" s="38" customFormat="1" x14ac:dyDescent="0.25">
      <c r="A141" s="78" t="s">
        <v>131</v>
      </c>
      <c r="B141" s="78" t="str">
        <f t="shared" si="14"/>
        <v>H8</v>
      </c>
      <c r="C141" s="245" t="s">
        <v>942</v>
      </c>
      <c r="D141" s="72" t="s">
        <v>91</v>
      </c>
      <c r="E141" s="231" t="s">
        <v>24</v>
      </c>
      <c r="F141" s="217">
        <v>1400</v>
      </c>
      <c r="G141" s="217">
        <f>F141</f>
        <v>1400</v>
      </c>
      <c r="H141" s="217">
        <f t="shared" ref="H141:I141" si="15">G141</f>
        <v>1400</v>
      </c>
      <c r="I141" s="217">
        <f t="shared" si="15"/>
        <v>1400</v>
      </c>
      <c r="J141" s="209"/>
      <c r="K141" s="28" t="s">
        <v>703</v>
      </c>
      <c r="L141" s="28">
        <f>L140+1</f>
        <v>8</v>
      </c>
      <c r="M141" s="99">
        <f>IF(E141="VEDTATT","VEDTATT",0)</f>
        <v>0</v>
      </c>
      <c r="N141" s="99" t="str">
        <f>IF(E141="MÅ","Nye tiltak",0)</f>
        <v>Nye tiltak</v>
      </c>
      <c r="O141" s="99"/>
      <c r="P141" s="28"/>
    </row>
    <row r="142" spans="1:17" s="38" customFormat="1" x14ac:dyDescent="0.25">
      <c r="A142" s="341"/>
      <c r="B142" s="341"/>
      <c r="C142" s="82" t="s">
        <v>142</v>
      </c>
      <c r="D142" s="83"/>
      <c r="E142" s="71"/>
      <c r="F142" s="4">
        <f>F138</f>
        <v>2022</v>
      </c>
      <c r="G142" s="4">
        <f>F142+1</f>
        <v>2023</v>
      </c>
      <c r="H142" s="4">
        <f>G142+1</f>
        <v>2024</v>
      </c>
      <c r="I142" s="4">
        <f>H142+1</f>
        <v>2025</v>
      </c>
      <c r="J142" s="209"/>
      <c r="K142" s="337"/>
      <c r="L142" s="337"/>
      <c r="M142" s="99"/>
      <c r="N142" s="99"/>
      <c r="O142" s="99"/>
      <c r="P142" s="28"/>
    </row>
    <row r="143" spans="1:17" s="38" customFormat="1" x14ac:dyDescent="0.25">
      <c r="A143" s="78" t="s">
        <v>131</v>
      </c>
      <c r="B143" s="78" t="str">
        <f t="shared" ref="B143:B154" si="16">IF(L143,K143&amp;L143,"")</f>
        <v>H9</v>
      </c>
      <c r="C143" s="245" t="s">
        <v>143</v>
      </c>
      <c r="D143" s="72" t="s">
        <v>664</v>
      </c>
      <c r="E143" s="71" t="s">
        <v>84</v>
      </c>
      <c r="F143" s="70">
        <v>-300</v>
      </c>
      <c r="G143" s="70">
        <v>-900</v>
      </c>
      <c r="H143" s="70">
        <v>-1500</v>
      </c>
      <c r="I143" s="70">
        <v>-2100</v>
      </c>
      <c r="J143" s="209"/>
      <c r="K143" s="28" t="s">
        <v>703</v>
      </c>
      <c r="L143" s="28">
        <f>L141+1</f>
        <v>9</v>
      </c>
      <c r="M143" s="99" t="str">
        <f>IF(E143="VEDTATT","VEDTATT",0)</f>
        <v>VEDTATT</v>
      </c>
      <c r="N143" s="99">
        <f>IF(E143="MÅ","Nye tiltak",0)</f>
        <v>0</v>
      </c>
      <c r="O143" s="99"/>
      <c r="P143" s="28"/>
    </row>
    <row r="144" spans="1:17" s="38" customFormat="1" ht="30" customHeight="1" x14ac:dyDescent="0.25">
      <c r="A144" s="78" t="s">
        <v>131</v>
      </c>
      <c r="B144" s="78" t="str">
        <f t="shared" si="16"/>
        <v>H10</v>
      </c>
      <c r="C144" s="245" t="s">
        <v>860</v>
      </c>
      <c r="D144" s="72" t="s">
        <v>91</v>
      </c>
      <c r="E144" s="71" t="s">
        <v>24</v>
      </c>
      <c r="F144" s="70"/>
      <c r="G144" s="70"/>
      <c r="H144" s="70"/>
      <c r="I144" s="70"/>
      <c r="J144" s="209" t="s">
        <v>861</v>
      </c>
      <c r="K144" s="28" t="s">
        <v>703</v>
      </c>
      <c r="L144" s="28">
        <f t="shared" ref="L144:L147" si="17">L143+1</f>
        <v>10</v>
      </c>
      <c r="M144" s="99">
        <f>IF(E144="VEDTATT","VEDTATT",0)</f>
        <v>0</v>
      </c>
      <c r="N144" s="99" t="str">
        <f>IF(E144="MÅ","Nye tiltak",0)</f>
        <v>Nye tiltak</v>
      </c>
      <c r="O144" s="99"/>
      <c r="P144" s="28"/>
      <c r="Q144" s="295"/>
    </row>
    <row r="145" spans="1:17" s="38" customFormat="1" ht="30" customHeight="1" x14ac:dyDescent="0.25">
      <c r="A145" s="78" t="s">
        <v>131</v>
      </c>
      <c r="B145" s="78" t="str">
        <f>IF(L145,K145&amp;L145,"")</f>
        <v>H11</v>
      </c>
      <c r="C145" s="245" t="s">
        <v>711</v>
      </c>
      <c r="D145" s="72" t="s">
        <v>91</v>
      </c>
      <c r="E145" s="231">
        <v>8</v>
      </c>
      <c r="F145" s="70">
        <v>1000</v>
      </c>
      <c r="G145" s="70">
        <v>1000</v>
      </c>
      <c r="H145" s="70">
        <v>1000</v>
      </c>
      <c r="I145" s="70">
        <v>1000</v>
      </c>
      <c r="J145" s="209"/>
      <c r="K145" s="28" t="s">
        <v>703</v>
      </c>
      <c r="L145" s="28">
        <f>L144+1</f>
        <v>11</v>
      </c>
      <c r="M145" s="99"/>
      <c r="N145" s="99"/>
      <c r="O145" s="99"/>
      <c r="P145" s="28"/>
      <c r="Q145" s="295"/>
    </row>
    <row r="146" spans="1:17" s="38" customFormat="1" x14ac:dyDescent="0.25">
      <c r="A146" s="78" t="s">
        <v>131</v>
      </c>
      <c r="B146" s="78" t="str">
        <f t="shared" si="16"/>
        <v>H12</v>
      </c>
      <c r="C146" s="245" t="s">
        <v>832</v>
      </c>
      <c r="D146" s="72" t="s">
        <v>91</v>
      </c>
      <c r="E146" s="231" t="s">
        <v>24</v>
      </c>
      <c r="F146" s="70">
        <v>950</v>
      </c>
      <c r="G146" s="70">
        <v>950</v>
      </c>
      <c r="H146" s="70">
        <v>950</v>
      </c>
      <c r="I146" s="70">
        <v>950</v>
      </c>
      <c r="J146" s="403">
        <v>2</v>
      </c>
      <c r="K146" s="28" t="s">
        <v>703</v>
      </c>
      <c r="L146" s="28">
        <f>L145+1</f>
        <v>12</v>
      </c>
      <c r="M146" s="99"/>
      <c r="N146" s="99"/>
      <c r="O146" s="99"/>
      <c r="Q146" s="295"/>
    </row>
    <row r="147" spans="1:17" s="38" customFormat="1" x14ac:dyDescent="0.25">
      <c r="A147" s="78" t="s">
        <v>131</v>
      </c>
      <c r="B147" s="78" t="str">
        <f t="shared" si="16"/>
        <v>H13</v>
      </c>
      <c r="C147" s="245" t="s">
        <v>144</v>
      </c>
      <c r="D147" s="72" t="s">
        <v>664</v>
      </c>
      <c r="E147" s="71" t="s">
        <v>84</v>
      </c>
      <c r="F147" s="70">
        <f>-11400-15856</f>
        <v>-27256</v>
      </c>
      <c r="G147" s="70">
        <f>-11400-15856</f>
        <v>-27256</v>
      </c>
      <c r="H147" s="70">
        <f>G147</f>
        <v>-27256</v>
      </c>
      <c r="I147" s="70">
        <f>H147</f>
        <v>-27256</v>
      </c>
      <c r="J147" s="209"/>
      <c r="K147" s="28" t="s">
        <v>703</v>
      </c>
      <c r="L147" s="28">
        <f t="shared" si="17"/>
        <v>13</v>
      </c>
      <c r="M147" s="99" t="str">
        <f>IF(E147="VEDTATT","VEDTATT",0)</f>
        <v>VEDTATT</v>
      </c>
      <c r="N147" s="99">
        <f>IF(E147="MÅ","Nye tiltak",0)</f>
        <v>0</v>
      </c>
      <c r="O147" s="99"/>
      <c r="Q147" s="295"/>
    </row>
    <row r="148" spans="1:17" s="38" customFormat="1" x14ac:dyDescent="0.25">
      <c r="A148" s="78"/>
      <c r="B148" s="78" t="str">
        <f t="shared" si="16"/>
        <v/>
      </c>
      <c r="C148" s="82" t="s">
        <v>156</v>
      </c>
      <c r="D148" s="72"/>
      <c r="E148" s="71"/>
      <c r="F148" s="4">
        <f>F142</f>
        <v>2022</v>
      </c>
      <c r="G148" s="4">
        <f>F148+1</f>
        <v>2023</v>
      </c>
      <c r="H148" s="4">
        <f>G148+1</f>
        <v>2024</v>
      </c>
      <c r="I148" s="4">
        <f>H148+1</f>
        <v>2025</v>
      </c>
      <c r="J148" s="209"/>
      <c r="K148" s="4"/>
      <c r="L148" s="4"/>
      <c r="M148" s="99"/>
      <c r="N148" s="99"/>
      <c r="O148" s="99"/>
    </row>
    <row r="149" spans="1:17" s="38" customFormat="1" x14ac:dyDescent="0.25">
      <c r="A149" s="78" t="s">
        <v>131</v>
      </c>
      <c r="B149" s="78" t="str">
        <f t="shared" si="16"/>
        <v>H14</v>
      </c>
      <c r="C149" s="245" t="s">
        <v>159</v>
      </c>
      <c r="D149" s="72" t="s">
        <v>91</v>
      </c>
      <c r="E149" s="71" t="s">
        <v>24</v>
      </c>
      <c r="F149" s="70">
        <v>600</v>
      </c>
      <c r="G149" s="70">
        <v>600</v>
      </c>
      <c r="H149" s="70">
        <v>600</v>
      </c>
      <c r="I149" s="70">
        <v>600</v>
      </c>
      <c r="J149" s="209"/>
      <c r="K149" s="28" t="s">
        <v>703</v>
      </c>
      <c r="L149" s="28">
        <f>L147+1</f>
        <v>14</v>
      </c>
      <c r="M149" s="99"/>
      <c r="N149" s="99"/>
      <c r="O149" s="99"/>
      <c r="P149" s="28"/>
    </row>
    <row r="150" spans="1:17" s="38" customFormat="1" ht="25.5" x14ac:dyDescent="0.25">
      <c r="A150" s="78" t="s">
        <v>131</v>
      </c>
      <c r="B150" s="78" t="str">
        <f t="shared" si="16"/>
        <v>H15</v>
      </c>
      <c r="C150" s="245" t="s">
        <v>943</v>
      </c>
      <c r="D150" s="72" t="s">
        <v>661</v>
      </c>
      <c r="E150" s="71" t="s">
        <v>84</v>
      </c>
      <c r="F150" s="70">
        <v>0</v>
      </c>
      <c r="G150" s="70">
        <v>50</v>
      </c>
      <c r="H150" s="70">
        <v>150</v>
      </c>
      <c r="I150" s="70">
        <v>150</v>
      </c>
      <c r="J150" s="403" t="s">
        <v>944</v>
      </c>
      <c r="K150" s="28" t="s">
        <v>703</v>
      </c>
      <c r="L150" s="28">
        <f t="shared" ref="L150:L154" si="18">L149+1</f>
        <v>15</v>
      </c>
      <c r="M150" s="99" t="str">
        <f t="shared" ref="M150:M154" si="19">IF(E150="VEDTATT","VEDTATT",0)</f>
        <v>VEDTATT</v>
      </c>
      <c r="N150" s="99">
        <f t="shared" ref="N150:N154" si="20">IF(E150="MÅ","Nye tiltak",0)</f>
        <v>0</v>
      </c>
      <c r="O150" s="99"/>
      <c r="P150" s="28"/>
    </row>
    <row r="151" spans="1:17" s="38" customFormat="1" ht="25.5" x14ac:dyDescent="0.25">
      <c r="A151" s="78" t="s">
        <v>131</v>
      </c>
      <c r="B151" s="78" t="str">
        <f t="shared" si="16"/>
        <v>H16</v>
      </c>
      <c r="C151" s="245" t="s">
        <v>713</v>
      </c>
      <c r="D151" s="72" t="s">
        <v>661</v>
      </c>
      <c r="E151" s="71" t="s">
        <v>84</v>
      </c>
      <c r="F151" s="90">
        <v>0</v>
      </c>
      <c r="G151" s="90">
        <v>0</v>
      </c>
      <c r="H151" s="90">
        <v>1100</v>
      </c>
      <c r="I151" s="90">
        <v>1100</v>
      </c>
      <c r="J151" s="403"/>
      <c r="K151" s="28" t="s">
        <v>703</v>
      </c>
      <c r="L151" s="28">
        <f t="shared" si="18"/>
        <v>16</v>
      </c>
      <c r="M151" s="99" t="str">
        <f t="shared" si="19"/>
        <v>VEDTATT</v>
      </c>
      <c r="N151" s="99">
        <f t="shared" si="20"/>
        <v>0</v>
      </c>
      <c r="O151" s="99"/>
      <c r="P151" s="28"/>
    </row>
    <row r="152" spans="1:17" s="38" customFormat="1" x14ac:dyDescent="0.25">
      <c r="A152" s="78" t="s">
        <v>131</v>
      </c>
      <c r="B152" s="78" t="str">
        <f t="shared" si="16"/>
        <v>H17</v>
      </c>
      <c r="C152" s="245" t="s">
        <v>945</v>
      </c>
      <c r="D152" s="72" t="s">
        <v>91</v>
      </c>
      <c r="E152" s="231">
        <v>6</v>
      </c>
      <c r="F152" s="70">
        <v>600</v>
      </c>
      <c r="G152" s="70">
        <v>600</v>
      </c>
      <c r="H152" s="70">
        <v>600</v>
      </c>
      <c r="I152" s="70">
        <v>600</v>
      </c>
      <c r="J152" s="257">
        <v>4</v>
      </c>
      <c r="K152" s="28" t="s">
        <v>703</v>
      </c>
      <c r="L152" s="28">
        <f t="shared" si="18"/>
        <v>17</v>
      </c>
      <c r="M152" s="99">
        <f t="shared" si="19"/>
        <v>0</v>
      </c>
      <c r="N152" s="99">
        <f t="shared" si="20"/>
        <v>0</v>
      </c>
      <c r="O152" s="99"/>
      <c r="P152" s="28"/>
    </row>
    <row r="153" spans="1:17" s="38" customFormat="1" x14ac:dyDescent="0.2">
      <c r="A153" s="78" t="s">
        <v>131</v>
      </c>
      <c r="B153" s="78" t="str">
        <f t="shared" si="16"/>
        <v>H18</v>
      </c>
      <c r="C153" s="245" t="s">
        <v>946</v>
      </c>
      <c r="D153" s="79" t="s">
        <v>91</v>
      </c>
      <c r="E153" s="231">
        <v>10</v>
      </c>
      <c r="F153" s="391"/>
      <c r="G153" s="391">
        <v>700</v>
      </c>
      <c r="H153" s="391">
        <v>700</v>
      </c>
      <c r="I153" s="391">
        <v>700</v>
      </c>
      <c r="J153" s="420">
        <v>9</v>
      </c>
      <c r="K153" s="28" t="s">
        <v>703</v>
      </c>
      <c r="L153" s="28">
        <f t="shared" si="18"/>
        <v>18</v>
      </c>
      <c r="M153" s="99">
        <f t="shared" si="19"/>
        <v>0</v>
      </c>
      <c r="N153" s="99">
        <f t="shared" si="20"/>
        <v>0</v>
      </c>
      <c r="O153" s="99"/>
      <c r="P153" s="28"/>
    </row>
    <row r="154" spans="1:17" s="38" customFormat="1" ht="25.5" x14ac:dyDescent="0.25">
      <c r="A154" s="78" t="s">
        <v>131</v>
      </c>
      <c r="B154" s="78" t="str">
        <f t="shared" si="16"/>
        <v>H19</v>
      </c>
      <c r="C154" s="245" t="s">
        <v>862</v>
      </c>
      <c r="D154" s="79" t="s">
        <v>91</v>
      </c>
      <c r="E154" s="71"/>
      <c r="F154" s="282"/>
      <c r="G154" s="282"/>
      <c r="H154" s="282"/>
      <c r="I154" s="282"/>
      <c r="J154" s="209" t="s">
        <v>863</v>
      </c>
      <c r="K154" s="28" t="s">
        <v>703</v>
      </c>
      <c r="L154" s="28">
        <f t="shared" si="18"/>
        <v>19</v>
      </c>
      <c r="M154" s="99">
        <f t="shared" si="19"/>
        <v>0</v>
      </c>
      <c r="N154" s="99">
        <f t="shared" si="20"/>
        <v>0</v>
      </c>
      <c r="O154" s="99"/>
      <c r="P154" s="28"/>
    </row>
    <row r="155" spans="1:17" s="38" customFormat="1" x14ac:dyDescent="0.25">
      <c r="A155" s="78"/>
      <c r="B155" s="78"/>
      <c r="C155" s="82" t="s">
        <v>172</v>
      </c>
      <c r="D155" s="83"/>
      <c r="E155" s="71"/>
      <c r="F155" s="4">
        <f>F148</f>
        <v>2022</v>
      </c>
      <c r="G155" s="4">
        <f>F155+1</f>
        <v>2023</v>
      </c>
      <c r="H155" s="4">
        <f>G155+1</f>
        <v>2024</v>
      </c>
      <c r="I155" s="4">
        <f>H155+1</f>
        <v>2025</v>
      </c>
      <c r="J155" s="209"/>
      <c r="K155" s="337"/>
      <c r="L155" s="337"/>
      <c r="M155" s="99"/>
      <c r="N155" s="99"/>
      <c r="O155" s="99"/>
      <c r="P155" s="28"/>
    </row>
    <row r="156" spans="1:17" s="38" customFormat="1" x14ac:dyDescent="0.25">
      <c r="A156" s="78" t="s">
        <v>131</v>
      </c>
      <c r="B156" s="78" t="str">
        <f t="shared" ref="B156:B166" si="21">IF(L156,K156&amp;L156,"")</f>
        <v>H20</v>
      </c>
      <c r="C156" s="245" t="s">
        <v>947</v>
      </c>
      <c r="D156" s="72" t="s">
        <v>661</v>
      </c>
      <c r="E156" s="71" t="s">
        <v>84</v>
      </c>
      <c r="F156" s="287"/>
      <c r="G156" s="287">
        <v>-1100</v>
      </c>
      <c r="H156" s="287">
        <v>-2200</v>
      </c>
      <c r="I156" s="287">
        <v>-2200</v>
      </c>
      <c r="J156" s="403" t="s">
        <v>944</v>
      </c>
      <c r="K156" s="28" t="s">
        <v>703</v>
      </c>
      <c r="L156" s="28">
        <f>L154+1</f>
        <v>20</v>
      </c>
      <c r="M156" s="99" t="str">
        <f t="shared" ref="M156:M157" si="22">IF(E156="VEDTATT","VEDTATT",0)</f>
        <v>VEDTATT</v>
      </c>
      <c r="N156" s="99">
        <f t="shared" ref="N156:N157" si="23">IF(E156="MÅ","Nye tiltak",0)</f>
        <v>0</v>
      </c>
      <c r="O156" s="99"/>
      <c r="P156" s="28"/>
    </row>
    <row r="157" spans="1:17" s="38" customFormat="1" x14ac:dyDescent="0.25">
      <c r="A157" s="78" t="s">
        <v>131</v>
      </c>
      <c r="B157" s="78" t="str">
        <f t="shared" si="21"/>
        <v>H21</v>
      </c>
      <c r="C157" s="245" t="s">
        <v>948</v>
      </c>
      <c r="D157" s="72" t="s">
        <v>661</v>
      </c>
      <c r="E157" s="71" t="s">
        <v>84</v>
      </c>
      <c r="F157" s="70"/>
      <c r="G157" s="59">
        <v>728</v>
      </c>
      <c r="H157" s="59">
        <v>728</v>
      </c>
      <c r="I157" s="59">
        <v>728</v>
      </c>
      <c r="J157" s="403" t="s">
        <v>944</v>
      </c>
      <c r="K157" s="28" t="s">
        <v>703</v>
      </c>
      <c r="L157" s="28">
        <f t="shared" ref="L157:L161" si="24">L156+1</f>
        <v>21</v>
      </c>
      <c r="M157" s="99" t="str">
        <f t="shared" si="22"/>
        <v>VEDTATT</v>
      </c>
      <c r="N157" s="99">
        <f t="shared" si="23"/>
        <v>0</v>
      </c>
      <c r="O157" s="99"/>
      <c r="P157" s="28"/>
    </row>
    <row r="158" spans="1:17" s="38" customFormat="1" x14ac:dyDescent="0.25">
      <c r="A158" s="78" t="s">
        <v>131</v>
      </c>
      <c r="B158" s="78" t="str">
        <f t="shared" si="21"/>
        <v>H22</v>
      </c>
      <c r="C158" s="245" t="s">
        <v>174</v>
      </c>
      <c r="D158" s="72" t="s">
        <v>661</v>
      </c>
      <c r="E158" s="71" t="s">
        <v>84</v>
      </c>
      <c r="F158" s="421">
        <v>2000</v>
      </c>
      <c r="G158" s="421">
        <v>2000</v>
      </c>
      <c r="H158" s="421">
        <v>2000</v>
      </c>
      <c r="I158" s="421">
        <v>2000</v>
      </c>
      <c r="J158" s="403" t="s">
        <v>944</v>
      </c>
      <c r="K158" s="28" t="s">
        <v>703</v>
      </c>
      <c r="L158" s="28">
        <f t="shared" si="24"/>
        <v>22</v>
      </c>
      <c r="M158" s="99" t="str">
        <f>IF(E158="VEDTATT","VEDTATT",0)</f>
        <v>VEDTATT</v>
      </c>
      <c r="N158" s="99">
        <f>IF(E158="MÅ","Nye tiltak",0)</f>
        <v>0</v>
      </c>
      <c r="O158" s="99"/>
      <c r="P158" s="28"/>
    </row>
    <row r="159" spans="1:17" s="38" customFormat="1" x14ac:dyDescent="0.25">
      <c r="A159" s="78" t="s">
        <v>131</v>
      </c>
      <c r="B159" s="78" t="str">
        <f t="shared" si="21"/>
        <v>H23</v>
      </c>
      <c r="C159" s="245" t="s">
        <v>529</v>
      </c>
      <c r="D159" s="72" t="s">
        <v>661</v>
      </c>
      <c r="E159" s="71" t="s">
        <v>84</v>
      </c>
      <c r="F159" s="476">
        <v>5600</v>
      </c>
      <c r="G159" s="476">
        <v>9400</v>
      </c>
      <c r="H159" s="476">
        <v>11100</v>
      </c>
      <c r="I159" s="476">
        <v>11100</v>
      </c>
      <c r="J159" s="476" t="s">
        <v>944</v>
      </c>
      <c r="K159" s="28" t="s">
        <v>703</v>
      </c>
      <c r="L159" s="28">
        <f>L158+1</f>
        <v>23</v>
      </c>
      <c r="M159" s="99" t="str">
        <f>IF(E158="VEDTATT","VEDTATT",0)</f>
        <v>VEDTATT</v>
      </c>
      <c r="N159" s="99">
        <f>IF(E158="MÅ","Nye tiltak",0)</f>
        <v>0</v>
      </c>
      <c r="O159" s="99"/>
      <c r="P159" s="28"/>
    </row>
    <row r="160" spans="1:17" s="38" customFormat="1" x14ac:dyDescent="0.25">
      <c r="A160" s="78" t="s">
        <v>131</v>
      </c>
      <c r="B160" s="78" t="str">
        <f t="shared" si="21"/>
        <v>H24</v>
      </c>
      <c r="C160" s="245" t="s">
        <v>530</v>
      </c>
      <c r="D160" s="72" t="s">
        <v>661</v>
      </c>
      <c r="E160" s="71" t="s">
        <v>84</v>
      </c>
      <c r="F160" s="476">
        <v>300</v>
      </c>
      <c r="G160" s="476">
        <v>300</v>
      </c>
      <c r="H160" s="476">
        <v>1900</v>
      </c>
      <c r="I160" s="476">
        <v>1900</v>
      </c>
      <c r="J160" s="476" t="s">
        <v>944</v>
      </c>
      <c r="K160" s="28" t="s">
        <v>703</v>
      </c>
      <c r="L160" s="28">
        <f>L159+1</f>
        <v>24</v>
      </c>
      <c r="M160" s="99" t="str">
        <f>IF(E159="VEDTATT","VEDTATT",0)</f>
        <v>VEDTATT</v>
      </c>
      <c r="N160" s="99">
        <f>IF(E159="MÅ","Nye tiltak",0)</f>
        <v>0</v>
      </c>
      <c r="O160" s="99"/>
      <c r="P160" s="28"/>
    </row>
    <row r="161" spans="1:16" s="38" customFormat="1" x14ac:dyDescent="0.25">
      <c r="A161" s="78" t="s">
        <v>131</v>
      </c>
      <c r="B161" s="78" t="str">
        <f t="shared" si="21"/>
        <v>H25</v>
      </c>
      <c r="D161" s="72"/>
      <c r="J161" s="209"/>
      <c r="K161" s="28" t="s">
        <v>703</v>
      </c>
      <c r="L161" s="28">
        <f t="shared" si="24"/>
        <v>25</v>
      </c>
      <c r="M161" s="99" t="str">
        <f>IF(E160="VEDTATT","VEDTATT",0)</f>
        <v>VEDTATT</v>
      </c>
      <c r="N161" s="99">
        <f>IF(E160="MÅ","Nye tiltak",0)</f>
        <v>0</v>
      </c>
      <c r="O161" s="99"/>
      <c r="P161" s="28"/>
    </row>
    <row r="162" spans="1:16" s="38" customFormat="1" x14ac:dyDescent="0.25">
      <c r="A162" s="78"/>
      <c r="B162" s="78" t="str">
        <f t="shared" si="21"/>
        <v/>
      </c>
      <c r="C162" s="82" t="s">
        <v>179</v>
      </c>
      <c r="D162" s="83"/>
      <c r="E162" s="71"/>
      <c r="F162" s="4">
        <f>F155</f>
        <v>2022</v>
      </c>
      <c r="G162" s="4">
        <f>F162+1</f>
        <v>2023</v>
      </c>
      <c r="H162" s="4">
        <f>G162+1</f>
        <v>2024</v>
      </c>
      <c r="I162" s="4">
        <f>H162+1</f>
        <v>2025</v>
      </c>
      <c r="J162" s="209"/>
      <c r="K162" s="337"/>
      <c r="L162" s="337"/>
      <c r="M162" s="99"/>
      <c r="N162" s="99"/>
      <c r="O162" s="99"/>
      <c r="P162" s="28"/>
    </row>
    <row r="163" spans="1:16" s="38" customFormat="1" x14ac:dyDescent="0.25">
      <c r="A163" s="78" t="s">
        <v>131</v>
      </c>
      <c r="B163" s="78" t="str">
        <f t="shared" si="21"/>
        <v>H26</v>
      </c>
      <c r="C163" s="245" t="s">
        <v>180</v>
      </c>
      <c r="D163" s="72" t="s">
        <v>664</v>
      </c>
      <c r="E163" s="71" t="s">
        <v>84</v>
      </c>
      <c r="F163" s="70">
        <v>0</v>
      </c>
      <c r="G163" s="70"/>
      <c r="H163" s="70">
        <v>6000</v>
      </c>
      <c r="I163" s="191">
        <v>12000</v>
      </c>
      <c r="J163" s="209" t="s">
        <v>721</v>
      </c>
      <c r="K163" s="28" t="s">
        <v>703</v>
      </c>
      <c r="L163" s="28">
        <f>L161+1</f>
        <v>26</v>
      </c>
      <c r="M163" s="99" t="str">
        <f>IF(E163="VEDTATT","VEDTATT",0)</f>
        <v>VEDTATT</v>
      </c>
      <c r="N163" s="99">
        <f>IF(E163="MÅ","Nye tiltak",0)</f>
        <v>0</v>
      </c>
      <c r="O163" s="99"/>
      <c r="P163" s="28"/>
    </row>
    <row r="164" spans="1:16" s="38" customFormat="1" x14ac:dyDescent="0.25">
      <c r="A164" s="78" t="s">
        <v>131</v>
      </c>
      <c r="B164" s="78" t="str">
        <f>IF(L164,K164&amp;L164,"")</f>
        <v>H27</v>
      </c>
      <c r="C164" s="245" t="s">
        <v>722</v>
      </c>
      <c r="D164" s="72" t="s">
        <v>664</v>
      </c>
      <c r="E164" s="71" t="s">
        <v>84</v>
      </c>
      <c r="F164" s="191">
        <v>0</v>
      </c>
      <c r="G164" s="191">
        <v>-2500</v>
      </c>
      <c r="H164" s="191">
        <f t="shared" ref="H164:I166" si="25">G164</f>
        <v>-2500</v>
      </c>
      <c r="I164" s="191">
        <f t="shared" si="25"/>
        <v>-2500</v>
      </c>
      <c r="J164" s="209"/>
      <c r="K164" s="28" t="s">
        <v>703</v>
      </c>
      <c r="L164" s="28">
        <f>L163+1</f>
        <v>27</v>
      </c>
      <c r="M164" s="99"/>
      <c r="N164" s="99"/>
      <c r="O164" s="99"/>
      <c r="P164" s="28"/>
    </row>
    <row r="165" spans="1:16" s="38" customFormat="1" x14ac:dyDescent="0.25">
      <c r="A165" s="78" t="s">
        <v>131</v>
      </c>
      <c r="B165" s="78" t="str">
        <f t="shared" si="21"/>
        <v>H28</v>
      </c>
      <c r="C165" s="245" t="s">
        <v>723</v>
      </c>
      <c r="D165" s="72" t="s">
        <v>91</v>
      </c>
      <c r="E165" s="231" t="s">
        <v>24</v>
      </c>
      <c r="F165" s="191">
        <v>4000</v>
      </c>
      <c r="G165" s="191">
        <f>F165</f>
        <v>4000</v>
      </c>
      <c r="H165" s="191">
        <f t="shared" si="25"/>
        <v>4000</v>
      </c>
      <c r="I165" s="191">
        <f t="shared" si="25"/>
        <v>4000</v>
      </c>
      <c r="J165" s="257"/>
      <c r="K165" s="28" t="s">
        <v>703</v>
      </c>
      <c r="L165" s="28">
        <f>L164+1</f>
        <v>28</v>
      </c>
      <c r="M165" s="99">
        <f>IF(E165="VEDTATT","VEDTATT",0)</f>
        <v>0</v>
      </c>
      <c r="N165" s="99" t="str">
        <f>IF(E165="MÅ","Nye tiltak",0)</f>
        <v>Nye tiltak</v>
      </c>
      <c r="O165" s="99"/>
      <c r="P165" s="28"/>
    </row>
    <row r="166" spans="1:16" s="38" customFormat="1" ht="15.75" customHeight="1" x14ac:dyDescent="0.25">
      <c r="A166" s="78" t="s">
        <v>131</v>
      </c>
      <c r="B166" s="78" t="str">
        <f t="shared" si="21"/>
        <v>H29</v>
      </c>
      <c r="C166" s="245" t="s">
        <v>949</v>
      </c>
      <c r="D166" s="72" t="s">
        <v>91</v>
      </c>
      <c r="E166" s="231">
        <v>5</v>
      </c>
      <c r="F166" s="217">
        <v>600</v>
      </c>
      <c r="G166" s="217">
        <f>F166</f>
        <v>600</v>
      </c>
      <c r="H166" s="217">
        <f t="shared" si="25"/>
        <v>600</v>
      </c>
      <c r="I166" s="217">
        <f t="shared" si="25"/>
        <v>600</v>
      </c>
      <c r="J166" s="419">
        <v>6</v>
      </c>
      <c r="K166" s="28" t="s">
        <v>703</v>
      </c>
      <c r="L166" s="28">
        <f>L165+1</f>
        <v>29</v>
      </c>
      <c r="M166" s="99">
        <f>IF(E166="VEDTATT","VEDTATT",0)</f>
        <v>0</v>
      </c>
      <c r="N166" s="99">
        <f>IF(E166="MÅ","Nye tiltak",0)</f>
        <v>0</v>
      </c>
      <c r="O166" s="99"/>
      <c r="P166" s="28"/>
    </row>
    <row r="167" spans="1:16" s="38" customFormat="1" x14ac:dyDescent="0.25">
      <c r="A167" s="244" t="s">
        <v>131</v>
      </c>
      <c r="B167" s="78" t="str">
        <f>IF(L167,K167&amp;L167,"")</f>
        <v>H30</v>
      </c>
      <c r="C167" s="245" t="s">
        <v>950</v>
      </c>
      <c r="D167" s="214" t="s">
        <v>91</v>
      </c>
      <c r="E167" s="400">
        <v>7</v>
      </c>
      <c r="F167" s="217">
        <v>150</v>
      </c>
      <c r="G167" s="217">
        <v>150</v>
      </c>
      <c r="H167" s="217">
        <v>150</v>
      </c>
      <c r="I167" s="217">
        <v>150</v>
      </c>
      <c r="J167" s="419">
        <v>3</v>
      </c>
      <c r="K167" s="28" t="s">
        <v>703</v>
      </c>
      <c r="L167" s="28">
        <f>L166+1</f>
        <v>30</v>
      </c>
      <c r="M167" s="99">
        <f>IF(E167="VEDTATT","VEDTATT",0)</f>
        <v>0</v>
      </c>
      <c r="N167" s="99">
        <f>IF(E167="MÅ","Nye tiltak",0)</f>
        <v>0</v>
      </c>
      <c r="O167" s="99"/>
      <c r="P167" s="28"/>
    </row>
    <row r="168" spans="1:16" s="38" customFormat="1" x14ac:dyDescent="0.25">
      <c r="A168" s="43"/>
      <c r="B168" s="43" t="s">
        <v>127</v>
      </c>
      <c r="C168" s="3" t="s">
        <v>182</v>
      </c>
      <c r="D168" s="52"/>
      <c r="E168" s="52"/>
      <c r="F168" s="56">
        <f>SUMIF($A:$A,"H&amp;V",F:F)</f>
        <v>12644</v>
      </c>
      <c r="G168" s="56">
        <f>SUMIF($A:$A,"H&amp;V",G:G)</f>
        <v>28122</v>
      </c>
      <c r="H168" s="56">
        <f>SUMIF($A:$A,"H&amp;V",H:H)</f>
        <v>41422</v>
      </c>
      <c r="I168" s="56">
        <f>SUMIF($A:$A,"H&amp;V",I:I)</f>
        <v>49322</v>
      </c>
      <c r="J168" s="209"/>
      <c r="K168" s="337"/>
      <c r="L168" s="337"/>
      <c r="M168" s="99"/>
      <c r="N168" s="99"/>
      <c r="O168" s="99"/>
    </row>
    <row r="169" spans="1:16" s="38" customFormat="1" x14ac:dyDescent="0.25">
      <c r="A169" s="47"/>
      <c r="B169" s="47"/>
      <c r="C169" s="11"/>
      <c r="D169" s="49"/>
      <c r="E169" s="49"/>
      <c r="F169" s="57"/>
      <c r="G169" s="57"/>
      <c r="H169" s="57"/>
      <c r="I169" s="57"/>
      <c r="J169" s="209"/>
      <c r="K169" s="28"/>
      <c r="L169" s="28"/>
      <c r="M169" s="99"/>
      <c r="N169" s="99"/>
      <c r="O169" s="99"/>
    </row>
    <row r="170" spans="1:16" s="38" customFormat="1" x14ac:dyDescent="0.25">
      <c r="A170" s="48"/>
      <c r="B170" s="48"/>
      <c r="C170" s="13" t="s">
        <v>183</v>
      </c>
      <c r="D170" s="50"/>
      <c r="E170" s="61"/>
      <c r="F170" s="58"/>
      <c r="G170" s="58"/>
      <c r="H170" s="58"/>
      <c r="I170" s="58"/>
      <c r="J170" s="209"/>
      <c r="M170" s="99"/>
      <c r="N170" s="99"/>
      <c r="O170" s="99"/>
    </row>
    <row r="171" spans="1:16" s="38" customFormat="1" x14ac:dyDescent="0.25">
      <c r="A171" s="341"/>
      <c r="B171" s="341"/>
      <c r="C171" s="82" t="s">
        <v>184</v>
      </c>
      <c r="D171" s="83"/>
      <c r="E171" s="71"/>
      <c r="F171" s="4">
        <f>F162</f>
        <v>2022</v>
      </c>
      <c r="G171" s="4">
        <f>F171+1</f>
        <v>2023</v>
      </c>
      <c r="H171" s="4">
        <f>G171+1</f>
        <v>2024</v>
      </c>
      <c r="I171" s="4">
        <f>H171+1</f>
        <v>2025</v>
      </c>
      <c r="J171" s="405"/>
      <c r="K171" s="337"/>
      <c r="L171" s="337"/>
      <c r="M171" s="99"/>
      <c r="N171" s="99"/>
      <c r="O171" s="99"/>
    </row>
    <row r="172" spans="1:16" s="38" customFormat="1" x14ac:dyDescent="0.25">
      <c r="A172" s="78" t="s">
        <v>186</v>
      </c>
      <c r="B172" s="78" t="str">
        <f t="shared" ref="B172:B176" si="26">IF(L172,K172&amp;L172,"")</f>
        <v>K1</v>
      </c>
      <c r="C172" s="212" t="s">
        <v>187</v>
      </c>
      <c r="D172" s="79" t="s">
        <v>664</v>
      </c>
      <c r="E172" s="71" t="s">
        <v>84</v>
      </c>
      <c r="F172" s="191">
        <v>-400</v>
      </c>
      <c r="G172" s="191">
        <v>-500</v>
      </c>
      <c r="H172" s="191">
        <v>-600</v>
      </c>
      <c r="I172" s="191">
        <v>-600</v>
      </c>
      <c r="J172" s="209"/>
      <c r="K172" s="28" t="s">
        <v>724</v>
      </c>
      <c r="L172" s="28">
        <v>1</v>
      </c>
      <c r="M172" s="99" t="str">
        <f>IF(E172="VEDTATT","VEDTATT",0)</f>
        <v>VEDTATT</v>
      </c>
      <c r="N172" s="99">
        <f>IF(E172="MÅ","Nye tiltak",0)</f>
        <v>0</v>
      </c>
      <c r="O172" s="99"/>
    </row>
    <row r="173" spans="1:16" s="38" customFormat="1" x14ac:dyDescent="0.25">
      <c r="A173" s="78" t="s">
        <v>186</v>
      </c>
      <c r="B173" s="78" t="str">
        <f>IF(L173,K173&amp;L173,"")</f>
        <v>K2</v>
      </c>
      <c r="C173" s="212" t="s">
        <v>951</v>
      </c>
      <c r="D173" s="79" t="s">
        <v>91</v>
      </c>
      <c r="E173" s="231" t="s">
        <v>488</v>
      </c>
      <c r="F173" s="415">
        <v>400</v>
      </c>
      <c r="G173" s="415">
        <v>100</v>
      </c>
      <c r="H173" s="415">
        <v>100</v>
      </c>
      <c r="I173" s="415"/>
      <c r="J173" s="209"/>
      <c r="K173" s="28" t="s">
        <v>724</v>
      </c>
      <c r="L173" s="28">
        <f>L172+1</f>
        <v>2</v>
      </c>
      <c r="M173" s="99"/>
      <c r="N173" s="99"/>
      <c r="O173" s="99"/>
    </row>
    <row r="174" spans="1:16" s="38" customFormat="1" x14ac:dyDescent="0.25">
      <c r="A174" s="78" t="s">
        <v>186</v>
      </c>
      <c r="B174" s="78" t="str">
        <f t="shared" si="26"/>
        <v>K3</v>
      </c>
      <c r="C174" s="344" t="s">
        <v>952</v>
      </c>
      <c r="D174" s="79" t="s">
        <v>91</v>
      </c>
      <c r="E174" s="231" t="s">
        <v>24</v>
      </c>
      <c r="F174" s="69">
        <v>300</v>
      </c>
      <c r="G174" s="69">
        <v>400</v>
      </c>
      <c r="H174" s="69">
        <v>500</v>
      </c>
      <c r="I174" s="69">
        <v>600</v>
      </c>
      <c r="J174" s="209"/>
      <c r="K174" s="28" t="s">
        <v>724</v>
      </c>
      <c r="L174" s="28">
        <f t="shared" ref="L174:L187" si="27">L173+1</f>
        <v>3</v>
      </c>
      <c r="M174" s="99"/>
      <c r="N174" s="99"/>
      <c r="O174" s="99"/>
    </row>
    <row r="175" spans="1:16" s="38" customFormat="1" ht="25.5" x14ac:dyDescent="0.25">
      <c r="A175" s="78" t="s">
        <v>186</v>
      </c>
      <c r="B175" s="78" t="str">
        <f t="shared" ref="B175" si="28">IF(L175,K175&amp;L175,"")</f>
        <v>K4</v>
      </c>
      <c r="C175" s="344" t="s">
        <v>953</v>
      </c>
      <c r="D175" s="79" t="s">
        <v>91</v>
      </c>
      <c r="E175" s="231" t="s">
        <v>24</v>
      </c>
      <c r="F175" s="69">
        <v>-300</v>
      </c>
      <c r="G175" s="69"/>
      <c r="H175" s="69"/>
      <c r="I175" s="69"/>
      <c r="J175" s="209"/>
      <c r="K175" s="28" t="s">
        <v>724</v>
      </c>
      <c r="L175" s="28">
        <f t="shared" si="27"/>
        <v>4</v>
      </c>
      <c r="M175" s="99"/>
      <c r="N175" s="99"/>
      <c r="O175" s="99"/>
    </row>
    <row r="176" spans="1:16" s="38" customFormat="1" x14ac:dyDescent="0.25">
      <c r="A176" s="78" t="s">
        <v>186</v>
      </c>
      <c r="B176" s="78" t="str">
        <f t="shared" si="26"/>
        <v>K5</v>
      </c>
      <c r="C176" s="344" t="s">
        <v>954</v>
      </c>
      <c r="D176" s="79" t="s">
        <v>91</v>
      </c>
      <c r="E176" s="231" t="s">
        <v>24</v>
      </c>
      <c r="F176" s="69">
        <v>138</v>
      </c>
      <c r="G176" s="69">
        <v>138</v>
      </c>
      <c r="H176" s="69">
        <v>138</v>
      </c>
      <c r="I176" s="69">
        <v>138</v>
      </c>
      <c r="J176" s="209"/>
      <c r="K176" s="28" t="s">
        <v>724</v>
      </c>
      <c r="L176" s="28">
        <f t="shared" si="27"/>
        <v>5</v>
      </c>
      <c r="M176" s="99">
        <f t="shared" ref="M176:M185" si="29">IF(E176="VEDTATT","VEDTATT",0)</f>
        <v>0</v>
      </c>
      <c r="N176" s="99" t="str">
        <f t="shared" ref="N176:N185" si="30">IF(E176="MÅ","Nye tiltak",0)</f>
        <v>Nye tiltak</v>
      </c>
      <c r="O176" s="99"/>
    </row>
    <row r="177" spans="1:15" s="38" customFormat="1" x14ac:dyDescent="0.25">
      <c r="A177" s="78" t="s">
        <v>186</v>
      </c>
      <c r="B177" s="78" t="str">
        <f t="shared" ref="B177:B180" si="31">IF(L177,K177&amp;L177,"")</f>
        <v>K6</v>
      </c>
      <c r="C177" s="344" t="s">
        <v>955</v>
      </c>
      <c r="D177" s="79" t="s">
        <v>91</v>
      </c>
      <c r="E177" s="231" t="s">
        <v>24</v>
      </c>
      <c r="F177" s="69">
        <v>-138</v>
      </c>
      <c r="G177" s="69"/>
      <c r="H177" s="69"/>
      <c r="I177" s="69"/>
      <c r="J177" s="209"/>
      <c r="K177" s="28" t="s">
        <v>724</v>
      </c>
      <c r="L177" s="28">
        <f t="shared" si="27"/>
        <v>6</v>
      </c>
      <c r="M177" s="99"/>
      <c r="N177" s="99"/>
      <c r="O177" s="99"/>
    </row>
    <row r="178" spans="1:15" s="38" customFormat="1" ht="30.75" customHeight="1" x14ac:dyDescent="0.25">
      <c r="A178" s="78" t="s">
        <v>186</v>
      </c>
      <c r="B178" s="78" t="str">
        <f t="shared" si="31"/>
        <v>K7</v>
      </c>
      <c r="C178" s="344" t="s">
        <v>956</v>
      </c>
      <c r="D178" s="79" t="s">
        <v>91</v>
      </c>
      <c r="E178" s="231" t="s">
        <v>24</v>
      </c>
      <c r="F178" s="69">
        <v>235</v>
      </c>
      <c r="G178" s="69">
        <v>235</v>
      </c>
      <c r="H178" s="69">
        <v>235</v>
      </c>
      <c r="I178" s="69">
        <v>235</v>
      </c>
      <c r="J178" s="209"/>
      <c r="K178" s="28" t="s">
        <v>724</v>
      </c>
      <c r="L178" s="28">
        <f t="shared" si="27"/>
        <v>7</v>
      </c>
      <c r="M178" s="99">
        <f t="shared" si="29"/>
        <v>0</v>
      </c>
      <c r="N178" s="99" t="str">
        <f t="shared" si="30"/>
        <v>Nye tiltak</v>
      </c>
      <c r="O178" s="99"/>
    </row>
    <row r="179" spans="1:15" s="38" customFormat="1" ht="30.75" customHeight="1" x14ac:dyDescent="0.25">
      <c r="A179" s="78" t="s">
        <v>186</v>
      </c>
      <c r="B179" s="78" t="str">
        <f t="shared" si="31"/>
        <v>K8</v>
      </c>
      <c r="C179" s="344" t="s">
        <v>957</v>
      </c>
      <c r="D179" s="79" t="s">
        <v>91</v>
      </c>
      <c r="E179" s="231" t="s">
        <v>24</v>
      </c>
      <c r="F179" s="69">
        <v>-235</v>
      </c>
      <c r="G179" s="69"/>
      <c r="H179" s="69"/>
      <c r="I179" s="69"/>
      <c r="J179" s="209"/>
      <c r="K179" s="28" t="s">
        <v>724</v>
      </c>
      <c r="L179" s="28">
        <f t="shared" si="27"/>
        <v>8</v>
      </c>
      <c r="M179" s="99"/>
      <c r="N179" s="99"/>
      <c r="O179" s="99"/>
    </row>
    <row r="180" spans="1:15" s="38" customFormat="1" x14ac:dyDescent="0.25">
      <c r="A180" s="78" t="s">
        <v>186</v>
      </c>
      <c r="B180" s="78" t="str">
        <f t="shared" si="31"/>
        <v>K9</v>
      </c>
      <c r="C180" s="212" t="s">
        <v>958</v>
      </c>
      <c r="D180" s="79" t="s">
        <v>91</v>
      </c>
      <c r="E180" s="231" t="s">
        <v>488</v>
      </c>
      <c r="F180" s="415">
        <v>200</v>
      </c>
      <c r="G180" s="415">
        <v>200</v>
      </c>
      <c r="H180" s="415">
        <v>200</v>
      </c>
      <c r="I180" s="415">
        <v>200</v>
      </c>
      <c r="J180" s="257"/>
      <c r="K180" s="28" t="s">
        <v>724</v>
      </c>
      <c r="L180" s="28">
        <f t="shared" si="27"/>
        <v>9</v>
      </c>
      <c r="M180" s="99">
        <f t="shared" si="29"/>
        <v>0</v>
      </c>
      <c r="N180" s="99">
        <f t="shared" si="30"/>
        <v>0</v>
      </c>
      <c r="O180" s="99"/>
    </row>
    <row r="181" spans="1:15" s="38" customFormat="1" x14ac:dyDescent="0.25">
      <c r="A181" s="78" t="s">
        <v>186</v>
      </c>
      <c r="B181" s="78" t="str">
        <f t="shared" ref="B181:B187" si="32">IF(L181,K181&amp;L181,"")</f>
        <v>K10</v>
      </c>
      <c r="C181" s="212" t="s">
        <v>959</v>
      </c>
      <c r="D181" s="79" t="s">
        <v>91</v>
      </c>
      <c r="E181" s="231" t="s">
        <v>488</v>
      </c>
      <c r="F181" s="415">
        <v>375</v>
      </c>
      <c r="G181" s="415">
        <v>375</v>
      </c>
      <c r="H181" s="415">
        <v>375</v>
      </c>
      <c r="I181" s="415">
        <v>375</v>
      </c>
      <c r="J181" s="209"/>
      <c r="K181" s="28" t="s">
        <v>724</v>
      </c>
      <c r="L181" s="28">
        <f t="shared" si="27"/>
        <v>10</v>
      </c>
      <c r="M181" s="99">
        <f t="shared" si="29"/>
        <v>0</v>
      </c>
      <c r="N181" s="99">
        <f t="shared" si="30"/>
        <v>0</v>
      </c>
      <c r="O181" s="99"/>
    </row>
    <row r="182" spans="1:15" s="38" customFormat="1" x14ac:dyDescent="0.25">
      <c r="A182" s="78" t="s">
        <v>186</v>
      </c>
      <c r="B182" s="78" t="str">
        <f t="shared" si="32"/>
        <v>K11</v>
      </c>
      <c r="C182" s="291"/>
      <c r="D182" s="79"/>
      <c r="E182" s="414"/>
      <c r="F182" s="415"/>
      <c r="G182" s="415"/>
      <c r="H182" s="415"/>
      <c r="I182" s="415"/>
      <c r="J182" s="209"/>
      <c r="K182" s="28" t="s">
        <v>724</v>
      </c>
      <c r="L182" s="28">
        <f t="shared" si="27"/>
        <v>11</v>
      </c>
      <c r="M182" s="99">
        <f t="shared" si="29"/>
        <v>0</v>
      </c>
      <c r="N182" s="99">
        <f t="shared" si="30"/>
        <v>0</v>
      </c>
      <c r="O182" s="99"/>
    </row>
    <row r="183" spans="1:15" s="38" customFormat="1" x14ac:dyDescent="0.25">
      <c r="A183" s="78" t="s">
        <v>186</v>
      </c>
      <c r="B183" s="78" t="str">
        <f t="shared" si="32"/>
        <v>K12</v>
      </c>
      <c r="C183" s="387" t="s">
        <v>185</v>
      </c>
      <c r="D183" s="79"/>
      <c r="E183" s="71"/>
      <c r="F183" s="191"/>
      <c r="G183" s="191"/>
      <c r="H183" s="191"/>
      <c r="I183" s="191"/>
      <c r="J183" s="209"/>
      <c r="K183" s="28" t="s">
        <v>724</v>
      </c>
      <c r="L183" s="28">
        <f t="shared" si="27"/>
        <v>12</v>
      </c>
      <c r="M183" s="99">
        <f t="shared" si="29"/>
        <v>0</v>
      </c>
      <c r="N183" s="99">
        <f t="shared" si="30"/>
        <v>0</v>
      </c>
      <c r="O183" s="99"/>
    </row>
    <row r="184" spans="1:15" s="38" customFormat="1" x14ac:dyDescent="0.25">
      <c r="A184" s="78" t="s">
        <v>186</v>
      </c>
      <c r="B184" s="78" t="str">
        <f t="shared" si="32"/>
        <v>K13</v>
      </c>
      <c r="C184" s="213" t="s">
        <v>728</v>
      </c>
      <c r="D184" s="72" t="s">
        <v>664</v>
      </c>
      <c r="E184" s="71" t="s">
        <v>84</v>
      </c>
      <c r="F184" s="70">
        <v>0</v>
      </c>
      <c r="G184" s="70">
        <v>50</v>
      </c>
      <c r="H184" s="70">
        <v>50</v>
      </c>
      <c r="I184" s="70">
        <v>50</v>
      </c>
      <c r="J184" s="406"/>
      <c r="K184" s="28" t="s">
        <v>724</v>
      </c>
      <c r="L184" s="28">
        <f t="shared" si="27"/>
        <v>13</v>
      </c>
      <c r="M184" s="99" t="str">
        <f t="shared" si="29"/>
        <v>VEDTATT</v>
      </c>
      <c r="N184" s="99">
        <f t="shared" si="30"/>
        <v>0</v>
      </c>
      <c r="O184" s="99"/>
    </row>
    <row r="185" spans="1:15" s="38" customFormat="1" x14ac:dyDescent="0.25">
      <c r="A185" s="78" t="s">
        <v>186</v>
      </c>
      <c r="B185" s="78" t="str">
        <f t="shared" si="32"/>
        <v>K14</v>
      </c>
      <c r="C185" s="213" t="s">
        <v>730</v>
      </c>
      <c r="D185" s="72" t="s">
        <v>664</v>
      </c>
      <c r="E185" s="71" t="s">
        <v>84</v>
      </c>
      <c r="F185" s="90">
        <v>360</v>
      </c>
      <c r="G185" s="90">
        <v>360</v>
      </c>
      <c r="H185" s="90">
        <v>360</v>
      </c>
      <c r="I185" s="90">
        <v>360</v>
      </c>
      <c r="J185" s="466" t="s">
        <v>960</v>
      </c>
      <c r="K185" s="28" t="s">
        <v>724</v>
      </c>
      <c r="L185" s="28">
        <f t="shared" si="27"/>
        <v>14</v>
      </c>
      <c r="M185" s="99" t="str">
        <f t="shared" si="29"/>
        <v>VEDTATT</v>
      </c>
      <c r="N185" s="99">
        <f t="shared" si="30"/>
        <v>0</v>
      </c>
      <c r="O185" s="99"/>
    </row>
    <row r="186" spans="1:15" s="38" customFormat="1" x14ac:dyDescent="0.25">
      <c r="A186" s="78" t="s">
        <v>186</v>
      </c>
      <c r="B186" s="78" t="str">
        <f t="shared" si="32"/>
        <v>K15</v>
      </c>
      <c r="C186" s="213" t="s">
        <v>730</v>
      </c>
      <c r="D186" s="72" t="s">
        <v>664</v>
      </c>
      <c r="E186" s="71" t="s">
        <v>84</v>
      </c>
      <c r="F186" s="90">
        <v>0</v>
      </c>
      <c r="G186" s="90">
        <v>0</v>
      </c>
      <c r="H186" s="90">
        <v>0</v>
      </c>
      <c r="I186" s="90">
        <v>0</v>
      </c>
      <c r="J186" s="466"/>
      <c r="K186" s="28" t="s">
        <v>724</v>
      </c>
      <c r="L186" s="28">
        <f t="shared" si="27"/>
        <v>15</v>
      </c>
      <c r="M186" s="99"/>
      <c r="N186" s="99"/>
      <c r="O186" s="99"/>
    </row>
    <row r="187" spans="1:15" s="38" customFormat="1" x14ac:dyDescent="0.25">
      <c r="A187" s="78" t="s">
        <v>186</v>
      </c>
      <c r="B187" s="78" t="str">
        <f t="shared" si="32"/>
        <v>K16</v>
      </c>
      <c r="C187" s="213" t="s">
        <v>730</v>
      </c>
      <c r="D187" s="72" t="s">
        <v>961</v>
      </c>
      <c r="E187" s="71" t="s">
        <v>24</v>
      </c>
      <c r="F187" s="90">
        <v>0</v>
      </c>
      <c r="G187" s="90">
        <v>1500</v>
      </c>
      <c r="H187" s="90">
        <v>3000</v>
      </c>
      <c r="I187" s="90">
        <v>3000</v>
      </c>
      <c r="J187" s="466" t="s">
        <v>960</v>
      </c>
      <c r="K187" s="28" t="s">
        <v>724</v>
      </c>
      <c r="L187" s="28">
        <f t="shared" si="27"/>
        <v>16</v>
      </c>
      <c r="M187" s="99"/>
      <c r="N187" s="99"/>
      <c r="O187" s="99"/>
    </row>
    <row r="188" spans="1:15" s="38" customFormat="1" x14ac:dyDescent="0.25">
      <c r="A188" s="78"/>
      <c r="B188" s="78"/>
      <c r="C188" s="82"/>
      <c r="D188" s="72"/>
      <c r="E188" s="71"/>
      <c r="F188" s="70"/>
      <c r="G188" s="70"/>
      <c r="H188" s="70"/>
      <c r="I188" s="70"/>
      <c r="J188" s="209"/>
      <c r="K188" s="28" t="s">
        <v>724</v>
      </c>
      <c r="L188" s="28">
        <f>L186+1</f>
        <v>16</v>
      </c>
      <c r="M188" s="99"/>
      <c r="N188" s="99"/>
      <c r="O188" s="99"/>
    </row>
    <row r="189" spans="1:15" s="38" customFormat="1" x14ac:dyDescent="0.25">
      <c r="A189" s="43"/>
      <c r="B189" s="43" t="s">
        <v>127</v>
      </c>
      <c r="C189" s="3" t="s">
        <v>203</v>
      </c>
      <c r="D189" s="52"/>
      <c r="E189" s="52"/>
      <c r="F189" s="56">
        <f>SUMIF($A:$A,"KuN",F:F)</f>
        <v>935</v>
      </c>
      <c r="G189" s="56">
        <f>SUMIF($A:$A,"KuN",G:G)</f>
        <v>2858</v>
      </c>
      <c r="H189" s="56">
        <f>SUMIF($A:$A,"KuN",H:H)</f>
        <v>4358</v>
      </c>
      <c r="I189" s="56">
        <f>SUMIF($A:$A,"KuN",I:I)</f>
        <v>4358</v>
      </c>
      <c r="J189" s="407"/>
      <c r="K189" s="337"/>
      <c r="L189" s="337"/>
      <c r="M189" s="99"/>
      <c r="N189" s="99"/>
      <c r="O189" s="99"/>
    </row>
    <row r="190" spans="1:15" s="38" customFormat="1" x14ac:dyDescent="0.25">
      <c r="A190" s="47"/>
      <c r="B190" s="47"/>
      <c r="C190" s="11"/>
      <c r="D190" s="49"/>
      <c r="E190" s="49"/>
      <c r="F190" s="57"/>
      <c r="G190" s="57"/>
      <c r="H190" s="57"/>
      <c r="I190" s="57"/>
      <c r="J190" s="407"/>
      <c r="K190" s="28"/>
      <c r="L190" s="28"/>
      <c r="M190" s="99"/>
      <c r="N190" s="99"/>
      <c r="O190" s="99"/>
    </row>
    <row r="191" spans="1:15" s="38" customFormat="1" x14ac:dyDescent="0.25">
      <c r="A191" s="48"/>
      <c r="B191" s="48"/>
      <c r="C191" s="248" t="s">
        <v>204</v>
      </c>
      <c r="D191" s="83"/>
      <c r="E191" s="71"/>
      <c r="F191" s="4">
        <f>F171</f>
        <v>2022</v>
      </c>
      <c r="G191" s="4">
        <f>F191+1</f>
        <v>2023</v>
      </c>
      <c r="H191" s="4">
        <f>G191+1</f>
        <v>2024</v>
      </c>
      <c r="I191" s="4">
        <f>H191+1</f>
        <v>2025</v>
      </c>
      <c r="J191" s="407"/>
      <c r="K191" s="337"/>
      <c r="L191" s="337"/>
      <c r="M191" s="99"/>
      <c r="N191" s="99"/>
      <c r="O191" s="99"/>
    </row>
    <row r="192" spans="1:15" s="38" customFormat="1" x14ac:dyDescent="0.25">
      <c r="A192" s="78"/>
      <c r="B192" s="78"/>
      <c r="C192" s="344"/>
      <c r="D192" s="72"/>
      <c r="E192" s="71"/>
      <c r="F192" s="217"/>
      <c r="G192" s="217"/>
      <c r="H192" s="217"/>
      <c r="I192" s="217"/>
      <c r="J192" s="407"/>
      <c r="K192" s="28"/>
      <c r="L192" s="28"/>
      <c r="M192" s="99"/>
      <c r="N192" s="99"/>
      <c r="O192" s="99"/>
    </row>
    <row r="193" spans="1:15" s="38" customFormat="1" x14ac:dyDescent="0.25">
      <c r="A193" s="78"/>
      <c r="B193" s="78"/>
      <c r="C193" s="343"/>
      <c r="D193" s="288"/>
      <c r="E193" s="289"/>
      <c r="F193" s="345"/>
      <c r="G193" s="345"/>
      <c r="H193" s="345"/>
      <c r="I193" s="345"/>
      <c r="J193" s="407"/>
      <c r="K193" s="28"/>
      <c r="L193" s="28"/>
      <c r="M193" s="99"/>
      <c r="N193" s="99"/>
      <c r="O193" s="99"/>
    </row>
    <row r="194" spans="1:15" s="38" customFormat="1" x14ac:dyDescent="0.25">
      <c r="A194" s="78" t="s">
        <v>206</v>
      </c>
      <c r="B194" s="78" t="str">
        <f t="shared" ref="B194:B252" si="33">IF(L194,K194&amp;L194,"")</f>
        <v/>
      </c>
      <c r="C194" s="343"/>
      <c r="D194" s="288"/>
      <c r="E194" s="289"/>
      <c r="F194" s="345"/>
      <c r="G194" s="345"/>
      <c r="H194" s="345"/>
      <c r="I194" s="345"/>
      <c r="J194" s="407"/>
      <c r="K194" s="28" t="s">
        <v>735</v>
      </c>
      <c r="L194" s="28"/>
      <c r="M194" s="99"/>
      <c r="N194" s="99"/>
      <c r="O194" s="99"/>
    </row>
    <row r="195" spans="1:15" s="38" customFormat="1" x14ac:dyDescent="0.25">
      <c r="A195" s="48"/>
      <c r="B195" s="78" t="str">
        <f t="shared" si="33"/>
        <v/>
      </c>
      <c r="C195" s="208" t="s">
        <v>205</v>
      </c>
      <c r="D195" s="83"/>
      <c r="E195" s="71"/>
      <c r="F195" s="4">
        <f>F191</f>
        <v>2022</v>
      </c>
      <c r="G195" s="4">
        <f>F195+1</f>
        <v>2023</v>
      </c>
      <c r="H195" s="4">
        <f>G195+1</f>
        <v>2024</v>
      </c>
      <c r="I195" s="4">
        <f>H195+1</f>
        <v>2025</v>
      </c>
      <c r="J195" s="407"/>
      <c r="K195" s="337"/>
      <c r="L195" s="337"/>
      <c r="M195" s="99"/>
      <c r="N195" s="99"/>
      <c r="O195" s="99"/>
    </row>
    <row r="196" spans="1:15" s="38" customFormat="1" x14ac:dyDescent="0.25">
      <c r="A196" s="78" t="s">
        <v>206</v>
      </c>
      <c r="B196" s="78" t="str">
        <f t="shared" si="33"/>
        <v>T1</v>
      </c>
      <c r="C196" s="212" t="s">
        <v>734</v>
      </c>
      <c r="D196" s="72" t="s">
        <v>91</v>
      </c>
      <c r="E196" s="71" t="s">
        <v>24</v>
      </c>
      <c r="F196" s="373">
        <v>500</v>
      </c>
      <c r="G196" s="373">
        <v>500</v>
      </c>
      <c r="H196" s="373">
        <v>500</v>
      </c>
      <c r="I196" s="398">
        <v>500</v>
      </c>
      <c r="J196" s="93" t="s">
        <v>691</v>
      </c>
      <c r="K196" s="28" t="s">
        <v>735</v>
      </c>
      <c r="L196" s="28">
        <f>L193+1</f>
        <v>1</v>
      </c>
      <c r="M196" s="99"/>
      <c r="N196" s="99"/>
      <c r="O196" s="99"/>
    </row>
    <row r="197" spans="1:15" s="38" customFormat="1" x14ac:dyDescent="0.25">
      <c r="A197" s="78" t="s">
        <v>206</v>
      </c>
      <c r="B197" s="78" t="str">
        <f t="shared" si="33"/>
        <v>T2</v>
      </c>
      <c r="C197" s="212" t="s">
        <v>736</v>
      </c>
      <c r="D197" s="72" t="s">
        <v>91</v>
      </c>
      <c r="E197" s="231" t="s">
        <v>24</v>
      </c>
      <c r="F197" s="373">
        <v>700</v>
      </c>
      <c r="G197" s="373">
        <v>700</v>
      </c>
      <c r="H197" s="373">
        <v>700</v>
      </c>
      <c r="I197" s="398">
        <v>700</v>
      </c>
      <c r="J197" s="93" t="s">
        <v>737</v>
      </c>
      <c r="K197" s="28" t="s">
        <v>735</v>
      </c>
      <c r="L197" s="28">
        <f t="shared" ref="L197:L200" si="34">L196+1</f>
        <v>2</v>
      </c>
      <c r="M197" s="99"/>
      <c r="N197" s="99"/>
      <c r="O197" s="99"/>
    </row>
    <row r="198" spans="1:15" s="38" customFormat="1" x14ac:dyDescent="0.25">
      <c r="A198" s="78" t="s">
        <v>206</v>
      </c>
      <c r="B198" s="78" t="str">
        <f t="shared" si="33"/>
        <v>T3</v>
      </c>
      <c r="C198" s="212" t="s">
        <v>207</v>
      </c>
      <c r="D198" s="72" t="s">
        <v>91</v>
      </c>
      <c r="E198" s="231" t="s">
        <v>24</v>
      </c>
      <c r="F198" s="398">
        <f>6500-5000</f>
        <v>1500</v>
      </c>
      <c r="G198" s="398">
        <f>8000-5000</f>
        <v>3000</v>
      </c>
      <c r="H198" s="398">
        <f>9000-5000</f>
        <v>4000</v>
      </c>
      <c r="I198" s="398">
        <f>9000-5000</f>
        <v>4000</v>
      </c>
      <c r="J198" s="93" t="s">
        <v>738</v>
      </c>
      <c r="K198" s="28" t="s">
        <v>735</v>
      </c>
      <c r="L198" s="28">
        <f t="shared" si="34"/>
        <v>3</v>
      </c>
      <c r="M198" s="99"/>
      <c r="N198" s="99"/>
      <c r="O198" s="99"/>
    </row>
    <row r="199" spans="1:15" s="38" customFormat="1" x14ac:dyDescent="0.25">
      <c r="A199" s="78" t="s">
        <v>206</v>
      </c>
      <c r="B199" s="78" t="str">
        <f t="shared" si="33"/>
        <v>T4</v>
      </c>
      <c r="C199" s="212" t="s">
        <v>564</v>
      </c>
      <c r="D199" s="72" t="s">
        <v>91</v>
      </c>
      <c r="E199" s="231" t="s">
        <v>24</v>
      </c>
      <c r="F199" s="398">
        <v>250</v>
      </c>
      <c r="G199" s="398">
        <v>300</v>
      </c>
      <c r="H199" s="398">
        <v>350</v>
      </c>
      <c r="I199" s="398">
        <v>400</v>
      </c>
      <c r="J199" s="93" t="s">
        <v>739</v>
      </c>
      <c r="K199" s="28" t="s">
        <v>735</v>
      </c>
      <c r="L199" s="28">
        <f t="shared" si="34"/>
        <v>4</v>
      </c>
      <c r="M199" s="99"/>
      <c r="N199" s="99"/>
      <c r="O199" s="99"/>
    </row>
    <row r="200" spans="1:15" s="38" customFormat="1" x14ac:dyDescent="0.25">
      <c r="A200" s="78" t="s">
        <v>206</v>
      </c>
      <c r="B200" s="78" t="str">
        <f t="shared" si="33"/>
        <v>T5</v>
      </c>
      <c r="C200" s="212" t="s">
        <v>962</v>
      </c>
      <c r="D200" s="72" t="s">
        <v>91</v>
      </c>
      <c r="E200" s="231">
        <v>1</v>
      </c>
      <c r="F200" s="398">
        <v>2500</v>
      </c>
      <c r="G200" s="398">
        <v>2500</v>
      </c>
      <c r="H200" s="398">
        <v>2500</v>
      </c>
      <c r="I200" s="398">
        <v>2500</v>
      </c>
      <c r="J200" s="93"/>
      <c r="K200" s="28" t="s">
        <v>735</v>
      </c>
      <c r="L200" s="28">
        <f t="shared" si="34"/>
        <v>5</v>
      </c>
      <c r="M200" s="99"/>
      <c r="N200" s="99"/>
      <c r="O200" s="99"/>
    </row>
    <row r="201" spans="1:15" s="38" customFormat="1" ht="56.25" x14ac:dyDescent="0.25">
      <c r="A201" s="78" t="s">
        <v>206</v>
      </c>
      <c r="B201" s="78"/>
      <c r="C201" s="212" t="s">
        <v>963</v>
      </c>
      <c r="D201" s="72" t="s">
        <v>91</v>
      </c>
      <c r="E201" s="231" t="s">
        <v>24</v>
      </c>
      <c r="F201" s="398">
        <v>500</v>
      </c>
      <c r="G201" s="398">
        <v>500</v>
      </c>
      <c r="H201" s="398">
        <v>500</v>
      </c>
      <c r="I201" s="398">
        <v>500</v>
      </c>
      <c r="J201" s="430" t="s">
        <v>741</v>
      </c>
      <c r="K201" s="28"/>
      <c r="L201" s="28"/>
      <c r="M201" s="99"/>
      <c r="N201" s="99"/>
      <c r="O201" s="99"/>
    </row>
    <row r="202" spans="1:15" s="38" customFormat="1" x14ac:dyDescent="0.25">
      <c r="A202" s="78"/>
      <c r="B202" s="78" t="str">
        <f t="shared" si="33"/>
        <v/>
      </c>
      <c r="C202" s="212"/>
      <c r="D202" s="72"/>
      <c r="E202" s="71"/>
      <c r="F202" s="217"/>
      <c r="G202" s="217"/>
      <c r="H202" s="217"/>
      <c r="I202" s="217"/>
      <c r="J202" s="93"/>
      <c r="K202" s="28"/>
      <c r="L202" s="28"/>
      <c r="M202" s="99"/>
      <c r="N202" s="99"/>
      <c r="O202" s="99"/>
    </row>
    <row r="203" spans="1:15" s="38" customFormat="1" x14ac:dyDescent="0.25">
      <c r="A203" s="78"/>
      <c r="B203" s="78" t="str">
        <f t="shared" si="33"/>
        <v/>
      </c>
      <c r="C203" s="208" t="s">
        <v>209</v>
      </c>
      <c r="D203" s="72"/>
      <c r="E203" s="71"/>
      <c r="F203" s="4">
        <f>F195</f>
        <v>2022</v>
      </c>
      <c r="G203" s="4">
        <f>F203+1</f>
        <v>2023</v>
      </c>
      <c r="H203" s="4">
        <f>G203+1</f>
        <v>2024</v>
      </c>
      <c r="I203" s="4">
        <f>H203+1</f>
        <v>2025</v>
      </c>
      <c r="J203" s="407"/>
      <c r="K203" s="337"/>
      <c r="L203" s="337"/>
      <c r="M203" s="99"/>
      <c r="N203" s="99"/>
      <c r="O203" s="99"/>
    </row>
    <row r="204" spans="1:15" s="38" customFormat="1" x14ac:dyDescent="0.25">
      <c r="A204" s="78" t="s">
        <v>206</v>
      </c>
      <c r="B204" s="78" t="str">
        <f t="shared" si="33"/>
        <v>T6</v>
      </c>
      <c r="C204" s="344" t="s">
        <v>211</v>
      </c>
      <c r="D204" s="72" t="s">
        <v>664</v>
      </c>
      <c r="E204" s="71" t="s">
        <v>84</v>
      </c>
      <c r="F204" s="217"/>
      <c r="G204" s="217">
        <v>-450</v>
      </c>
      <c r="H204" s="217">
        <v>-450</v>
      </c>
      <c r="I204" s="217">
        <v>-450</v>
      </c>
      <c r="J204" s="407" t="s">
        <v>742</v>
      </c>
      <c r="K204" s="28" t="s">
        <v>735</v>
      </c>
      <c r="L204" s="28">
        <f>L200+1</f>
        <v>6</v>
      </c>
      <c r="M204" s="99" t="str">
        <f>IF(E204="VEDTATT","VEDTATT",0)</f>
        <v>VEDTATT</v>
      </c>
      <c r="N204" s="99">
        <f>IF(E204="MÅ","Nye tiltak",0)</f>
        <v>0</v>
      </c>
      <c r="O204" s="99"/>
    </row>
    <row r="205" spans="1:15" s="38" customFormat="1" x14ac:dyDescent="0.25">
      <c r="A205" s="78"/>
      <c r="B205" s="78" t="str">
        <f t="shared" si="33"/>
        <v/>
      </c>
      <c r="C205" s="344"/>
      <c r="D205" s="72"/>
      <c r="E205" s="71"/>
      <c r="F205" s="217"/>
      <c r="G205" s="217"/>
      <c r="H205" s="217"/>
      <c r="I205" s="217"/>
      <c r="J205" s="407"/>
      <c r="K205" s="28"/>
      <c r="L205" s="28"/>
      <c r="M205" s="99"/>
      <c r="N205" s="99"/>
      <c r="O205" s="99"/>
    </row>
    <row r="206" spans="1:15" s="38" customFormat="1" x14ac:dyDescent="0.25">
      <c r="A206" s="78"/>
      <c r="B206" s="78" t="str">
        <f t="shared" si="33"/>
        <v/>
      </c>
      <c r="C206" s="208" t="s">
        <v>213</v>
      </c>
      <c r="D206" s="72"/>
      <c r="E206" s="71"/>
      <c r="F206" s="4">
        <f>F203</f>
        <v>2022</v>
      </c>
      <c r="G206" s="4">
        <f>F206+1</f>
        <v>2023</v>
      </c>
      <c r="H206" s="4">
        <f>G206+1</f>
        <v>2024</v>
      </c>
      <c r="I206" s="4">
        <f>H206+1</f>
        <v>2025</v>
      </c>
      <c r="J206" s="407"/>
      <c r="K206" s="337"/>
      <c r="L206" s="337"/>
      <c r="M206" s="99"/>
      <c r="N206" s="99"/>
      <c r="O206" s="99"/>
    </row>
    <row r="207" spans="1:15" s="38" customFormat="1" x14ac:dyDescent="0.25">
      <c r="A207" s="45" t="s">
        <v>206</v>
      </c>
      <c r="B207" s="78" t="str">
        <f t="shared" si="33"/>
        <v>T7</v>
      </c>
      <c r="C207" s="212" t="s">
        <v>743</v>
      </c>
      <c r="D207" s="72" t="s">
        <v>664</v>
      </c>
      <c r="E207" s="71" t="s">
        <v>84</v>
      </c>
      <c r="F207" s="217">
        <v>0</v>
      </c>
      <c r="G207" s="217">
        <v>-350</v>
      </c>
      <c r="H207" s="217">
        <v>-350</v>
      </c>
      <c r="I207" s="217">
        <v>-350</v>
      </c>
      <c r="J207" s="407"/>
      <c r="K207" s="28" t="s">
        <v>735</v>
      </c>
      <c r="L207" s="28">
        <f>+L204+1</f>
        <v>7</v>
      </c>
      <c r="M207" s="99" t="str">
        <f t="shared" ref="M207:M237" si="35">IF(E207="VEDTATT","VEDTATT",0)</f>
        <v>VEDTATT</v>
      </c>
      <c r="N207" s="99"/>
      <c r="O207" s="99"/>
    </row>
    <row r="208" spans="1:15" s="38" customFormat="1" x14ac:dyDescent="0.25">
      <c r="A208" s="45" t="s">
        <v>206</v>
      </c>
      <c r="B208" s="78" t="str">
        <f t="shared" si="33"/>
        <v>T8</v>
      </c>
      <c r="C208" s="212" t="s">
        <v>871</v>
      </c>
      <c r="D208" s="72" t="s">
        <v>664</v>
      </c>
      <c r="E208" s="71" t="s">
        <v>84</v>
      </c>
      <c r="F208" s="217">
        <v>0</v>
      </c>
      <c r="G208" s="217">
        <v>2500</v>
      </c>
      <c r="H208" s="217">
        <v>2500</v>
      </c>
      <c r="I208" s="217">
        <v>2500</v>
      </c>
      <c r="J208" s="407"/>
      <c r="K208" s="28" t="s">
        <v>735</v>
      </c>
      <c r="L208" s="28">
        <f>+L207+1</f>
        <v>8</v>
      </c>
      <c r="M208" s="99" t="str">
        <f t="shared" si="35"/>
        <v>VEDTATT</v>
      </c>
      <c r="N208" s="99"/>
      <c r="O208" s="99"/>
    </row>
    <row r="209" spans="1:15" s="38" customFormat="1" x14ac:dyDescent="0.25">
      <c r="A209" s="45" t="s">
        <v>206</v>
      </c>
      <c r="B209" s="78" t="str">
        <f t="shared" si="33"/>
        <v>T9</v>
      </c>
      <c r="C209" s="212" t="s">
        <v>745</v>
      </c>
      <c r="D209" s="72" t="s">
        <v>664</v>
      </c>
      <c r="E209" s="71" t="s">
        <v>84</v>
      </c>
      <c r="F209" s="217">
        <v>0</v>
      </c>
      <c r="G209" s="217">
        <v>-350</v>
      </c>
      <c r="H209" s="217">
        <v>-350</v>
      </c>
      <c r="I209" s="217">
        <v>-350</v>
      </c>
      <c r="J209" s="407"/>
      <c r="K209" s="28" t="s">
        <v>735</v>
      </c>
      <c r="L209" s="28">
        <f t="shared" ref="L209:L216" si="36">+L208+1</f>
        <v>9</v>
      </c>
      <c r="M209" s="99" t="str">
        <f t="shared" si="35"/>
        <v>VEDTATT</v>
      </c>
      <c r="N209" s="99">
        <f t="shared" ref="N209:N237" si="37">IF(E209="MÅ","Nye tiltak",0)</f>
        <v>0</v>
      </c>
      <c r="O209" s="99"/>
    </row>
    <row r="210" spans="1:15" s="38" customFormat="1" x14ac:dyDescent="0.25">
      <c r="A210" s="45" t="s">
        <v>206</v>
      </c>
      <c r="B210" s="78" t="str">
        <f t="shared" si="33"/>
        <v>T10</v>
      </c>
      <c r="C210" s="212" t="s">
        <v>566</v>
      </c>
      <c r="D210" s="72" t="s">
        <v>661</v>
      </c>
      <c r="E210" s="71" t="s">
        <v>84</v>
      </c>
      <c r="F210" s="90">
        <v>2000</v>
      </c>
      <c r="G210" s="90">
        <v>2000</v>
      </c>
      <c r="H210" s="90">
        <v>2000</v>
      </c>
      <c r="I210" s="90">
        <v>2000</v>
      </c>
      <c r="J210" s="403" t="s">
        <v>964</v>
      </c>
      <c r="K210" s="28" t="s">
        <v>735</v>
      </c>
      <c r="L210" s="28">
        <f t="shared" si="36"/>
        <v>10</v>
      </c>
      <c r="M210" s="99" t="str">
        <f t="shared" si="35"/>
        <v>VEDTATT</v>
      </c>
      <c r="N210" s="99">
        <f t="shared" si="37"/>
        <v>0</v>
      </c>
      <c r="O210" s="99"/>
    </row>
    <row r="211" spans="1:15" s="38" customFormat="1" x14ac:dyDescent="0.25">
      <c r="A211" s="45" t="s">
        <v>206</v>
      </c>
      <c r="B211" s="78" t="str">
        <f t="shared" si="33"/>
        <v>T11</v>
      </c>
      <c r="C211" s="212" t="s">
        <v>746</v>
      </c>
      <c r="D211" s="72" t="s">
        <v>91</v>
      </c>
      <c r="E211" s="231" t="s">
        <v>24</v>
      </c>
      <c r="F211" s="399">
        <v>10</v>
      </c>
      <c r="G211" s="399">
        <v>20</v>
      </c>
      <c r="H211" s="399">
        <v>30</v>
      </c>
      <c r="I211" s="399">
        <v>40</v>
      </c>
      <c r="J211" s="209" t="s">
        <v>747</v>
      </c>
      <c r="K211" s="28" t="s">
        <v>735</v>
      </c>
      <c r="L211" s="28">
        <f t="shared" si="36"/>
        <v>11</v>
      </c>
      <c r="M211" s="99">
        <f t="shared" si="35"/>
        <v>0</v>
      </c>
      <c r="N211" s="99" t="str">
        <f t="shared" si="37"/>
        <v>Nye tiltak</v>
      </c>
      <c r="O211" s="99"/>
    </row>
    <row r="212" spans="1:15" s="38" customFormat="1" x14ac:dyDescent="0.25">
      <c r="A212" s="45" t="s">
        <v>206</v>
      </c>
      <c r="B212" s="78" t="str">
        <f t="shared" si="33"/>
        <v>T12</v>
      </c>
      <c r="C212" s="212" t="s">
        <v>965</v>
      </c>
      <c r="D212" s="72" t="s">
        <v>91</v>
      </c>
      <c r="E212" s="231">
        <v>2</v>
      </c>
      <c r="F212" s="399">
        <v>200</v>
      </c>
      <c r="G212" s="399">
        <v>500</v>
      </c>
      <c r="H212" s="399">
        <v>500</v>
      </c>
      <c r="I212" s="399">
        <v>500</v>
      </c>
      <c r="J212" s="209"/>
      <c r="K212" s="28" t="s">
        <v>735</v>
      </c>
      <c r="L212" s="28">
        <f t="shared" si="36"/>
        <v>12</v>
      </c>
      <c r="M212" s="99">
        <f t="shared" si="35"/>
        <v>0</v>
      </c>
      <c r="N212" s="99">
        <f t="shared" si="37"/>
        <v>0</v>
      </c>
      <c r="O212" s="99"/>
    </row>
    <row r="213" spans="1:15" s="38" customFormat="1" x14ac:dyDescent="0.25">
      <c r="A213" s="45" t="s">
        <v>206</v>
      </c>
      <c r="B213" s="78" t="str">
        <f t="shared" si="33"/>
        <v>T13</v>
      </c>
      <c r="C213" s="212" t="s">
        <v>872</v>
      </c>
      <c r="D213" s="72" t="s">
        <v>91</v>
      </c>
      <c r="E213" s="71" t="s">
        <v>24</v>
      </c>
      <c r="F213" s="399">
        <v>1300</v>
      </c>
      <c r="G213" s="399">
        <v>1300</v>
      </c>
      <c r="H213" s="399">
        <v>1300</v>
      </c>
      <c r="I213" s="399">
        <v>1300</v>
      </c>
      <c r="J213" s="93" t="s">
        <v>691</v>
      </c>
      <c r="K213" s="28" t="s">
        <v>735</v>
      </c>
      <c r="L213" s="28">
        <f t="shared" si="36"/>
        <v>13</v>
      </c>
      <c r="M213" s="99">
        <f t="shared" si="35"/>
        <v>0</v>
      </c>
      <c r="N213" s="99" t="str">
        <f t="shared" si="37"/>
        <v>Nye tiltak</v>
      </c>
      <c r="O213" s="99"/>
    </row>
    <row r="214" spans="1:15" s="38" customFormat="1" x14ac:dyDescent="0.25">
      <c r="A214" s="45" t="s">
        <v>206</v>
      </c>
      <c r="B214" s="78" t="str">
        <f t="shared" si="33"/>
        <v>T14</v>
      </c>
      <c r="C214" s="212" t="s">
        <v>749</v>
      </c>
      <c r="D214" s="72" t="s">
        <v>91</v>
      </c>
      <c r="E214" s="71" t="s">
        <v>24</v>
      </c>
      <c r="F214" s="399">
        <v>400</v>
      </c>
      <c r="G214" s="399">
        <v>400</v>
      </c>
      <c r="H214" s="399">
        <v>400</v>
      </c>
      <c r="I214" s="399">
        <v>400</v>
      </c>
      <c r="J214" s="93" t="s">
        <v>691</v>
      </c>
      <c r="K214" s="28" t="s">
        <v>735</v>
      </c>
      <c r="L214" s="28">
        <f t="shared" si="36"/>
        <v>14</v>
      </c>
      <c r="M214" s="99">
        <f t="shared" si="35"/>
        <v>0</v>
      </c>
      <c r="N214" s="99" t="str">
        <f t="shared" si="37"/>
        <v>Nye tiltak</v>
      </c>
      <c r="O214" s="99"/>
    </row>
    <row r="215" spans="1:15" s="38" customFormat="1" x14ac:dyDescent="0.25">
      <c r="A215" s="45" t="s">
        <v>206</v>
      </c>
      <c r="B215" s="78" t="str">
        <f t="shared" si="33"/>
        <v>T15</v>
      </c>
      <c r="C215" s="212" t="s">
        <v>873</v>
      </c>
      <c r="D215" s="72" t="s">
        <v>91</v>
      </c>
      <c r="E215" s="71" t="s">
        <v>24</v>
      </c>
      <c r="F215" s="399">
        <v>585</v>
      </c>
      <c r="G215" s="399">
        <v>585</v>
      </c>
      <c r="H215" s="399">
        <v>585</v>
      </c>
      <c r="I215" s="399">
        <v>585</v>
      </c>
      <c r="J215" s="93" t="s">
        <v>691</v>
      </c>
      <c r="K215" s="28" t="s">
        <v>735</v>
      </c>
      <c r="L215" s="28">
        <f>+L214+1</f>
        <v>15</v>
      </c>
      <c r="M215" s="99">
        <f t="shared" si="35"/>
        <v>0</v>
      </c>
      <c r="N215" s="99" t="str">
        <f t="shared" si="37"/>
        <v>Nye tiltak</v>
      </c>
      <c r="O215" s="99"/>
    </row>
    <row r="216" spans="1:15" s="38" customFormat="1" ht="45" x14ac:dyDescent="0.25">
      <c r="A216" s="45" t="s">
        <v>206</v>
      </c>
      <c r="B216" s="78" t="str">
        <f t="shared" si="33"/>
        <v>T16</v>
      </c>
      <c r="C216" s="462" t="s">
        <v>751</v>
      </c>
      <c r="D216" s="72" t="s">
        <v>91</v>
      </c>
      <c r="E216" s="231" t="s">
        <v>24</v>
      </c>
      <c r="F216" s="463">
        <v>700</v>
      </c>
      <c r="G216" s="463">
        <v>700</v>
      </c>
      <c r="H216" s="463">
        <v>700</v>
      </c>
      <c r="I216" s="463">
        <v>700</v>
      </c>
      <c r="J216" s="406" t="s">
        <v>752</v>
      </c>
      <c r="K216" s="28" t="s">
        <v>735</v>
      </c>
      <c r="L216" s="28">
        <f t="shared" si="36"/>
        <v>16</v>
      </c>
      <c r="M216" s="99">
        <f t="shared" si="35"/>
        <v>0</v>
      </c>
      <c r="N216" s="99" t="str">
        <f t="shared" si="37"/>
        <v>Nye tiltak</v>
      </c>
      <c r="O216" s="99"/>
    </row>
    <row r="217" spans="1:15" s="38" customFormat="1" x14ac:dyDescent="0.25">
      <c r="A217" s="45"/>
      <c r="B217" s="78"/>
      <c r="C217" s="212"/>
      <c r="D217" s="72"/>
      <c r="E217" s="71"/>
      <c r="F217" s="390"/>
      <c r="G217" s="390"/>
      <c r="H217" s="390"/>
      <c r="I217" s="390"/>
      <c r="J217" s="209"/>
      <c r="K217" s="28"/>
      <c r="L217" s="28"/>
      <c r="M217" s="99">
        <f t="shared" si="35"/>
        <v>0</v>
      </c>
      <c r="N217" s="99">
        <f t="shared" si="37"/>
        <v>0</v>
      </c>
      <c r="O217" s="99"/>
    </row>
    <row r="218" spans="1:15" s="38" customFormat="1" x14ac:dyDescent="0.25">
      <c r="A218" s="45"/>
      <c r="B218" s="78" t="str">
        <f t="shared" si="33"/>
        <v/>
      </c>
      <c r="C218" s="208" t="s">
        <v>966</v>
      </c>
      <c r="D218" s="72"/>
      <c r="E218" s="71"/>
      <c r="F218" s="4">
        <f>F206</f>
        <v>2022</v>
      </c>
      <c r="G218" s="4">
        <f>F218+1</f>
        <v>2023</v>
      </c>
      <c r="H218" s="4">
        <f>G218+1</f>
        <v>2024</v>
      </c>
      <c r="I218" s="4">
        <f>H218+1</f>
        <v>2025</v>
      </c>
      <c r="J218" s="407"/>
      <c r="K218" s="337"/>
      <c r="L218" s="337"/>
      <c r="M218" s="99">
        <f t="shared" si="35"/>
        <v>0</v>
      </c>
      <c r="N218" s="99">
        <f t="shared" si="37"/>
        <v>0</v>
      </c>
      <c r="O218" s="99"/>
    </row>
    <row r="219" spans="1:15" s="38" customFormat="1" x14ac:dyDescent="0.2">
      <c r="A219" s="45" t="s">
        <v>206</v>
      </c>
      <c r="B219" s="78" t="str">
        <f>IF(L219,K219&amp;L219,"")</f>
        <v>T17</v>
      </c>
      <c r="C219" s="384"/>
      <c r="D219" s="72"/>
      <c r="E219" s="71"/>
      <c r="F219" s="217"/>
      <c r="G219" s="217"/>
      <c r="H219" s="217"/>
      <c r="I219" s="217"/>
      <c r="J219" s="407"/>
      <c r="K219" s="28" t="s">
        <v>735</v>
      </c>
      <c r="L219" s="28">
        <f>L216+1</f>
        <v>17</v>
      </c>
      <c r="M219" s="99">
        <f t="shared" si="35"/>
        <v>0</v>
      </c>
      <c r="N219" s="99">
        <f t="shared" si="37"/>
        <v>0</v>
      </c>
      <c r="O219" s="99"/>
    </row>
    <row r="220" spans="1:15" s="38" customFormat="1" x14ac:dyDescent="0.2">
      <c r="A220" s="45" t="s">
        <v>206</v>
      </c>
      <c r="B220" s="78" t="str">
        <f t="shared" si="33"/>
        <v>T18</v>
      </c>
      <c r="C220" s="384"/>
      <c r="D220" s="72"/>
      <c r="E220" s="71"/>
      <c r="F220" s="217"/>
      <c r="G220" s="217"/>
      <c r="H220" s="217"/>
      <c r="I220" s="217"/>
      <c r="J220" s="407"/>
      <c r="K220" s="28" t="s">
        <v>735</v>
      </c>
      <c r="L220" s="28">
        <f>L219+1</f>
        <v>18</v>
      </c>
      <c r="M220" s="99">
        <f t="shared" si="35"/>
        <v>0</v>
      </c>
      <c r="N220" s="99">
        <f t="shared" si="37"/>
        <v>0</v>
      </c>
      <c r="O220" s="99"/>
    </row>
    <row r="221" spans="1:15" s="38" customFormat="1" x14ac:dyDescent="0.25">
      <c r="A221" s="45"/>
      <c r="B221" s="78" t="str">
        <f t="shared" si="33"/>
        <v/>
      </c>
      <c r="C221" s="208"/>
      <c r="D221" s="72"/>
      <c r="E221" s="71"/>
      <c r="F221" s="217"/>
      <c r="G221" s="217"/>
      <c r="H221" s="217"/>
      <c r="I221" s="217"/>
      <c r="J221" s="407"/>
      <c r="K221" s="28"/>
      <c r="L221" s="28"/>
      <c r="M221" s="99">
        <f t="shared" si="35"/>
        <v>0</v>
      </c>
      <c r="N221" s="99">
        <f t="shared" si="37"/>
        <v>0</v>
      </c>
      <c r="O221" s="99"/>
    </row>
    <row r="222" spans="1:15" s="38" customFormat="1" x14ac:dyDescent="0.25">
      <c r="A222" s="45"/>
      <c r="B222" s="78" t="str">
        <f t="shared" si="33"/>
        <v/>
      </c>
      <c r="C222" s="208" t="s">
        <v>967</v>
      </c>
      <c r="D222" s="72"/>
      <c r="E222" s="71"/>
      <c r="F222" s="4">
        <f>F218</f>
        <v>2022</v>
      </c>
      <c r="G222" s="4">
        <f>F222+1</f>
        <v>2023</v>
      </c>
      <c r="H222" s="4">
        <f>G222+1</f>
        <v>2024</v>
      </c>
      <c r="I222" s="4">
        <f>H222+1</f>
        <v>2025</v>
      </c>
      <c r="J222" s="407"/>
      <c r="K222" s="337"/>
      <c r="L222" s="337"/>
      <c r="M222" s="99">
        <f t="shared" si="35"/>
        <v>0</v>
      </c>
      <c r="N222" s="99">
        <f t="shared" si="37"/>
        <v>0</v>
      </c>
      <c r="O222" s="99"/>
    </row>
    <row r="223" spans="1:15" s="38" customFormat="1" x14ac:dyDescent="0.2">
      <c r="A223" s="45" t="s">
        <v>206</v>
      </c>
      <c r="B223" s="78" t="str">
        <f t="shared" si="33"/>
        <v>T19</v>
      </c>
      <c r="C223" s="384"/>
      <c r="D223" s="72"/>
      <c r="E223" s="71"/>
      <c r="F223" s="217"/>
      <c r="G223" s="217"/>
      <c r="H223" s="217"/>
      <c r="I223" s="217"/>
      <c r="J223" s="407"/>
      <c r="K223" s="28" t="s">
        <v>735</v>
      </c>
      <c r="L223" s="28">
        <f>L220+1</f>
        <v>19</v>
      </c>
      <c r="M223" s="99">
        <f t="shared" si="35"/>
        <v>0</v>
      </c>
      <c r="N223" s="99">
        <f t="shared" si="37"/>
        <v>0</v>
      </c>
      <c r="O223" s="99"/>
    </row>
    <row r="224" spans="1:15" s="38" customFormat="1" x14ac:dyDescent="0.2">
      <c r="A224" s="45" t="s">
        <v>206</v>
      </c>
      <c r="B224" s="78" t="str">
        <f t="shared" si="33"/>
        <v>T20</v>
      </c>
      <c r="C224" s="384"/>
      <c r="D224" s="72"/>
      <c r="E224" s="71"/>
      <c r="F224" s="217"/>
      <c r="G224" s="217"/>
      <c r="H224" s="217"/>
      <c r="I224" s="217"/>
      <c r="J224" s="407"/>
      <c r="K224" s="28" t="s">
        <v>735</v>
      </c>
      <c r="L224" s="28">
        <f>L223+1</f>
        <v>20</v>
      </c>
      <c r="M224" s="99">
        <f t="shared" si="35"/>
        <v>0</v>
      </c>
      <c r="N224" s="99">
        <f t="shared" si="37"/>
        <v>0</v>
      </c>
      <c r="O224" s="99"/>
    </row>
    <row r="225" spans="1:16" s="38" customFormat="1" x14ac:dyDescent="0.2">
      <c r="A225" s="45"/>
      <c r="B225" s="78" t="str">
        <f t="shared" si="33"/>
        <v/>
      </c>
      <c r="C225" s="384"/>
      <c r="D225" s="72"/>
      <c r="E225" s="71"/>
      <c r="F225" s="217"/>
      <c r="G225" s="217"/>
      <c r="H225" s="217"/>
      <c r="I225" s="217"/>
      <c r="J225" s="407"/>
      <c r="K225" s="28"/>
      <c r="L225" s="28"/>
      <c r="M225" s="99">
        <f t="shared" si="35"/>
        <v>0</v>
      </c>
      <c r="N225" s="99">
        <f t="shared" si="37"/>
        <v>0</v>
      </c>
      <c r="O225" s="99"/>
    </row>
    <row r="226" spans="1:16" s="38" customFormat="1" x14ac:dyDescent="0.25">
      <c r="A226" s="45"/>
      <c r="B226" s="78" t="str">
        <f t="shared" si="33"/>
        <v/>
      </c>
      <c r="C226" s="208" t="s">
        <v>968</v>
      </c>
      <c r="D226" s="72"/>
      <c r="E226" s="71"/>
      <c r="F226" s="4">
        <f>F218</f>
        <v>2022</v>
      </c>
      <c r="G226" s="4">
        <f>F226+1</f>
        <v>2023</v>
      </c>
      <c r="H226" s="4">
        <f>G226+1</f>
        <v>2024</v>
      </c>
      <c r="I226" s="4">
        <f>H226+1</f>
        <v>2025</v>
      </c>
      <c r="J226" s="407"/>
      <c r="K226" s="337"/>
      <c r="L226" s="337"/>
      <c r="M226" s="99">
        <f t="shared" si="35"/>
        <v>0</v>
      </c>
      <c r="N226" s="99">
        <f t="shared" si="37"/>
        <v>0</v>
      </c>
      <c r="O226" s="99"/>
    </row>
    <row r="227" spans="1:16" s="38" customFormat="1" x14ac:dyDescent="0.2">
      <c r="A227" s="45" t="s">
        <v>206</v>
      </c>
      <c r="B227" s="78" t="str">
        <f t="shared" si="33"/>
        <v>T21</v>
      </c>
      <c r="C227" s="384"/>
      <c r="D227" s="72"/>
      <c r="E227" s="71"/>
      <c r="F227" s="70"/>
      <c r="G227" s="70"/>
      <c r="H227" s="70"/>
      <c r="I227" s="217"/>
      <c r="J227" s="407"/>
      <c r="K227" s="28" t="s">
        <v>735</v>
      </c>
      <c r="L227" s="28">
        <f>L224+1</f>
        <v>21</v>
      </c>
      <c r="M227" s="99">
        <f t="shared" si="35"/>
        <v>0</v>
      </c>
      <c r="N227" s="99">
        <f t="shared" si="37"/>
        <v>0</v>
      </c>
      <c r="O227" s="99"/>
    </row>
    <row r="228" spans="1:16" s="38" customFormat="1" x14ac:dyDescent="0.25">
      <c r="A228" s="45" t="s">
        <v>206</v>
      </c>
      <c r="B228" s="78" t="str">
        <f t="shared" si="33"/>
        <v>T22</v>
      </c>
      <c r="C228" s="213"/>
      <c r="D228" s="72"/>
      <c r="E228" s="71"/>
      <c r="F228" s="70"/>
      <c r="G228" s="70"/>
      <c r="H228" s="70"/>
      <c r="I228" s="217"/>
      <c r="J228" s="407"/>
      <c r="K228" s="28" t="s">
        <v>735</v>
      </c>
      <c r="L228" s="28">
        <f>L227+1</f>
        <v>22</v>
      </c>
      <c r="M228" s="99">
        <f t="shared" si="35"/>
        <v>0</v>
      </c>
      <c r="N228" s="99">
        <f t="shared" si="37"/>
        <v>0</v>
      </c>
      <c r="O228" s="99"/>
    </row>
    <row r="229" spans="1:16" s="38" customFormat="1" x14ac:dyDescent="0.25">
      <c r="A229" s="45"/>
      <c r="B229" s="78" t="str">
        <f t="shared" si="33"/>
        <v/>
      </c>
      <c r="C229" s="212"/>
      <c r="D229" s="72"/>
      <c r="E229" s="71"/>
      <c r="F229" s="217"/>
      <c r="G229" s="217"/>
      <c r="H229" s="217"/>
      <c r="I229" s="217"/>
      <c r="J229" s="407"/>
      <c r="K229" s="28"/>
      <c r="L229" s="28"/>
      <c r="M229" s="99">
        <f t="shared" si="35"/>
        <v>0</v>
      </c>
      <c r="N229" s="99">
        <f t="shared" si="37"/>
        <v>0</v>
      </c>
      <c r="O229" s="99"/>
    </row>
    <row r="230" spans="1:16" s="38" customFormat="1" x14ac:dyDescent="0.25">
      <c r="A230" s="45"/>
      <c r="B230" s="78" t="str">
        <f t="shared" si="33"/>
        <v/>
      </c>
      <c r="C230" s="208" t="s">
        <v>969</v>
      </c>
      <c r="D230" s="72"/>
      <c r="E230" s="71"/>
      <c r="F230" s="4">
        <f>F226</f>
        <v>2022</v>
      </c>
      <c r="G230" s="4">
        <f>F230+1</f>
        <v>2023</v>
      </c>
      <c r="H230" s="4">
        <f>G230+1</f>
        <v>2024</v>
      </c>
      <c r="I230" s="4">
        <f>H230+1</f>
        <v>2025</v>
      </c>
      <c r="J230" s="407"/>
      <c r="K230" s="28"/>
      <c r="L230" s="28"/>
      <c r="M230" s="99">
        <f t="shared" si="35"/>
        <v>0</v>
      </c>
      <c r="N230" s="99">
        <f t="shared" si="37"/>
        <v>0</v>
      </c>
      <c r="O230" s="99"/>
    </row>
    <row r="231" spans="1:16" s="38" customFormat="1" x14ac:dyDescent="0.2">
      <c r="A231" s="45" t="s">
        <v>206</v>
      </c>
      <c r="B231" s="78" t="str">
        <f t="shared" si="33"/>
        <v>T23</v>
      </c>
      <c r="C231" s="385"/>
      <c r="D231" s="72"/>
      <c r="E231" s="71"/>
      <c r="F231" s="217"/>
      <c r="G231" s="217"/>
      <c r="H231" s="217"/>
      <c r="I231" s="217"/>
      <c r="J231" s="407"/>
      <c r="K231" s="28" t="s">
        <v>735</v>
      </c>
      <c r="L231" s="28">
        <f>L228+1</f>
        <v>23</v>
      </c>
      <c r="M231" s="99">
        <f t="shared" si="35"/>
        <v>0</v>
      </c>
      <c r="N231" s="99">
        <f t="shared" si="37"/>
        <v>0</v>
      </c>
      <c r="O231" s="99"/>
    </row>
    <row r="232" spans="1:16" s="38" customFormat="1" x14ac:dyDescent="0.2">
      <c r="A232" s="45"/>
      <c r="B232" s="78" t="str">
        <f t="shared" si="33"/>
        <v/>
      </c>
      <c r="C232" s="385"/>
      <c r="D232" s="72"/>
      <c r="E232" s="71"/>
      <c r="F232" s="217"/>
      <c r="G232" s="217"/>
      <c r="H232" s="217"/>
      <c r="I232" s="217"/>
      <c r="J232" s="407"/>
      <c r="K232" s="28"/>
      <c r="L232" s="28"/>
      <c r="M232" s="99">
        <f t="shared" si="35"/>
        <v>0</v>
      </c>
      <c r="N232" s="99">
        <f t="shared" si="37"/>
        <v>0</v>
      </c>
      <c r="O232" s="99"/>
    </row>
    <row r="233" spans="1:16" s="38" customFormat="1" x14ac:dyDescent="0.25">
      <c r="A233" s="45"/>
      <c r="B233" s="78" t="str">
        <f t="shared" si="33"/>
        <v/>
      </c>
      <c r="C233" s="208" t="s">
        <v>756</v>
      </c>
      <c r="D233" s="72"/>
      <c r="E233" s="71"/>
      <c r="F233" s="217"/>
      <c r="G233" s="217"/>
      <c r="H233" s="217"/>
      <c r="I233" s="217"/>
      <c r="J233" s="407"/>
      <c r="K233" s="28"/>
      <c r="L233" s="28"/>
      <c r="M233" s="99">
        <f t="shared" si="35"/>
        <v>0</v>
      </c>
      <c r="N233" s="99">
        <f t="shared" si="37"/>
        <v>0</v>
      </c>
      <c r="O233" s="99"/>
    </row>
    <row r="234" spans="1:16" s="38" customFormat="1" x14ac:dyDescent="0.25">
      <c r="A234" s="45" t="s">
        <v>206</v>
      </c>
      <c r="B234" s="78" t="str">
        <f t="shared" si="33"/>
        <v>T24</v>
      </c>
      <c r="C234" s="84" t="s">
        <v>757</v>
      </c>
      <c r="D234" s="72" t="s">
        <v>91</v>
      </c>
      <c r="E234" s="71" t="s">
        <v>24</v>
      </c>
      <c r="F234" s="217">
        <v>60</v>
      </c>
      <c r="G234" s="217">
        <v>60</v>
      </c>
      <c r="H234" s="217">
        <v>60</v>
      </c>
      <c r="I234" s="217">
        <v>60</v>
      </c>
      <c r="J234" s="93" t="s">
        <v>691</v>
      </c>
      <c r="K234" s="28" t="s">
        <v>735</v>
      </c>
      <c r="L234" s="28">
        <f>L231+1</f>
        <v>24</v>
      </c>
      <c r="M234" s="99">
        <f t="shared" si="35"/>
        <v>0</v>
      </c>
      <c r="N234" s="99" t="str">
        <f t="shared" si="37"/>
        <v>Nye tiltak</v>
      </c>
      <c r="O234" s="99"/>
    </row>
    <row r="235" spans="1:16" s="38" customFormat="1" x14ac:dyDescent="0.25">
      <c r="A235" s="45" t="s">
        <v>206</v>
      </c>
      <c r="B235" s="78" t="str">
        <f t="shared" si="33"/>
        <v>T25</v>
      </c>
      <c r="C235" s="212"/>
      <c r="D235" s="72" t="s">
        <v>91</v>
      </c>
      <c r="E235" s="289"/>
      <c r="F235" s="217"/>
      <c r="G235" s="217"/>
      <c r="H235" s="217"/>
      <c r="I235" s="217"/>
      <c r="J235" s="407"/>
      <c r="K235" s="28" t="s">
        <v>735</v>
      </c>
      <c r="L235" s="28">
        <f>L234+1</f>
        <v>25</v>
      </c>
      <c r="M235" s="99">
        <f t="shared" si="35"/>
        <v>0</v>
      </c>
      <c r="N235" s="99">
        <f t="shared" si="37"/>
        <v>0</v>
      </c>
      <c r="O235" s="99"/>
    </row>
    <row r="236" spans="1:16" s="38" customFormat="1" x14ac:dyDescent="0.25">
      <c r="A236" s="45" t="s">
        <v>206</v>
      </c>
      <c r="B236" s="78" t="str">
        <f t="shared" si="33"/>
        <v>T26</v>
      </c>
      <c r="C236" s="212"/>
      <c r="D236" s="72" t="s">
        <v>91</v>
      </c>
      <c r="E236" s="289"/>
      <c r="F236" s="217"/>
      <c r="G236" s="217"/>
      <c r="H236" s="217"/>
      <c r="I236" s="217"/>
      <c r="J236" s="407"/>
      <c r="K236" s="28" t="s">
        <v>735</v>
      </c>
      <c r="L236" s="28">
        <f>L235+1</f>
        <v>26</v>
      </c>
      <c r="M236" s="99">
        <f t="shared" si="35"/>
        <v>0</v>
      </c>
      <c r="N236" s="99">
        <f t="shared" si="37"/>
        <v>0</v>
      </c>
      <c r="O236" s="99"/>
    </row>
    <row r="237" spans="1:16" s="38" customFormat="1" x14ac:dyDescent="0.25">
      <c r="A237" s="45"/>
      <c r="B237" s="78" t="str">
        <f t="shared" si="33"/>
        <v/>
      </c>
      <c r="C237" s="212"/>
      <c r="D237" s="72"/>
      <c r="E237" s="289"/>
      <c r="F237" s="217"/>
      <c r="G237" s="217"/>
      <c r="H237" s="217"/>
      <c r="I237" s="217"/>
      <c r="J237" s="407"/>
      <c r="K237" s="28"/>
      <c r="L237" s="28"/>
      <c r="M237" s="99">
        <f t="shared" si="35"/>
        <v>0</v>
      </c>
      <c r="N237" s="99">
        <f t="shared" si="37"/>
        <v>0</v>
      </c>
      <c r="O237" s="99"/>
    </row>
    <row r="238" spans="1:16" s="38" customFormat="1" x14ac:dyDescent="0.25">
      <c r="A238" s="45"/>
      <c r="B238" s="78" t="str">
        <f t="shared" si="33"/>
        <v/>
      </c>
      <c r="C238" s="208" t="s">
        <v>970</v>
      </c>
      <c r="D238" s="72"/>
      <c r="E238" s="71"/>
      <c r="F238" s="4">
        <f>F226</f>
        <v>2022</v>
      </c>
      <c r="G238" s="4">
        <f>F238+1</f>
        <v>2023</v>
      </c>
      <c r="H238" s="4">
        <f>G238+1</f>
        <v>2024</v>
      </c>
      <c r="I238" s="4">
        <f>H238+1</f>
        <v>2025</v>
      </c>
      <c r="J238" s="407"/>
      <c r="K238" s="337"/>
      <c r="L238" s="337"/>
      <c r="M238" s="99"/>
      <c r="N238" s="99"/>
      <c r="O238" s="99"/>
    </row>
    <row r="239" spans="1:16" s="291" customFormat="1" x14ac:dyDescent="0.25">
      <c r="A239" s="338" t="s">
        <v>206</v>
      </c>
      <c r="B239" s="78" t="str">
        <f t="shared" si="33"/>
        <v>T27</v>
      </c>
      <c r="C239" s="213" t="s">
        <v>971</v>
      </c>
      <c r="D239" s="72" t="s">
        <v>664</v>
      </c>
      <c r="E239" s="71" t="s">
        <v>84</v>
      </c>
      <c r="F239" s="217">
        <v>0</v>
      </c>
      <c r="G239" s="217">
        <v>0</v>
      </c>
      <c r="H239" s="217">
        <v>0</v>
      </c>
      <c r="I239" s="217">
        <v>0</v>
      </c>
      <c r="J239" s="408"/>
      <c r="K239" s="293" t="s">
        <v>735</v>
      </c>
      <c r="L239" s="293">
        <f>L236+1</f>
        <v>27</v>
      </c>
      <c r="M239" s="99" t="str">
        <f>IF(E239="VEDTATT","VEDTATT",0)</f>
        <v>VEDTATT</v>
      </c>
      <c r="N239" s="99">
        <f>IF(E239="MÅ","Nye tiltak",0)</f>
        <v>0</v>
      </c>
      <c r="O239" s="99"/>
      <c r="P239" s="293"/>
    </row>
    <row r="240" spans="1:16" s="291" customFormat="1" x14ac:dyDescent="0.25">
      <c r="A240" s="338" t="s">
        <v>206</v>
      </c>
      <c r="B240" s="78" t="str">
        <f t="shared" si="33"/>
        <v>T28</v>
      </c>
      <c r="C240" s="213" t="s">
        <v>972</v>
      </c>
      <c r="D240" s="72" t="s">
        <v>664</v>
      </c>
      <c r="E240" s="71" t="s">
        <v>84</v>
      </c>
      <c r="F240" s="217">
        <v>0</v>
      </c>
      <c r="G240" s="217">
        <v>0</v>
      </c>
      <c r="H240" s="217">
        <v>0</v>
      </c>
      <c r="I240" s="217">
        <v>0</v>
      </c>
      <c r="J240" s="408"/>
      <c r="K240" s="293" t="s">
        <v>735</v>
      </c>
      <c r="L240" s="293">
        <f>+L239+1</f>
        <v>28</v>
      </c>
      <c r="M240" s="99" t="str">
        <f>IF(E240="VEDTATT","VEDTATT",0)</f>
        <v>VEDTATT</v>
      </c>
      <c r="N240" s="99">
        <f>IF(E240="MÅ","Nye tiltak",0)</f>
        <v>0</v>
      </c>
      <c r="O240" s="99"/>
      <c r="P240" s="293"/>
    </row>
    <row r="241" spans="1:16" s="291" customFormat="1" x14ac:dyDescent="0.25">
      <c r="A241" s="338" t="s">
        <v>206</v>
      </c>
      <c r="B241" s="78" t="str">
        <f t="shared" si="33"/>
        <v>T29</v>
      </c>
      <c r="C241" s="213" t="s">
        <v>973</v>
      </c>
      <c r="D241" s="72" t="s">
        <v>664</v>
      </c>
      <c r="E241" s="71" t="s">
        <v>84</v>
      </c>
      <c r="F241" s="217">
        <v>0</v>
      </c>
      <c r="G241" s="217">
        <v>0</v>
      </c>
      <c r="H241" s="217">
        <v>0</v>
      </c>
      <c r="I241" s="217">
        <v>0</v>
      </c>
      <c r="J241" s="408"/>
      <c r="K241" s="293" t="s">
        <v>735</v>
      </c>
      <c r="L241" s="293">
        <f>+L240+1</f>
        <v>29</v>
      </c>
      <c r="M241" s="99" t="str">
        <f>IF(E241="VEDTATT","VEDTATT",0)</f>
        <v>VEDTATT</v>
      </c>
      <c r="N241" s="99">
        <f>IF(E241="MÅ","Nye tiltak",0)</f>
        <v>0</v>
      </c>
      <c r="O241" s="99"/>
      <c r="P241" s="293"/>
    </row>
    <row r="242" spans="1:16" s="291" customFormat="1" x14ac:dyDescent="0.25">
      <c r="A242" s="338"/>
      <c r="B242" s="78"/>
      <c r="C242" s="213"/>
      <c r="D242" s="72"/>
      <c r="E242" s="289"/>
      <c r="F242" s="70"/>
      <c r="G242" s="70"/>
      <c r="H242" s="70"/>
      <c r="I242" s="70"/>
      <c r="J242" s="408"/>
      <c r="K242" s="293"/>
      <c r="L242" s="293"/>
      <c r="M242" s="99"/>
      <c r="N242" s="99"/>
      <c r="O242" s="99"/>
      <c r="P242" s="293"/>
    </row>
    <row r="243" spans="1:16" s="291" customFormat="1" x14ac:dyDescent="0.25">
      <c r="A243" s="338"/>
      <c r="B243" s="78"/>
      <c r="C243" s="213"/>
      <c r="D243" s="72"/>
      <c r="E243" s="289"/>
      <c r="F243" s="70"/>
      <c r="G243" s="70"/>
      <c r="H243" s="70"/>
      <c r="I243" s="70"/>
      <c r="J243" s="408"/>
      <c r="K243" s="293"/>
      <c r="L243" s="293"/>
      <c r="M243" s="99"/>
      <c r="N243" s="99"/>
      <c r="O243" s="99"/>
      <c r="P243" s="293"/>
    </row>
    <row r="244" spans="1:16" s="291" customFormat="1" x14ac:dyDescent="0.25">
      <c r="A244" s="338"/>
      <c r="B244" s="78"/>
      <c r="C244" s="213"/>
      <c r="D244" s="72"/>
      <c r="E244" s="71"/>
      <c r="F244" s="217"/>
      <c r="G244" s="217"/>
      <c r="H244" s="217"/>
      <c r="I244" s="217"/>
      <c r="J244" s="408"/>
      <c r="K244" s="293"/>
      <c r="L244" s="293"/>
      <c r="M244" s="99"/>
      <c r="N244" s="99"/>
      <c r="O244" s="99"/>
      <c r="P244" s="293"/>
    </row>
    <row r="245" spans="1:16" s="291" customFormat="1" x14ac:dyDescent="0.25">
      <c r="A245" s="338" t="s">
        <v>206</v>
      </c>
      <c r="B245" s="78" t="str">
        <f t="shared" si="33"/>
        <v/>
      </c>
      <c r="C245" s="213" t="s">
        <v>974</v>
      </c>
      <c r="D245" s="72" t="s">
        <v>664</v>
      </c>
      <c r="E245" s="71" t="s">
        <v>84</v>
      </c>
      <c r="F245" s="217">
        <v>0</v>
      </c>
      <c r="G245" s="217">
        <v>0</v>
      </c>
      <c r="H245" s="217">
        <v>0</v>
      </c>
      <c r="I245" s="217">
        <v>0</v>
      </c>
      <c r="J245" s="408"/>
      <c r="K245" s="293" t="s">
        <v>735</v>
      </c>
      <c r="L245" s="293"/>
      <c r="M245" s="99" t="str">
        <f>IF(E245="VEDTATT","VEDTATT",0)</f>
        <v>VEDTATT</v>
      </c>
      <c r="N245" s="99">
        <f>IF(E245="MÅ","Nye tiltak",0)</f>
        <v>0</v>
      </c>
      <c r="O245" s="99"/>
      <c r="P245" s="293"/>
    </row>
    <row r="246" spans="1:16" s="291" customFormat="1" x14ac:dyDescent="0.25">
      <c r="A246" s="338" t="s">
        <v>206</v>
      </c>
      <c r="B246" s="78" t="str">
        <f t="shared" si="33"/>
        <v/>
      </c>
      <c r="C246" s="213" t="s">
        <v>975</v>
      </c>
      <c r="D246" s="72" t="s">
        <v>664</v>
      </c>
      <c r="E246" s="71" t="s">
        <v>84</v>
      </c>
      <c r="F246" s="217">
        <v>0</v>
      </c>
      <c r="G246" s="217">
        <v>0</v>
      </c>
      <c r="H246" s="217">
        <v>0</v>
      </c>
      <c r="I246" s="217">
        <v>0</v>
      </c>
      <c r="J246" s="408"/>
      <c r="K246" s="293" t="s">
        <v>735</v>
      </c>
      <c r="L246" s="293"/>
      <c r="M246" s="99" t="str">
        <f>IF(E246="VEDTATT","VEDTATT",0)</f>
        <v>VEDTATT</v>
      </c>
      <c r="N246" s="99">
        <f>IF(E246="MÅ","Nye tiltak",0)</f>
        <v>0</v>
      </c>
      <c r="O246" s="99"/>
      <c r="P246" s="293"/>
    </row>
    <row r="247" spans="1:16" s="293" customFormat="1" x14ac:dyDescent="0.25">
      <c r="A247" s="338" t="s">
        <v>206</v>
      </c>
      <c r="B247" s="78" t="str">
        <f t="shared" si="33"/>
        <v/>
      </c>
      <c r="C247" s="213" t="s">
        <v>969</v>
      </c>
      <c r="D247" s="72" t="s">
        <v>664</v>
      </c>
      <c r="E247" s="71" t="s">
        <v>84</v>
      </c>
      <c r="F247" s="217">
        <v>0</v>
      </c>
      <c r="G247" s="217">
        <v>0</v>
      </c>
      <c r="H247" s="217">
        <v>0</v>
      </c>
      <c r="I247" s="217">
        <v>0</v>
      </c>
      <c r="J247" s="402"/>
      <c r="K247" s="293" t="s">
        <v>735</v>
      </c>
      <c r="M247" s="99" t="str">
        <f>IF(E247="VEDTATT","VEDTATT",0)</f>
        <v>VEDTATT</v>
      </c>
      <c r="N247" s="99">
        <f>IF(E247="MÅ","Nye tiltak",0)</f>
        <v>0</v>
      </c>
      <c r="O247" s="99"/>
    </row>
    <row r="248" spans="1:16" s="293" customFormat="1" x14ac:dyDescent="0.25">
      <c r="A248" s="338"/>
      <c r="B248" s="78" t="str">
        <f t="shared" si="33"/>
        <v/>
      </c>
      <c r="C248" s="208" t="s">
        <v>976</v>
      </c>
      <c r="D248" s="72"/>
      <c r="E248" s="71"/>
      <c r="F248" s="217">
        <v>0</v>
      </c>
      <c r="G248" s="217">
        <v>0</v>
      </c>
      <c r="H248" s="217">
        <v>0</v>
      </c>
      <c r="I248" s="217">
        <v>0</v>
      </c>
      <c r="J248" s="402"/>
      <c r="K248" s="293" t="s">
        <v>735</v>
      </c>
      <c r="M248" s="99">
        <f>IF(E248="VEDTATT","VEDTATT",0)</f>
        <v>0</v>
      </c>
      <c r="N248" s="99">
        <f>IF(E248="MÅ","Nye tiltak",0)</f>
        <v>0</v>
      </c>
      <c r="O248" s="99"/>
    </row>
    <row r="249" spans="1:16" s="293" customFormat="1" x14ac:dyDescent="0.25">
      <c r="A249" s="338"/>
      <c r="B249" s="78"/>
      <c r="C249" s="84"/>
      <c r="D249" s="72"/>
      <c r="E249" s="289"/>
      <c r="F249" s="217"/>
      <c r="G249" s="217"/>
      <c r="H249" s="217"/>
      <c r="I249" s="217"/>
      <c r="J249" s="402"/>
      <c r="M249" s="99"/>
      <c r="N249" s="99"/>
      <c r="O249" s="99"/>
    </row>
    <row r="250" spans="1:16" s="293" customFormat="1" x14ac:dyDescent="0.25">
      <c r="A250" s="338"/>
      <c r="B250" s="78"/>
      <c r="C250" s="344"/>
      <c r="D250" s="72"/>
      <c r="E250" s="289"/>
      <c r="F250" s="217"/>
      <c r="G250" s="217"/>
      <c r="H250" s="217"/>
      <c r="I250" s="217"/>
      <c r="J250" s="402"/>
      <c r="M250" s="99"/>
      <c r="N250" s="99"/>
      <c r="O250" s="99"/>
    </row>
    <row r="251" spans="1:16" s="293" customFormat="1" x14ac:dyDescent="0.25">
      <c r="A251" s="338"/>
      <c r="B251" s="78"/>
      <c r="C251" s="291"/>
      <c r="D251" s="72"/>
      <c r="E251" s="289"/>
      <c r="F251" s="217"/>
      <c r="G251" s="217"/>
      <c r="H251" s="217"/>
      <c r="I251" s="217"/>
      <c r="J251" s="402"/>
      <c r="M251" s="99"/>
      <c r="N251" s="99"/>
      <c r="O251" s="99"/>
    </row>
    <row r="252" spans="1:16" s="293" customFormat="1" x14ac:dyDescent="0.25">
      <c r="A252" s="338"/>
      <c r="B252" s="78" t="str">
        <f t="shared" si="33"/>
        <v/>
      </c>
      <c r="C252" s="208" t="s">
        <v>756</v>
      </c>
      <c r="D252" s="72"/>
      <c r="E252" s="289"/>
      <c r="F252" s="217"/>
      <c r="G252" s="217"/>
      <c r="H252" s="217"/>
      <c r="I252" s="217"/>
      <c r="J252" s="402"/>
      <c r="K252" s="293" t="s">
        <v>735</v>
      </c>
      <c r="M252" s="99"/>
      <c r="N252" s="99"/>
      <c r="O252" s="99"/>
    </row>
    <row r="253" spans="1:16" s="293" customFormat="1" x14ac:dyDescent="0.25">
      <c r="A253" s="338"/>
      <c r="B253" s="78"/>
      <c r="C253" s="84"/>
      <c r="D253" s="72"/>
      <c r="E253" s="289"/>
      <c r="F253" s="217"/>
      <c r="G253" s="217"/>
      <c r="H253" s="217"/>
      <c r="I253" s="217"/>
      <c r="J253" s="402"/>
      <c r="M253" s="99"/>
      <c r="N253" s="99"/>
      <c r="O253" s="99"/>
    </row>
    <row r="254" spans="1:16" s="293" customFormat="1" x14ac:dyDescent="0.25">
      <c r="A254" s="338"/>
      <c r="B254" s="78"/>
      <c r="C254" s="212"/>
      <c r="D254" s="72"/>
      <c r="E254" s="289"/>
      <c r="F254" s="217"/>
      <c r="G254" s="217"/>
      <c r="H254" s="217"/>
      <c r="I254" s="217"/>
      <c r="J254" s="402"/>
      <c r="M254" s="99"/>
      <c r="N254" s="99"/>
      <c r="O254" s="99"/>
    </row>
    <row r="255" spans="1:16" x14ac:dyDescent="0.25">
      <c r="A255" s="338"/>
      <c r="B255" s="78"/>
      <c r="C255" s="291"/>
      <c r="D255" s="72"/>
      <c r="E255" s="289"/>
      <c r="F255" s="217"/>
      <c r="G255" s="217"/>
      <c r="H255" s="217"/>
      <c r="I255" s="217"/>
      <c r="J255" s="94"/>
      <c r="K255" s="293"/>
      <c r="L255" s="293"/>
      <c r="M255" s="99"/>
      <c r="N255" s="99"/>
      <c r="O255" s="99"/>
      <c r="P255" s="38"/>
    </row>
    <row r="256" spans="1:16" s="38" customFormat="1" x14ac:dyDescent="0.25">
      <c r="A256" s="43"/>
      <c r="B256" s="43" t="s">
        <v>127</v>
      </c>
      <c r="C256" s="3" t="s">
        <v>230</v>
      </c>
      <c r="D256" s="52"/>
      <c r="E256" s="52"/>
      <c r="F256" s="56">
        <f>SUMIF($A:$A,"byte",F:F)</f>
        <v>11205</v>
      </c>
      <c r="G256" s="56">
        <f>SUMIF($A:$A,"byte",G:G)</f>
        <v>14415</v>
      </c>
      <c r="H256" s="56">
        <f>SUMIF($A:$A,"byte",H:H)</f>
        <v>15475</v>
      </c>
      <c r="I256" s="56">
        <f>SUMIF($A:$A,"byte",I:I)</f>
        <v>15535</v>
      </c>
      <c r="J256" s="407"/>
      <c r="K256" s="337"/>
      <c r="L256" s="337"/>
      <c r="M256" s="99"/>
      <c r="N256" s="99"/>
      <c r="O256" s="99"/>
    </row>
    <row r="257" spans="1:16" s="38" customFormat="1" x14ac:dyDescent="0.25">
      <c r="A257"/>
      <c r="B257"/>
      <c r="C257"/>
      <c r="D257"/>
      <c r="E257"/>
      <c r="F257"/>
      <c r="G257"/>
      <c r="H257"/>
      <c r="I257"/>
      <c r="J257" s="407"/>
      <c r="K257" s="28"/>
      <c r="L257" s="28"/>
      <c r="M257" s="99"/>
      <c r="N257" s="99"/>
      <c r="O257" s="99"/>
      <c r="P257" s="28"/>
    </row>
    <row r="258" spans="1:16" s="38" customFormat="1" x14ac:dyDescent="0.25">
      <c r="A258" s="78"/>
      <c r="B258" s="78"/>
      <c r="C258" s="208" t="s">
        <v>231</v>
      </c>
      <c r="D258" s="72"/>
      <c r="E258" s="71"/>
      <c r="F258" s="4">
        <f>F238</f>
        <v>2022</v>
      </c>
      <c r="G258" s="4">
        <f>F258+1</f>
        <v>2023</v>
      </c>
      <c r="H258" s="4">
        <f>G258+1</f>
        <v>2024</v>
      </c>
      <c r="I258" s="4">
        <f>H258+1</f>
        <v>2025</v>
      </c>
      <c r="J258" s="407"/>
      <c r="K258" s="337"/>
      <c r="L258" s="337"/>
      <c r="M258" s="99"/>
      <c r="N258" s="99"/>
      <c r="O258" s="99"/>
      <c r="P258" s="28"/>
    </row>
    <row r="259" spans="1:16" s="38" customFormat="1" x14ac:dyDescent="0.25">
      <c r="A259" s="78" t="s">
        <v>232</v>
      </c>
      <c r="B259" s="78" t="str">
        <f t="shared" ref="B259:B273" si="38">IF(L259,K259&amp;L259,"")</f>
        <v>O1</v>
      </c>
      <c r="C259" s="84" t="s">
        <v>758</v>
      </c>
      <c r="D259" s="72" t="s">
        <v>664</v>
      </c>
      <c r="E259" s="71" t="s">
        <v>84</v>
      </c>
      <c r="F259" s="70">
        <v>0</v>
      </c>
      <c r="G259" s="70">
        <v>-800</v>
      </c>
      <c r="H259" s="70">
        <v>-800</v>
      </c>
      <c r="I259" s="70">
        <v>-800</v>
      </c>
      <c r="J259" s="407"/>
      <c r="K259" s="28" t="s">
        <v>759</v>
      </c>
      <c r="L259" s="28">
        <v>1</v>
      </c>
      <c r="M259" s="99" t="str">
        <f>IF(E259="VEDTATT","VEDTATT",0)</f>
        <v>VEDTATT</v>
      </c>
      <c r="N259" s="99">
        <f>IF(E259="MÅ","Nye tiltak",0)</f>
        <v>0</v>
      </c>
      <c r="O259" s="99"/>
    </row>
    <row r="260" spans="1:16" s="38" customFormat="1" x14ac:dyDescent="0.25">
      <c r="A260" s="78" t="s">
        <v>232</v>
      </c>
      <c r="B260" s="78" t="str">
        <f t="shared" si="38"/>
        <v>O2</v>
      </c>
      <c r="C260" s="84" t="s">
        <v>977</v>
      </c>
      <c r="D260" s="72" t="s">
        <v>91</v>
      </c>
      <c r="E260" s="231">
        <v>1</v>
      </c>
      <c r="F260" s="287">
        <v>750</v>
      </c>
      <c r="G260" s="287">
        <v>750</v>
      </c>
      <c r="H260" s="287">
        <v>750</v>
      </c>
      <c r="I260" s="287">
        <v>750</v>
      </c>
      <c r="J260" s="407" t="s">
        <v>978</v>
      </c>
      <c r="K260" s="28" t="s">
        <v>759</v>
      </c>
      <c r="L260" s="28">
        <f t="shared" ref="L260:L266" si="39">L259+1</f>
        <v>2</v>
      </c>
      <c r="M260" s="99">
        <f>IF(E260="VEDTATT","VEDTATT",0)</f>
        <v>0</v>
      </c>
      <c r="N260" s="99">
        <f>IF(E260="MÅ","Nye tiltak",0)</f>
        <v>0</v>
      </c>
      <c r="O260" s="99"/>
      <c r="P260" s="28"/>
    </row>
    <row r="261" spans="1:16" s="38" customFormat="1" x14ac:dyDescent="0.25">
      <c r="A261" s="78" t="s">
        <v>232</v>
      </c>
      <c r="B261" s="78" t="str">
        <f t="shared" si="38"/>
        <v>O3</v>
      </c>
      <c r="C261" s="84" t="s">
        <v>979</v>
      </c>
      <c r="D261" s="72" t="s">
        <v>91</v>
      </c>
      <c r="E261" s="231">
        <v>3</v>
      </c>
      <c r="F261" s="287">
        <v>650</v>
      </c>
      <c r="G261" s="287">
        <v>650</v>
      </c>
      <c r="H261" s="287">
        <v>650</v>
      </c>
      <c r="I261" s="287">
        <v>650</v>
      </c>
      <c r="J261" s="407" t="s">
        <v>978</v>
      </c>
      <c r="K261" s="28" t="s">
        <v>759</v>
      </c>
      <c r="L261" s="28">
        <f t="shared" si="39"/>
        <v>3</v>
      </c>
      <c r="M261" s="99">
        <f>IF(E261="VEDTATT","VEDTATT",0)</f>
        <v>0</v>
      </c>
      <c r="N261" s="99">
        <f>IF(E261="MÅ","Nye tiltak",0)</f>
        <v>0</v>
      </c>
      <c r="O261" s="99"/>
      <c r="P261" s="28"/>
    </row>
    <row r="262" spans="1:16" s="38" customFormat="1" ht="24.6" customHeight="1" x14ac:dyDescent="0.25">
      <c r="A262" s="78" t="s">
        <v>232</v>
      </c>
      <c r="B262" s="78" t="str">
        <f>IF(L262,K262&amp;L262,"")</f>
        <v>O4</v>
      </c>
      <c r="C262" s="84" t="s">
        <v>881</v>
      </c>
      <c r="D262" s="72" t="s">
        <v>91</v>
      </c>
      <c r="E262" s="231" t="s">
        <v>24</v>
      </c>
      <c r="F262" s="287"/>
      <c r="G262" s="287">
        <v>5000</v>
      </c>
      <c r="H262" s="287">
        <v>10000</v>
      </c>
      <c r="I262" s="287">
        <v>15000</v>
      </c>
      <c r="J262" s="409" t="s">
        <v>980</v>
      </c>
      <c r="K262" s="28" t="s">
        <v>759</v>
      </c>
      <c r="L262" s="28">
        <f t="shared" si="39"/>
        <v>4</v>
      </c>
      <c r="M262" s="99"/>
      <c r="N262" s="99"/>
      <c r="O262" s="99"/>
      <c r="P262" s="28"/>
    </row>
    <row r="263" spans="1:16" s="38" customFormat="1" x14ac:dyDescent="0.25">
      <c r="A263" s="78" t="s">
        <v>232</v>
      </c>
      <c r="B263" s="78" t="str">
        <f>IF(L263,K263&amp;L263,"")</f>
        <v>O5</v>
      </c>
      <c r="C263" s="84" t="s">
        <v>761</v>
      </c>
      <c r="D263" s="72" t="s">
        <v>91</v>
      </c>
      <c r="E263" s="61" t="s">
        <v>24</v>
      </c>
      <c r="F263" s="287">
        <v>220</v>
      </c>
      <c r="G263" s="287">
        <v>220</v>
      </c>
      <c r="H263" s="287">
        <v>220</v>
      </c>
      <c r="I263" s="287">
        <v>220</v>
      </c>
      <c r="J263" s="407"/>
      <c r="K263" s="28" t="s">
        <v>759</v>
      </c>
      <c r="L263" s="28">
        <f t="shared" si="39"/>
        <v>5</v>
      </c>
      <c r="M263" s="99"/>
      <c r="N263" s="99"/>
      <c r="O263" s="99"/>
      <c r="P263" s="28"/>
    </row>
    <row r="264" spans="1:16" s="38" customFormat="1" x14ac:dyDescent="0.25">
      <c r="A264" s="78" t="s">
        <v>232</v>
      </c>
      <c r="B264" s="78" t="str">
        <f>IF(L264,K264&amp;L264,"")</f>
        <v>O6</v>
      </c>
      <c r="C264" s="84" t="s">
        <v>981</v>
      </c>
      <c r="D264" s="72" t="s">
        <v>91</v>
      </c>
      <c r="E264" s="231" t="s">
        <v>488</v>
      </c>
      <c r="F264" s="287">
        <v>750</v>
      </c>
      <c r="G264" s="287">
        <v>750</v>
      </c>
      <c r="H264" s="287">
        <v>750</v>
      </c>
      <c r="I264" s="287">
        <v>750</v>
      </c>
      <c r="J264" s="407"/>
      <c r="K264" s="28" t="s">
        <v>759</v>
      </c>
      <c r="L264" s="28">
        <f t="shared" si="39"/>
        <v>6</v>
      </c>
      <c r="M264" s="99"/>
      <c r="N264" s="99"/>
      <c r="O264" s="99"/>
      <c r="P264" s="28"/>
    </row>
    <row r="265" spans="1:16" s="38" customFormat="1" x14ac:dyDescent="0.25">
      <c r="A265" s="78" t="s">
        <v>232</v>
      </c>
      <c r="B265" s="78" t="str">
        <f t="shared" si="38"/>
        <v>O7</v>
      </c>
      <c r="C265" s="84" t="s">
        <v>982</v>
      </c>
      <c r="D265" s="72" t="s">
        <v>91</v>
      </c>
      <c r="E265" s="231">
        <v>2</v>
      </c>
      <c r="F265" s="287">
        <v>750</v>
      </c>
      <c r="G265" s="287">
        <v>750</v>
      </c>
      <c r="H265" s="287">
        <v>750</v>
      </c>
      <c r="I265" s="287">
        <v>750</v>
      </c>
      <c r="J265" s="407" t="s">
        <v>983</v>
      </c>
      <c r="K265" s="28" t="s">
        <v>759</v>
      </c>
      <c r="L265" s="28">
        <f t="shared" si="39"/>
        <v>7</v>
      </c>
      <c r="M265" s="99"/>
      <c r="N265" s="99"/>
      <c r="O265" s="99"/>
      <c r="P265" s="28"/>
    </row>
    <row r="266" spans="1:16" s="38" customFormat="1" x14ac:dyDescent="0.25">
      <c r="A266" s="78" t="s">
        <v>232</v>
      </c>
      <c r="B266" s="78" t="str">
        <f t="shared" si="38"/>
        <v>O8</v>
      </c>
      <c r="C266" s="84" t="s">
        <v>882</v>
      </c>
      <c r="D266" s="72" t="s">
        <v>91</v>
      </c>
      <c r="E266" s="231" t="s">
        <v>24</v>
      </c>
      <c r="F266" s="287">
        <v>12600</v>
      </c>
      <c r="G266" s="287">
        <v>14300</v>
      </c>
      <c r="H266" s="287">
        <v>7900</v>
      </c>
      <c r="I266" s="287">
        <v>7900</v>
      </c>
      <c r="J266" s="407"/>
      <c r="K266" s="38" t="s">
        <v>759</v>
      </c>
      <c r="L266" s="38">
        <f t="shared" si="39"/>
        <v>8</v>
      </c>
      <c r="M266" s="392"/>
      <c r="N266" s="392"/>
      <c r="O266" s="392"/>
    </row>
    <row r="267" spans="1:16" s="38" customFormat="1" x14ac:dyDescent="0.25">
      <c r="A267" s="78" t="s">
        <v>232</v>
      </c>
      <c r="B267" s="78" t="str">
        <f t="shared" si="38"/>
        <v>O9</v>
      </c>
      <c r="C267" s="84" t="s">
        <v>984</v>
      </c>
      <c r="D267" s="72" t="s">
        <v>91</v>
      </c>
      <c r="E267" s="231" t="s">
        <v>24</v>
      </c>
      <c r="F267" s="69">
        <v>250</v>
      </c>
      <c r="G267" s="69">
        <v>250</v>
      </c>
      <c r="H267" s="69">
        <v>250</v>
      </c>
      <c r="I267" s="69">
        <v>250</v>
      </c>
      <c r="J267" s="407"/>
      <c r="K267" s="38" t="s">
        <v>759</v>
      </c>
      <c r="L267" s="38">
        <f t="shared" ref="L267:L274" si="40">L266+1</f>
        <v>9</v>
      </c>
      <c r="M267" s="99"/>
      <c r="N267" s="99"/>
      <c r="O267" s="99"/>
      <c r="P267" s="28"/>
    </row>
    <row r="268" spans="1:16" s="38" customFormat="1" x14ac:dyDescent="0.25">
      <c r="A268" s="78" t="s">
        <v>232</v>
      </c>
      <c r="B268" s="78" t="str">
        <f>IF(L268,K268&amp;L268,"")</f>
        <v>O10</v>
      </c>
      <c r="C268" s="84" t="s">
        <v>985</v>
      </c>
      <c r="D268" s="72" t="s">
        <v>91</v>
      </c>
      <c r="E268" s="231" t="s">
        <v>24</v>
      </c>
      <c r="F268" s="69">
        <v>-250</v>
      </c>
      <c r="G268" s="69"/>
      <c r="H268" s="69"/>
      <c r="I268" s="69"/>
      <c r="J268" s="407"/>
      <c r="K268" s="38" t="s">
        <v>759</v>
      </c>
      <c r="L268" s="38">
        <f t="shared" si="40"/>
        <v>10</v>
      </c>
      <c r="M268" s="99"/>
      <c r="N268" s="99"/>
      <c r="O268" s="99"/>
      <c r="P268" s="28"/>
    </row>
    <row r="269" spans="1:16" s="38" customFormat="1" x14ac:dyDescent="0.25">
      <c r="A269" s="78" t="s">
        <v>232</v>
      </c>
      <c r="B269" s="78" t="str">
        <f t="shared" si="38"/>
        <v>O11</v>
      </c>
      <c r="C269" s="84" t="s">
        <v>986</v>
      </c>
      <c r="D269" s="72" t="s">
        <v>91</v>
      </c>
      <c r="E269" s="231" t="s">
        <v>24</v>
      </c>
      <c r="F269" s="69">
        <v>200</v>
      </c>
      <c r="G269" s="69">
        <v>200</v>
      </c>
      <c r="H269" s="69">
        <v>200</v>
      </c>
      <c r="I269" s="69">
        <v>200</v>
      </c>
      <c r="J269" s="407"/>
      <c r="K269" s="38" t="s">
        <v>759</v>
      </c>
      <c r="L269" s="38">
        <f t="shared" si="40"/>
        <v>11</v>
      </c>
      <c r="M269" s="99"/>
      <c r="N269" s="99"/>
      <c r="O269" s="99"/>
      <c r="P269" s="28"/>
    </row>
    <row r="270" spans="1:16" s="38" customFormat="1" x14ac:dyDescent="0.25">
      <c r="A270" s="78" t="s">
        <v>232</v>
      </c>
      <c r="B270" s="78" t="str">
        <f t="shared" si="38"/>
        <v>O12</v>
      </c>
      <c r="C270" s="84" t="s">
        <v>987</v>
      </c>
      <c r="D270" s="72" t="s">
        <v>91</v>
      </c>
      <c r="E270" s="231" t="s">
        <v>24</v>
      </c>
      <c r="F270" s="69">
        <v>-200</v>
      </c>
      <c r="G270" s="69"/>
      <c r="H270" s="69"/>
      <c r="I270" s="69"/>
      <c r="J270" s="407"/>
      <c r="K270" s="38" t="s">
        <v>759</v>
      </c>
      <c r="L270" s="38">
        <f t="shared" si="40"/>
        <v>12</v>
      </c>
      <c r="M270" s="99"/>
      <c r="N270" s="99"/>
      <c r="O270" s="99"/>
      <c r="P270" s="28"/>
    </row>
    <row r="271" spans="1:16" s="38" customFormat="1" x14ac:dyDescent="0.25">
      <c r="A271" s="78" t="s">
        <v>232</v>
      </c>
      <c r="B271" s="78" t="str">
        <f t="shared" si="38"/>
        <v>O13</v>
      </c>
      <c r="C271" s="84" t="s">
        <v>988</v>
      </c>
      <c r="D271" s="72" t="s">
        <v>91</v>
      </c>
      <c r="E271" s="231" t="s">
        <v>488</v>
      </c>
      <c r="F271" s="287">
        <v>80</v>
      </c>
      <c r="G271" s="287">
        <v>80</v>
      </c>
      <c r="H271" s="287">
        <v>80</v>
      </c>
      <c r="I271" s="287">
        <v>80</v>
      </c>
      <c r="J271" s="407"/>
      <c r="K271" s="38" t="s">
        <v>759</v>
      </c>
      <c r="L271" s="38">
        <f t="shared" si="40"/>
        <v>13</v>
      </c>
      <c r="M271" s="99"/>
      <c r="N271" s="99"/>
      <c r="O271" s="99"/>
      <c r="P271" s="28"/>
    </row>
    <row r="272" spans="1:16" s="38" customFormat="1" x14ac:dyDescent="0.25">
      <c r="A272" s="78" t="s">
        <v>232</v>
      </c>
      <c r="B272" s="78" t="str">
        <f t="shared" si="38"/>
        <v>O14</v>
      </c>
      <c r="C272" s="84"/>
      <c r="D272" s="72"/>
      <c r="E272" s="84"/>
      <c r="F272" s="70"/>
      <c r="G272" s="70"/>
      <c r="H272" s="70"/>
      <c r="I272" s="70"/>
      <c r="J272" s="407"/>
      <c r="K272" s="38" t="s">
        <v>759</v>
      </c>
      <c r="L272" s="38">
        <f t="shared" si="40"/>
        <v>14</v>
      </c>
      <c r="M272" s="99"/>
      <c r="N272" s="99"/>
      <c r="O272" s="99"/>
      <c r="P272" s="28"/>
    </row>
    <row r="273" spans="1:16" s="38" customFormat="1" x14ac:dyDescent="0.25">
      <c r="A273" s="78" t="s">
        <v>232</v>
      </c>
      <c r="B273" s="78" t="str">
        <f t="shared" si="38"/>
        <v>O15</v>
      </c>
      <c r="C273" s="84"/>
      <c r="D273" s="72"/>
      <c r="E273" s="84"/>
      <c r="F273" s="70"/>
      <c r="G273" s="70"/>
      <c r="H273" s="70"/>
      <c r="I273" s="70"/>
      <c r="J273" s="407"/>
      <c r="K273" s="38" t="s">
        <v>759</v>
      </c>
      <c r="L273" s="38">
        <f t="shared" si="40"/>
        <v>15</v>
      </c>
      <c r="M273" s="99"/>
      <c r="N273" s="99"/>
      <c r="O273" s="99"/>
      <c r="P273" s="28"/>
    </row>
    <row r="274" spans="1:16" s="38" customFormat="1" x14ac:dyDescent="0.25">
      <c r="A274" s="47"/>
      <c r="B274" s="47"/>
      <c r="C274" s="245"/>
      <c r="D274" s="214"/>
      <c r="E274" s="111"/>
      <c r="F274" s="70"/>
      <c r="G274" s="70"/>
      <c r="H274" s="70"/>
      <c r="I274" s="70"/>
      <c r="J274" s="407"/>
      <c r="K274" s="38" t="s">
        <v>759</v>
      </c>
      <c r="L274" s="38">
        <f t="shared" si="40"/>
        <v>16</v>
      </c>
      <c r="M274" s="99"/>
      <c r="N274" s="99"/>
      <c r="O274" s="99"/>
      <c r="P274" s="28"/>
    </row>
    <row r="275" spans="1:16" s="38" customFormat="1" x14ac:dyDescent="0.25">
      <c r="A275" s="43"/>
      <c r="B275" s="43" t="s">
        <v>127</v>
      </c>
      <c r="C275" s="3" t="s">
        <v>240</v>
      </c>
      <c r="D275" s="52"/>
      <c r="E275" s="52"/>
      <c r="F275" s="56">
        <f>SUMIF($A:$A,"ORG",F:F)</f>
        <v>15800</v>
      </c>
      <c r="G275" s="56">
        <f>SUMIF($A:$A,"ORG",G:G)</f>
        <v>22150</v>
      </c>
      <c r="H275" s="56">
        <f>SUMIF($A:$A,"ORG",H:H)</f>
        <v>20750</v>
      </c>
      <c r="I275" s="56">
        <f>SUMIF($A:$A,"ORG",I:I)</f>
        <v>25750</v>
      </c>
      <c r="J275" s="407"/>
      <c r="K275" s="337"/>
      <c r="L275" s="337"/>
      <c r="M275" s="99"/>
      <c r="N275" s="99"/>
      <c r="O275" s="99"/>
      <c r="P275" s="28"/>
    </row>
    <row r="276" spans="1:16" s="38" customFormat="1" x14ac:dyDescent="0.25">
      <c r="A276" s="47"/>
      <c r="B276" s="47"/>
      <c r="C276" s="11"/>
      <c r="D276" s="49"/>
      <c r="E276" s="49"/>
      <c r="F276" s="57"/>
      <c r="G276" s="57"/>
      <c r="H276" s="57"/>
      <c r="I276" s="57"/>
      <c r="J276" s="407"/>
      <c r="K276" s="28"/>
      <c r="L276" s="28"/>
      <c r="M276" s="99"/>
      <c r="N276" s="99"/>
      <c r="O276" s="99"/>
      <c r="P276" s="28"/>
    </row>
    <row r="277" spans="1:16" s="38" customFormat="1" x14ac:dyDescent="0.25">
      <c r="A277" s="48"/>
      <c r="B277" s="48"/>
      <c r="C277" s="13" t="s">
        <v>241</v>
      </c>
      <c r="D277" s="50"/>
      <c r="E277" s="61"/>
      <c r="F277" s="4">
        <f>F258</f>
        <v>2022</v>
      </c>
      <c r="G277" s="4">
        <f>F277+1</f>
        <v>2023</v>
      </c>
      <c r="H277" s="4">
        <f>G277+1</f>
        <v>2024</v>
      </c>
      <c r="I277" s="4">
        <f>H277+1</f>
        <v>2025</v>
      </c>
      <c r="J277" s="407"/>
      <c r="K277" s="337"/>
      <c r="L277" s="337"/>
      <c r="M277" s="99"/>
      <c r="N277" s="99"/>
      <c r="O277" s="99"/>
      <c r="P277" s="28"/>
    </row>
    <row r="278" spans="1:16" s="38" customFormat="1" x14ac:dyDescent="0.25">
      <c r="A278" s="45" t="s">
        <v>242</v>
      </c>
      <c r="B278" s="45" t="str">
        <f t="shared" ref="B278:B280" si="41">IF(L278,K278&amp;L278,"")</f>
        <v>Ø1</v>
      </c>
      <c r="C278" s="346" t="s">
        <v>763</v>
      </c>
      <c r="D278" s="72" t="s">
        <v>664</v>
      </c>
      <c r="E278" s="71" t="s">
        <v>84</v>
      </c>
      <c r="F278" s="70">
        <v>0</v>
      </c>
      <c r="G278" s="70">
        <v>-1300</v>
      </c>
      <c r="H278" s="70">
        <v>-1300</v>
      </c>
      <c r="I278" s="70">
        <v>-1300</v>
      </c>
      <c r="J278" s="409"/>
      <c r="K278" s="28" t="s">
        <v>764</v>
      </c>
      <c r="L278" s="28">
        <v>1</v>
      </c>
      <c r="M278" s="99" t="str">
        <f>IF(E278="VEDTATT","VEDTATT",0)</f>
        <v>VEDTATT</v>
      </c>
      <c r="N278" s="99">
        <f>IF(E278="MÅ","Nye tiltak",0)</f>
        <v>0</v>
      </c>
      <c r="O278" s="99"/>
      <c r="P278" s="28"/>
    </row>
    <row r="279" spans="1:16" s="38" customFormat="1" x14ac:dyDescent="0.25">
      <c r="A279" s="45" t="s">
        <v>242</v>
      </c>
      <c r="B279" s="45" t="str">
        <f t="shared" si="41"/>
        <v>Ø2</v>
      </c>
      <c r="C279" s="347" t="s">
        <v>765</v>
      </c>
      <c r="D279" s="72" t="s">
        <v>664</v>
      </c>
      <c r="E279" s="71" t="s">
        <v>84</v>
      </c>
      <c r="F279" s="70">
        <v>0</v>
      </c>
      <c r="G279" s="70">
        <v>1300</v>
      </c>
      <c r="H279" s="70">
        <v>1300</v>
      </c>
      <c r="I279" s="70">
        <v>1300</v>
      </c>
      <c r="J279" s="409"/>
      <c r="K279" s="28" t="s">
        <v>764</v>
      </c>
      <c r="L279" s="28">
        <f>L278+1</f>
        <v>2</v>
      </c>
      <c r="M279" s="99" t="str">
        <f>IF(E279="VEDTATT","VEDTATT",0)</f>
        <v>VEDTATT</v>
      </c>
      <c r="N279" s="99">
        <f>IF(E279="MÅ","Nye tiltak",0)</f>
        <v>0</v>
      </c>
      <c r="O279" s="99"/>
      <c r="P279" s="28"/>
    </row>
    <row r="280" spans="1:16" s="38" customFormat="1" x14ac:dyDescent="0.25">
      <c r="A280" s="45" t="s">
        <v>242</v>
      </c>
      <c r="B280" s="45" t="str">
        <f t="shared" si="41"/>
        <v>Ø3</v>
      </c>
      <c r="C280" s="347" t="s">
        <v>763</v>
      </c>
      <c r="D280" s="72" t="s">
        <v>91</v>
      </c>
      <c r="E280" s="231">
        <v>1</v>
      </c>
      <c r="F280" s="70">
        <v>0</v>
      </c>
      <c r="G280" s="70">
        <v>1300</v>
      </c>
      <c r="H280" s="70">
        <v>1300</v>
      </c>
      <c r="I280" s="70">
        <v>1300</v>
      </c>
      <c r="J280" s="409"/>
      <c r="K280" s="28" t="s">
        <v>764</v>
      </c>
      <c r="L280" s="28">
        <f t="shared" ref="L280:L284" si="42">L279+1</f>
        <v>3</v>
      </c>
      <c r="M280" s="99"/>
      <c r="N280" s="99"/>
      <c r="O280" s="99"/>
      <c r="P280" s="28"/>
    </row>
    <row r="281" spans="1:16" s="38" customFormat="1" x14ac:dyDescent="0.25">
      <c r="A281" s="45" t="s">
        <v>242</v>
      </c>
      <c r="B281" s="45" t="str">
        <f>IF(L281,K281&amp;L281,"")</f>
        <v>Ø4</v>
      </c>
      <c r="C281" s="347" t="s">
        <v>989</v>
      </c>
      <c r="D281" s="72" t="s">
        <v>91</v>
      </c>
      <c r="E281" s="231">
        <v>2</v>
      </c>
      <c r="F281" s="70">
        <v>785</v>
      </c>
      <c r="G281" s="70">
        <v>785</v>
      </c>
      <c r="H281" s="70">
        <v>785</v>
      </c>
      <c r="I281" s="70">
        <v>785</v>
      </c>
      <c r="J281" s="409"/>
      <c r="K281" s="28" t="s">
        <v>764</v>
      </c>
      <c r="L281" s="28">
        <f t="shared" si="42"/>
        <v>4</v>
      </c>
      <c r="M281" s="99"/>
      <c r="N281" s="99"/>
      <c r="O281" s="99"/>
      <c r="P281" s="28"/>
    </row>
    <row r="282" spans="1:16" s="38" customFormat="1" x14ac:dyDescent="0.25">
      <c r="A282" s="45" t="s">
        <v>242</v>
      </c>
      <c r="B282" s="45" t="str">
        <f>IF(L282,K282&amp;L282,"")</f>
        <v>Ø5</v>
      </c>
      <c r="C282" s="346" t="s">
        <v>990</v>
      </c>
      <c r="D282" s="72" t="s">
        <v>91</v>
      </c>
      <c r="E282" s="231">
        <v>3</v>
      </c>
      <c r="F282" s="70">
        <v>120</v>
      </c>
      <c r="G282" s="70">
        <v>120</v>
      </c>
      <c r="H282" s="70">
        <v>120</v>
      </c>
      <c r="I282" s="70">
        <v>120</v>
      </c>
      <c r="J282" s="409"/>
      <c r="K282" s="28" t="s">
        <v>764</v>
      </c>
      <c r="L282" s="28">
        <f t="shared" si="42"/>
        <v>5</v>
      </c>
      <c r="M282" s="99">
        <f>IF(E282="VEDTATT","VEDTATT",0)</f>
        <v>0</v>
      </c>
      <c r="N282" s="99">
        <f>IF(E282="MÅ","Nye tiltak",0)</f>
        <v>0</v>
      </c>
      <c r="O282" s="99"/>
      <c r="P282" s="28"/>
    </row>
    <row r="283" spans="1:16" s="38" customFormat="1" x14ac:dyDescent="0.25">
      <c r="A283" s="45" t="s">
        <v>242</v>
      </c>
      <c r="B283" s="45" t="str">
        <f>IF(L283,K283&amp;L283,"")</f>
        <v>Ø6</v>
      </c>
      <c r="C283" s="346" t="s">
        <v>991</v>
      </c>
      <c r="D283" s="79" t="s">
        <v>91</v>
      </c>
      <c r="E283" s="71" t="s">
        <v>24</v>
      </c>
      <c r="F283" s="191">
        <v>550</v>
      </c>
      <c r="G283" s="191">
        <v>550</v>
      </c>
      <c r="H283" s="191">
        <v>550</v>
      </c>
      <c r="I283" s="191">
        <v>550</v>
      </c>
      <c r="J283" s="94" t="s">
        <v>769</v>
      </c>
      <c r="K283" s="28" t="s">
        <v>764</v>
      </c>
      <c r="L283" s="28">
        <f t="shared" si="42"/>
        <v>6</v>
      </c>
      <c r="M283" s="99">
        <f>IF(E283="VEDTATT","VEDTATT",0)</f>
        <v>0</v>
      </c>
      <c r="N283" s="99" t="str">
        <f>IF(E283="MÅ","Nye tiltak",0)</f>
        <v>Nye tiltak</v>
      </c>
      <c r="O283" s="99"/>
      <c r="P283" s="28"/>
    </row>
    <row r="284" spans="1:16" s="38" customFormat="1" x14ac:dyDescent="0.25">
      <c r="A284" s="45" t="s">
        <v>242</v>
      </c>
      <c r="B284" s="45" t="str">
        <f>IF(L284,K284&amp;L284,"")</f>
        <v>Ø7</v>
      </c>
      <c r="C284" s="346" t="s">
        <v>992</v>
      </c>
      <c r="D284" s="72" t="s">
        <v>91</v>
      </c>
      <c r="E284" s="71" t="s">
        <v>24</v>
      </c>
      <c r="F284" s="70">
        <v>-600</v>
      </c>
      <c r="G284" s="70">
        <v>-600</v>
      </c>
      <c r="H284" s="70">
        <v>-600</v>
      </c>
      <c r="I284" s="70">
        <v>-600</v>
      </c>
      <c r="J284" s="94" t="s">
        <v>771</v>
      </c>
      <c r="K284" s="28" t="s">
        <v>764</v>
      </c>
      <c r="L284" s="28">
        <f t="shared" si="42"/>
        <v>7</v>
      </c>
      <c r="M284" s="99">
        <f>IF(E284="VEDTATT","VEDTATT",0)</f>
        <v>0</v>
      </c>
      <c r="N284" s="99" t="str">
        <f>IF(E284="MÅ","Nye tiltak",0)</f>
        <v>Nye tiltak</v>
      </c>
      <c r="O284" s="99"/>
      <c r="P284" s="28"/>
    </row>
    <row r="285" spans="1:16" s="38" customFormat="1" x14ac:dyDescent="0.25">
      <c r="A285" s="43"/>
      <c r="B285" s="43" t="s">
        <v>127</v>
      </c>
      <c r="C285" s="3" t="s">
        <v>248</v>
      </c>
      <c r="D285" s="52"/>
      <c r="E285" s="52"/>
      <c r="F285" s="56">
        <f>SUMIF($A:$A,"ØK",F:F)</f>
        <v>855</v>
      </c>
      <c r="G285" s="56">
        <f>SUMIF($A:$A,"ØK",G:G)</f>
        <v>2155</v>
      </c>
      <c r="H285" s="56">
        <f>SUMIF($A:$A,"ØK",H:H)</f>
        <v>2155</v>
      </c>
      <c r="I285" s="56">
        <f>SUMIF($A:$A,"ØK",I:I)</f>
        <v>2155</v>
      </c>
      <c r="J285" s="407"/>
      <c r="K285" s="337"/>
      <c r="L285" s="337"/>
      <c r="M285" s="99"/>
      <c r="N285" s="99"/>
      <c r="O285" s="99"/>
      <c r="P285" s="28"/>
    </row>
    <row r="286" spans="1:16" s="38" customFormat="1" x14ac:dyDescent="0.25">
      <c r="A286" s="47"/>
      <c r="B286" s="47"/>
      <c r="C286" s="11"/>
      <c r="D286" s="49"/>
      <c r="E286" s="49"/>
      <c r="F286" s="57"/>
      <c r="G286" s="57"/>
      <c r="H286" s="57"/>
      <c r="I286" s="57"/>
      <c r="J286" s="407"/>
      <c r="K286" s="28"/>
      <c r="L286" s="28"/>
      <c r="M286" s="99"/>
      <c r="N286" s="99"/>
      <c r="O286" s="99"/>
      <c r="P286" s="28"/>
    </row>
    <row r="287" spans="1:16" s="38" customFormat="1" x14ac:dyDescent="0.25">
      <c r="A287" s="48"/>
      <c r="B287" s="48"/>
      <c r="C287" s="13" t="s">
        <v>249</v>
      </c>
      <c r="D287" s="50"/>
      <c r="E287" s="61"/>
      <c r="F287" s="58"/>
      <c r="G287" s="58"/>
      <c r="H287" s="58"/>
      <c r="I287" s="58"/>
      <c r="J287" s="407"/>
      <c r="M287" s="99"/>
      <c r="N287" s="99"/>
      <c r="O287" s="99"/>
      <c r="P287" s="28"/>
    </row>
    <row r="288" spans="1:16" s="38" customFormat="1" x14ac:dyDescent="0.25">
      <c r="A288" s="249"/>
      <c r="B288" s="249"/>
      <c r="C288" s="82" t="s">
        <v>250</v>
      </c>
      <c r="D288" s="83"/>
      <c r="E288" s="71"/>
      <c r="F288" s="4">
        <f>F277</f>
        <v>2022</v>
      </c>
      <c r="G288" s="4">
        <f>F288+1</f>
        <v>2023</v>
      </c>
      <c r="H288" s="4">
        <f>G288+1</f>
        <v>2024</v>
      </c>
      <c r="I288" s="4">
        <f>H288+1</f>
        <v>2025</v>
      </c>
      <c r="J288" s="407"/>
      <c r="K288" s="337"/>
      <c r="L288" s="337"/>
      <c r="M288" s="99"/>
      <c r="N288" s="99"/>
      <c r="O288" s="99"/>
      <c r="P288" s="28"/>
    </row>
    <row r="289" spans="1:16" s="38" customFormat="1" x14ac:dyDescent="0.25">
      <c r="A289" s="72" t="s">
        <v>251</v>
      </c>
      <c r="B289" s="78" t="str">
        <f t="shared" ref="B289:B337" si="43">IF(L289,K289&amp;L289,"")</f>
        <v>F1</v>
      </c>
      <c r="C289" s="386"/>
      <c r="D289" s="79" t="s">
        <v>91</v>
      </c>
      <c r="E289" s="289"/>
      <c r="F289" s="191"/>
      <c r="G289" s="191"/>
      <c r="H289" s="191"/>
      <c r="I289" s="191"/>
      <c r="J289" s="409"/>
      <c r="K289" s="28" t="s">
        <v>772</v>
      </c>
      <c r="L289" s="28">
        <v>1</v>
      </c>
      <c r="M289" s="99">
        <f>IF(E289="VEDTATT","VEDTATT",0)</f>
        <v>0</v>
      </c>
      <c r="N289" s="99">
        <f>IF(E289="MÅ","Nye tiltak",0)</f>
        <v>0</v>
      </c>
      <c r="O289" s="99"/>
      <c r="P289" s="28"/>
    </row>
    <row r="290" spans="1:16" s="38" customFormat="1" x14ac:dyDescent="0.25">
      <c r="A290" s="72" t="s">
        <v>251</v>
      </c>
      <c r="B290" s="78" t="str">
        <f t="shared" si="43"/>
        <v>F2</v>
      </c>
      <c r="C290" s="245"/>
      <c r="D290" s="79"/>
      <c r="E290" s="71"/>
      <c r="F290" s="191"/>
      <c r="G290" s="191"/>
      <c r="H290" s="191"/>
      <c r="I290" s="191"/>
      <c r="J290" s="409"/>
      <c r="K290" s="28" t="s">
        <v>772</v>
      </c>
      <c r="L290" s="28">
        <f>L289+1</f>
        <v>2</v>
      </c>
      <c r="M290" s="99">
        <f>IF(E290="VEDTATT","VEDTATT",0)</f>
        <v>0</v>
      </c>
      <c r="N290" s="99">
        <f>IF(E290="MÅ","Nye tiltak",0)</f>
        <v>0</v>
      </c>
      <c r="O290" s="99"/>
      <c r="P290" s="28"/>
    </row>
    <row r="291" spans="1:16" s="38" customFormat="1" x14ac:dyDescent="0.25">
      <c r="A291" s="72"/>
      <c r="B291" s="78" t="str">
        <f t="shared" si="43"/>
        <v/>
      </c>
      <c r="C291" s="82" t="s">
        <v>257</v>
      </c>
      <c r="D291" s="83"/>
      <c r="E291" s="71"/>
      <c r="F291" s="4">
        <f>F288</f>
        <v>2022</v>
      </c>
      <c r="G291" s="4">
        <f>F291+1</f>
        <v>2023</v>
      </c>
      <c r="H291" s="4">
        <f>G291+1</f>
        <v>2024</v>
      </c>
      <c r="I291" s="4">
        <f>H291+1</f>
        <v>2025</v>
      </c>
      <c r="J291" s="407"/>
      <c r="K291" s="337"/>
      <c r="L291" s="337"/>
      <c r="M291" s="99"/>
      <c r="N291" s="99"/>
      <c r="O291" s="99"/>
      <c r="P291" s="28"/>
    </row>
    <row r="292" spans="1:16" s="38" customFormat="1" ht="25.5" x14ac:dyDescent="0.25">
      <c r="A292" s="72" t="s">
        <v>251</v>
      </c>
      <c r="B292" s="78" t="str">
        <f t="shared" si="43"/>
        <v>F3</v>
      </c>
      <c r="C292" s="84" t="s">
        <v>885</v>
      </c>
      <c r="D292" s="72" t="s">
        <v>664</v>
      </c>
      <c r="E292" s="71" t="s">
        <v>84</v>
      </c>
      <c r="F292" s="255">
        <v>-35</v>
      </c>
      <c r="G292" s="255">
        <v>-65</v>
      </c>
      <c r="H292" s="255">
        <v>-65</v>
      </c>
      <c r="I292" s="255">
        <v>-65</v>
      </c>
      <c r="J292" s="409" t="s">
        <v>834</v>
      </c>
      <c r="K292" s="28" t="s">
        <v>772</v>
      </c>
      <c r="L292" s="28">
        <f>L290+1</f>
        <v>3</v>
      </c>
      <c r="M292" s="99" t="str">
        <f t="shared" ref="M292:M311" si="44">IF(E292="VEDTATT","VEDTATT",0)</f>
        <v>VEDTATT</v>
      </c>
      <c r="N292" s="99">
        <f t="shared" ref="N292:N311" si="45">IF(E292="MÅ","Nye tiltak",0)</f>
        <v>0</v>
      </c>
      <c r="O292" s="99"/>
      <c r="P292" s="28"/>
    </row>
    <row r="293" spans="1:16" s="38" customFormat="1" ht="25.5" x14ac:dyDescent="0.25">
      <c r="A293" s="72" t="s">
        <v>251</v>
      </c>
      <c r="B293" s="78" t="str">
        <f>IF(L293,K293&amp;L293,"")</f>
        <v>F4</v>
      </c>
      <c r="C293" s="84" t="s">
        <v>885</v>
      </c>
      <c r="D293" s="72" t="s">
        <v>664</v>
      </c>
      <c r="E293" s="71" t="s">
        <v>84</v>
      </c>
      <c r="F293" s="255">
        <v>-1000</v>
      </c>
      <c r="G293" s="255">
        <v>-1000</v>
      </c>
      <c r="H293" s="255">
        <v>-1000</v>
      </c>
      <c r="I293" s="255">
        <v>-1000</v>
      </c>
      <c r="J293" s="409" t="s">
        <v>775</v>
      </c>
      <c r="K293" s="28" t="s">
        <v>772</v>
      </c>
      <c r="L293" s="28">
        <f t="shared" ref="L293:L315" si="46">L292+1</f>
        <v>4</v>
      </c>
      <c r="M293" s="99" t="str">
        <f t="shared" si="44"/>
        <v>VEDTATT</v>
      </c>
      <c r="N293" s="99">
        <f t="shared" si="45"/>
        <v>0</v>
      </c>
      <c r="O293" s="99"/>
      <c r="P293" s="28"/>
    </row>
    <row r="294" spans="1:16" s="38" customFormat="1" x14ac:dyDescent="0.25">
      <c r="A294" s="72" t="s">
        <v>251</v>
      </c>
      <c r="B294" s="78" t="str">
        <f t="shared" si="43"/>
        <v>F5</v>
      </c>
      <c r="C294" s="393" t="s">
        <v>886</v>
      </c>
      <c r="D294" s="72" t="s">
        <v>664</v>
      </c>
      <c r="E294" s="71" t="s">
        <v>84</v>
      </c>
      <c r="F294" s="191">
        <v>-1000</v>
      </c>
      <c r="G294" s="191">
        <v>-1000</v>
      </c>
      <c r="H294" s="191">
        <v>-1000</v>
      </c>
      <c r="I294" s="191">
        <v>-1000</v>
      </c>
      <c r="J294" s="409"/>
      <c r="K294" s="28" t="s">
        <v>772</v>
      </c>
      <c r="L294" s="28">
        <f t="shared" si="46"/>
        <v>5</v>
      </c>
      <c r="M294" s="99" t="str">
        <f t="shared" si="44"/>
        <v>VEDTATT</v>
      </c>
      <c r="N294" s="99">
        <f t="shared" si="45"/>
        <v>0</v>
      </c>
      <c r="O294" s="99"/>
      <c r="P294" s="28"/>
    </row>
    <row r="295" spans="1:16" s="38" customFormat="1" x14ac:dyDescent="0.25">
      <c r="A295" s="72" t="s">
        <v>251</v>
      </c>
      <c r="B295" s="78" t="str">
        <f t="shared" si="43"/>
        <v>F6</v>
      </c>
      <c r="C295" s="84" t="s">
        <v>886</v>
      </c>
      <c r="D295" s="72" t="s">
        <v>664</v>
      </c>
      <c r="E295" s="71" t="s">
        <v>84</v>
      </c>
      <c r="F295" s="191">
        <v>1800</v>
      </c>
      <c r="G295" s="191">
        <v>3100</v>
      </c>
      <c r="H295" s="191">
        <v>3100</v>
      </c>
      <c r="I295" s="191">
        <v>3100</v>
      </c>
      <c r="J295" s="409" t="s">
        <v>779</v>
      </c>
      <c r="K295" s="28" t="s">
        <v>772</v>
      </c>
      <c r="L295" s="28">
        <f t="shared" si="46"/>
        <v>6</v>
      </c>
      <c r="M295" s="99" t="str">
        <f t="shared" si="44"/>
        <v>VEDTATT</v>
      </c>
      <c r="N295" s="99">
        <f t="shared" si="45"/>
        <v>0</v>
      </c>
      <c r="O295" s="99"/>
      <c r="P295" s="28"/>
    </row>
    <row r="296" spans="1:16" s="38" customFormat="1" x14ac:dyDescent="0.25">
      <c r="A296" s="72" t="s">
        <v>251</v>
      </c>
      <c r="B296" s="78" t="str">
        <f t="shared" si="43"/>
        <v>F7</v>
      </c>
      <c r="C296" s="84" t="s">
        <v>887</v>
      </c>
      <c r="D296" s="72" t="s">
        <v>664</v>
      </c>
      <c r="E296" s="71" t="s">
        <v>84</v>
      </c>
      <c r="F296" s="191">
        <v>-470</v>
      </c>
      <c r="G296" s="191">
        <v>-1515</v>
      </c>
      <c r="H296" s="191">
        <v>-2090</v>
      </c>
      <c r="I296" s="191">
        <v>-2090</v>
      </c>
      <c r="J296" s="93"/>
      <c r="K296" s="28" t="s">
        <v>772</v>
      </c>
      <c r="L296" s="28">
        <f t="shared" si="46"/>
        <v>7</v>
      </c>
      <c r="M296" s="99" t="str">
        <f t="shared" si="44"/>
        <v>VEDTATT</v>
      </c>
      <c r="N296" s="99">
        <f t="shared" si="45"/>
        <v>0</v>
      </c>
      <c r="O296" s="99"/>
      <c r="P296" s="28"/>
    </row>
    <row r="297" spans="1:16" s="38" customFormat="1" x14ac:dyDescent="0.25">
      <c r="A297" s="72" t="s">
        <v>251</v>
      </c>
      <c r="B297" s="78" t="str">
        <f t="shared" si="43"/>
        <v>F8</v>
      </c>
      <c r="C297" s="84" t="s">
        <v>780</v>
      </c>
      <c r="D297" s="72" t="s">
        <v>91</v>
      </c>
      <c r="E297" s="71" t="s">
        <v>24</v>
      </c>
      <c r="F297" s="255">
        <v>109000</v>
      </c>
      <c r="G297" s="255">
        <v>109000</v>
      </c>
      <c r="H297" s="255">
        <v>109000</v>
      </c>
      <c r="I297" s="255">
        <v>109000</v>
      </c>
      <c r="J297" s="409" t="s">
        <v>781</v>
      </c>
      <c r="K297" s="28" t="s">
        <v>772</v>
      </c>
      <c r="L297" s="28">
        <f>L296+1</f>
        <v>8</v>
      </c>
      <c r="M297" s="99">
        <f t="shared" si="44"/>
        <v>0</v>
      </c>
      <c r="N297" s="99" t="str">
        <f t="shared" si="45"/>
        <v>Nye tiltak</v>
      </c>
      <c r="O297" s="99"/>
      <c r="P297" s="28"/>
    </row>
    <row r="298" spans="1:16" s="38" customFormat="1" x14ac:dyDescent="0.25">
      <c r="A298" s="72" t="s">
        <v>251</v>
      </c>
      <c r="B298" s="78" t="str">
        <f t="shared" si="43"/>
        <v>F9</v>
      </c>
      <c r="C298" s="84" t="s">
        <v>782</v>
      </c>
      <c r="D298" s="72" t="s">
        <v>91</v>
      </c>
      <c r="E298" s="71" t="s">
        <v>24</v>
      </c>
      <c r="F298" s="191">
        <v>246</v>
      </c>
      <c r="G298" s="191">
        <v>246</v>
      </c>
      <c r="H298" s="191">
        <v>246</v>
      </c>
      <c r="I298" s="191">
        <v>246</v>
      </c>
      <c r="J298" s="409" t="s">
        <v>783</v>
      </c>
      <c r="K298" s="28" t="s">
        <v>772</v>
      </c>
      <c r="L298" s="28">
        <f t="shared" si="46"/>
        <v>9</v>
      </c>
      <c r="M298" s="99">
        <f t="shared" si="44"/>
        <v>0</v>
      </c>
      <c r="N298" s="99" t="str">
        <f t="shared" si="45"/>
        <v>Nye tiltak</v>
      </c>
      <c r="O298" s="99"/>
      <c r="P298" s="28"/>
    </row>
    <row r="299" spans="1:16" s="38" customFormat="1" x14ac:dyDescent="0.25">
      <c r="A299" s="72" t="s">
        <v>251</v>
      </c>
      <c r="B299" s="78" t="str">
        <f t="shared" si="43"/>
        <v>F10</v>
      </c>
      <c r="C299" s="84" t="s">
        <v>784</v>
      </c>
      <c r="D299" s="72" t="s">
        <v>91</v>
      </c>
      <c r="E299" s="71" t="s">
        <v>24</v>
      </c>
      <c r="F299" s="191">
        <v>200</v>
      </c>
      <c r="G299" s="191">
        <v>200</v>
      </c>
      <c r="H299" s="191">
        <v>200</v>
      </c>
      <c r="I299" s="191">
        <v>200</v>
      </c>
      <c r="J299" s="93" t="s">
        <v>691</v>
      </c>
      <c r="K299" s="28" t="s">
        <v>772</v>
      </c>
      <c r="L299" s="28">
        <f t="shared" si="46"/>
        <v>10</v>
      </c>
      <c r="M299" s="99">
        <f t="shared" si="44"/>
        <v>0</v>
      </c>
      <c r="N299" s="99" t="str">
        <f t="shared" si="45"/>
        <v>Nye tiltak</v>
      </c>
      <c r="O299" s="99"/>
      <c r="P299" s="28"/>
    </row>
    <row r="300" spans="1:16" s="38" customFormat="1" x14ac:dyDescent="0.25">
      <c r="A300" s="72" t="s">
        <v>251</v>
      </c>
      <c r="B300" s="78" t="str">
        <f t="shared" si="43"/>
        <v>F11</v>
      </c>
      <c r="C300" s="84" t="s">
        <v>888</v>
      </c>
      <c r="D300" s="72" t="s">
        <v>91</v>
      </c>
      <c r="E300" s="71"/>
      <c r="F300" s="255"/>
      <c r="G300" s="255"/>
      <c r="H300" s="255"/>
      <c r="I300" s="255"/>
      <c r="J300" s="411" t="s">
        <v>889</v>
      </c>
      <c r="K300" s="28" t="s">
        <v>772</v>
      </c>
      <c r="L300" s="28">
        <f t="shared" si="46"/>
        <v>11</v>
      </c>
      <c r="M300" s="99">
        <f t="shared" si="44"/>
        <v>0</v>
      </c>
      <c r="N300" s="99">
        <f t="shared" si="45"/>
        <v>0</v>
      </c>
      <c r="O300" s="99"/>
      <c r="P300" s="28"/>
    </row>
    <row r="301" spans="1:16" s="38" customFormat="1" x14ac:dyDescent="0.25">
      <c r="A301" s="72" t="s">
        <v>251</v>
      </c>
      <c r="B301" s="78" t="str">
        <f t="shared" si="43"/>
        <v>F12</v>
      </c>
      <c r="C301" s="84" t="s">
        <v>785</v>
      </c>
      <c r="D301" s="72" t="s">
        <v>91</v>
      </c>
      <c r="E301" s="71" t="s">
        <v>24</v>
      </c>
      <c r="F301" s="191">
        <v>494</v>
      </c>
      <c r="G301" s="191">
        <v>494</v>
      </c>
      <c r="H301" s="191">
        <v>494</v>
      </c>
      <c r="I301" s="191">
        <v>494</v>
      </c>
      <c r="J301" s="93" t="s">
        <v>691</v>
      </c>
      <c r="K301" s="28" t="s">
        <v>772</v>
      </c>
      <c r="L301" s="28">
        <f t="shared" si="46"/>
        <v>12</v>
      </c>
      <c r="M301" s="99">
        <f t="shared" si="44"/>
        <v>0</v>
      </c>
      <c r="N301" s="99" t="str">
        <f t="shared" si="45"/>
        <v>Nye tiltak</v>
      </c>
      <c r="O301" s="99"/>
      <c r="P301" s="28"/>
    </row>
    <row r="302" spans="1:16" s="38" customFormat="1" ht="22.5" x14ac:dyDescent="0.25">
      <c r="A302" s="72" t="s">
        <v>251</v>
      </c>
      <c r="B302" s="78" t="str">
        <f t="shared" si="43"/>
        <v>F13</v>
      </c>
      <c r="C302" s="416" t="s">
        <v>890</v>
      </c>
      <c r="D302" s="228" t="s">
        <v>91</v>
      </c>
      <c r="E302" s="231" t="s">
        <v>24</v>
      </c>
      <c r="F302" s="290">
        <v>4931</v>
      </c>
      <c r="G302" s="290">
        <v>4931</v>
      </c>
      <c r="H302" s="290">
        <v>4931</v>
      </c>
      <c r="I302" s="290">
        <v>4931</v>
      </c>
      <c r="J302" s="409" t="s">
        <v>891</v>
      </c>
      <c r="K302" s="28" t="s">
        <v>772</v>
      </c>
      <c r="L302" s="28">
        <f t="shared" si="46"/>
        <v>13</v>
      </c>
      <c r="M302" s="99">
        <f t="shared" si="44"/>
        <v>0</v>
      </c>
      <c r="N302" s="99" t="str">
        <f t="shared" si="45"/>
        <v>Nye tiltak</v>
      </c>
      <c r="O302" s="99"/>
      <c r="P302" s="28"/>
    </row>
    <row r="303" spans="1:16" s="38" customFormat="1" ht="22.5" x14ac:dyDescent="0.25">
      <c r="A303" s="72" t="s">
        <v>251</v>
      </c>
      <c r="B303" s="78" t="str">
        <f t="shared" si="43"/>
        <v>F14</v>
      </c>
      <c r="C303" s="416" t="s">
        <v>892</v>
      </c>
      <c r="D303" s="228" t="s">
        <v>91</v>
      </c>
      <c r="E303" s="231" t="s">
        <v>24</v>
      </c>
      <c r="F303" s="290">
        <v>800</v>
      </c>
      <c r="G303" s="290">
        <v>800</v>
      </c>
      <c r="H303" s="290">
        <v>800</v>
      </c>
      <c r="I303" s="290">
        <v>800</v>
      </c>
      <c r="J303" s="409" t="s">
        <v>893</v>
      </c>
      <c r="K303" s="28" t="s">
        <v>772</v>
      </c>
      <c r="L303" s="28">
        <f t="shared" si="46"/>
        <v>14</v>
      </c>
      <c r="M303" s="99">
        <f t="shared" si="44"/>
        <v>0</v>
      </c>
      <c r="N303" s="99" t="str">
        <f t="shared" si="45"/>
        <v>Nye tiltak</v>
      </c>
      <c r="O303" s="99"/>
      <c r="P303" s="28"/>
    </row>
    <row r="304" spans="1:16" s="38" customFormat="1" ht="22.5" x14ac:dyDescent="0.25">
      <c r="A304" s="72" t="s">
        <v>251</v>
      </c>
      <c r="B304" s="78" t="str">
        <f t="shared" si="43"/>
        <v>F15</v>
      </c>
      <c r="C304" s="416" t="s">
        <v>894</v>
      </c>
      <c r="D304" s="228" t="s">
        <v>91</v>
      </c>
      <c r="E304" s="231" t="s">
        <v>24</v>
      </c>
      <c r="F304" s="290">
        <v>2000</v>
      </c>
      <c r="G304" s="290">
        <v>2000</v>
      </c>
      <c r="H304" s="290">
        <v>2000</v>
      </c>
      <c r="I304" s="290">
        <v>2000</v>
      </c>
      <c r="J304" s="409" t="s">
        <v>895</v>
      </c>
      <c r="K304" s="28" t="s">
        <v>772</v>
      </c>
      <c r="L304" s="28">
        <f t="shared" si="46"/>
        <v>15</v>
      </c>
      <c r="M304" s="99">
        <f t="shared" si="44"/>
        <v>0</v>
      </c>
      <c r="N304" s="99" t="str">
        <f t="shared" si="45"/>
        <v>Nye tiltak</v>
      </c>
      <c r="O304" s="99"/>
      <c r="P304" s="28"/>
    </row>
    <row r="305" spans="1:16" s="38" customFormat="1" ht="22.5" x14ac:dyDescent="0.25">
      <c r="A305" s="72" t="s">
        <v>251</v>
      </c>
      <c r="B305" s="78" t="str">
        <f t="shared" si="43"/>
        <v>F16</v>
      </c>
      <c r="C305" s="416" t="s">
        <v>896</v>
      </c>
      <c r="D305" s="228" t="s">
        <v>91</v>
      </c>
      <c r="E305" s="231" t="s">
        <v>24</v>
      </c>
      <c r="F305" s="290">
        <v>9100</v>
      </c>
      <c r="G305" s="290">
        <v>9100</v>
      </c>
      <c r="H305" s="290">
        <v>9100</v>
      </c>
      <c r="I305" s="290">
        <v>9100</v>
      </c>
      <c r="J305" s="409" t="s">
        <v>897</v>
      </c>
      <c r="K305" s="28" t="s">
        <v>772</v>
      </c>
      <c r="L305" s="28">
        <f t="shared" si="46"/>
        <v>16</v>
      </c>
      <c r="M305" s="99">
        <f t="shared" si="44"/>
        <v>0</v>
      </c>
      <c r="N305" s="99" t="str">
        <f t="shared" si="45"/>
        <v>Nye tiltak</v>
      </c>
      <c r="O305" s="99"/>
      <c r="P305" s="28"/>
    </row>
    <row r="306" spans="1:16" s="38" customFormat="1" ht="33.75" x14ac:dyDescent="0.25">
      <c r="A306" s="72" t="s">
        <v>251</v>
      </c>
      <c r="B306" s="78" t="str">
        <f t="shared" si="43"/>
        <v>F17</v>
      </c>
      <c r="C306" s="416" t="s">
        <v>898</v>
      </c>
      <c r="D306" s="228" t="s">
        <v>91</v>
      </c>
      <c r="E306" s="231" t="s">
        <v>24</v>
      </c>
      <c r="F306" s="290">
        <v>3760</v>
      </c>
      <c r="G306" s="290">
        <v>3760</v>
      </c>
      <c r="H306" s="290">
        <v>3760</v>
      </c>
      <c r="I306" s="290">
        <v>3760</v>
      </c>
      <c r="J306" s="409" t="s">
        <v>899</v>
      </c>
      <c r="K306" s="28" t="s">
        <v>772</v>
      </c>
      <c r="L306" s="28">
        <f t="shared" si="46"/>
        <v>17</v>
      </c>
      <c r="M306" s="99">
        <f t="shared" si="44"/>
        <v>0</v>
      </c>
      <c r="N306" s="99" t="str">
        <f t="shared" si="45"/>
        <v>Nye tiltak</v>
      </c>
      <c r="O306" s="99"/>
      <c r="P306" s="28"/>
    </row>
    <row r="307" spans="1:16" s="38" customFormat="1" ht="22.5" x14ac:dyDescent="0.25">
      <c r="A307" s="72" t="s">
        <v>251</v>
      </c>
      <c r="B307" s="78" t="str">
        <f t="shared" si="43"/>
        <v>F18</v>
      </c>
      <c r="C307" s="416" t="s">
        <v>900</v>
      </c>
      <c r="D307" s="228" t="s">
        <v>91</v>
      </c>
      <c r="E307" s="231" t="s">
        <v>901</v>
      </c>
      <c r="F307" s="290">
        <v>0</v>
      </c>
      <c r="G307" s="290">
        <v>0</v>
      </c>
      <c r="H307" s="290">
        <v>0</v>
      </c>
      <c r="I307" s="290">
        <v>0</v>
      </c>
      <c r="J307" s="409" t="s">
        <v>902</v>
      </c>
      <c r="K307" s="28" t="s">
        <v>772</v>
      </c>
      <c r="L307" s="28">
        <f t="shared" si="46"/>
        <v>18</v>
      </c>
      <c r="M307" s="99">
        <f t="shared" si="44"/>
        <v>0</v>
      </c>
      <c r="N307" s="99">
        <f t="shared" si="45"/>
        <v>0</v>
      </c>
      <c r="O307" s="99"/>
      <c r="P307" s="28"/>
    </row>
    <row r="308" spans="1:16" s="38" customFormat="1" x14ac:dyDescent="0.25">
      <c r="A308" s="72" t="s">
        <v>251</v>
      </c>
      <c r="B308" s="78" t="str">
        <f t="shared" si="43"/>
        <v>F19</v>
      </c>
      <c r="C308" s="84" t="s">
        <v>787</v>
      </c>
      <c r="D308" s="72" t="s">
        <v>91</v>
      </c>
      <c r="E308" s="71" t="s">
        <v>24</v>
      </c>
      <c r="F308" s="255">
        <v>1936</v>
      </c>
      <c r="G308" s="255">
        <v>1936</v>
      </c>
      <c r="H308" s="255">
        <v>1936</v>
      </c>
      <c r="I308" s="255">
        <v>1936</v>
      </c>
      <c r="J308" s="417"/>
      <c r="K308" s="28" t="s">
        <v>772</v>
      </c>
      <c r="L308" s="28">
        <f t="shared" si="46"/>
        <v>19</v>
      </c>
      <c r="M308" s="99">
        <f t="shared" si="44"/>
        <v>0</v>
      </c>
      <c r="N308" s="99" t="str">
        <f t="shared" si="45"/>
        <v>Nye tiltak</v>
      </c>
      <c r="O308" s="99"/>
      <c r="P308" s="28"/>
    </row>
    <row r="309" spans="1:16" s="38" customFormat="1" x14ac:dyDescent="0.25">
      <c r="A309" s="72" t="s">
        <v>251</v>
      </c>
      <c r="B309" s="78" t="str">
        <f t="shared" si="43"/>
        <v>F20</v>
      </c>
      <c r="C309" s="84" t="s">
        <v>788</v>
      </c>
      <c r="D309" s="72" t="s">
        <v>91</v>
      </c>
      <c r="E309" s="71" t="s">
        <v>24</v>
      </c>
      <c r="F309" s="191">
        <v>1880</v>
      </c>
      <c r="G309" s="191">
        <v>1880</v>
      </c>
      <c r="H309" s="191">
        <v>1880</v>
      </c>
      <c r="I309" s="191">
        <v>1880</v>
      </c>
      <c r="J309" s="409" t="s">
        <v>789</v>
      </c>
      <c r="K309" s="28" t="s">
        <v>772</v>
      </c>
      <c r="L309" s="28">
        <f t="shared" si="46"/>
        <v>20</v>
      </c>
      <c r="M309" s="99">
        <f t="shared" si="44"/>
        <v>0</v>
      </c>
      <c r="N309" s="99" t="str">
        <f t="shared" si="45"/>
        <v>Nye tiltak</v>
      </c>
      <c r="O309" s="99"/>
      <c r="P309" s="28"/>
    </row>
    <row r="310" spans="1:16" s="38" customFormat="1" ht="22.5" x14ac:dyDescent="0.25">
      <c r="A310" s="72" t="s">
        <v>251</v>
      </c>
      <c r="B310" s="78" t="str">
        <f t="shared" si="43"/>
        <v>F21</v>
      </c>
      <c r="C310" s="84" t="s">
        <v>903</v>
      </c>
      <c r="D310" s="72" t="s">
        <v>91</v>
      </c>
      <c r="E310" s="71" t="s">
        <v>24</v>
      </c>
      <c r="F310" s="191">
        <v>-1880</v>
      </c>
      <c r="G310" s="191"/>
      <c r="H310" s="191"/>
      <c r="I310" s="191"/>
      <c r="J310" s="409" t="s">
        <v>791</v>
      </c>
      <c r="K310" s="28" t="s">
        <v>772</v>
      </c>
      <c r="L310" s="28">
        <f t="shared" si="46"/>
        <v>21</v>
      </c>
      <c r="M310" s="99">
        <f t="shared" si="44"/>
        <v>0</v>
      </c>
      <c r="N310" s="99" t="str">
        <f t="shared" si="45"/>
        <v>Nye tiltak</v>
      </c>
      <c r="O310" s="99"/>
      <c r="P310" s="28"/>
    </row>
    <row r="311" spans="1:16" s="38" customFormat="1" ht="22.5" x14ac:dyDescent="0.25">
      <c r="A311" s="72" t="s">
        <v>251</v>
      </c>
      <c r="B311" s="78" t="str">
        <f t="shared" si="43"/>
        <v>F22</v>
      </c>
      <c r="C311" s="84" t="s">
        <v>904</v>
      </c>
      <c r="D311" s="72" t="s">
        <v>91</v>
      </c>
      <c r="E311" s="71" t="s">
        <v>901</v>
      </c>
      <c r="F311" s="191"/>
      <c r="G311" s="191"/>
      <c r="H311" s="191"/>
      <c r="I311" s="191"/>
      <c r="J311" s="409" t="s">
        <v>993</v>
      </c>
      <c r="K311" s="28" t="s">
        <v>772</v>
      </c>
      <c r="L311" s="28">
        <f t="shared" si="46"/>
        <v>22</v>
      </c>
      <c r="M311" s="99">
        <f t="shared" si="44"/>
        <v>0</v>
      </c>
      <c r="N311" s="99">
        <f t="shared" si="45"/>
        <v>0</v>
      </c>
      <c r="O311" s="99"/>
      <c r="P311" s="28"/>
    </row>
    <row r="312" spans="1:16" s="38" customFormat="1" x14ac:dyDescent="0.25">
      <c r="A312" s="72" t="s">
        <v>251</v>
      </c>
      <c r="B312" s="78" t="str">
        <f t="shared" si="43"/>
        <v>F23</v>
      </c>
      <c r="C312" s="386" t="s">
        <v>263</v>
      </c>
      <c r="D312" s="72" t="s">
        <v>91</v>
      </c>
      <c r="E312" s="71" t="s">
        <v>24</v>
      </c>
      <c r="F312" s="191">
        <v>450</v>
      </c>
      <c r="G312" s="191">
        <v>450</v>
      </c>
      <c r="H312" s="191">
        <v>450</v>
      </c>
      <c r="I312" s="191">
        <v>450</v>
      </c>
      <c r="J312" s="409" t="s">
        <v>792</v>
      </c>
      <c r="K312" s="28" t="s">
        <v>772</v>
      </c>
      <c r="L312" s="28">
        <f t="shared" si="46"/>
        <v>23</v>
      </c>
      <c r="M312" s="99"/>
      <c r="N312" s="99"/>
      <c r="O312" s="99"/>
      <c r="P312" s="28"/>
    </row>
    <row r="313" spans="1:16" s="38" customFormat="1" ht="23.25" customHeight="1" x14ac:dyDescent="0.25">
      <c r="A313" s="72" t="s">
        <v>251</v>
      </c>
      <c r="B313" s="78" t="str">
        <f t="shared" si="43"/>
        <v>F24</v>
      </c>
      <c r="C313" s="84" t="s">
        <v>384</v>
      </c>
      <c r="D313" s="72" t="s">
        <v>91</v>
      </c>
      <c r="E313" s="71" t="s">
        <v>24</v>
      </c>
      <c r="F313" s="255">
        <v>1030</v>
      </c>
      <c r="G313" s="255">
        <v>1030</v>
      </c>
      <c r="H313" s="255">
        <v>1030</v>
      </c>
      <c r="I313" s="255">
        <v>1030</v>
      </c>
      <c r="J313" s="409" t="s">
        <v>994</v>
      </c>
      <c r="K313" s="28" t="s">
        <v>772</v>
      </c>
      <c r="L313" s="28">
        <f t="shared" si="46"/>
        <v>24</v>
      </c>
      <c r="M313" s="99"/>
      <c r="N313" s="99"/>
      <c r="O313" s="99"/>
      <c r="P313" s="28"/>
    </row>
    <row r="314" spans="1:16" s="38" customFormat="1" x14ac:dyDescent="0.25">
      <c r="A314" s="72" t="s">
        <v>251</v>
      </c>
      <c r="B314" s="78" t="str">
        <f t="shared" si="43"/>
        <v>F25</v>
      </c>
      <c r="C314" s="84" t="s">
        <v>277</v>
      </c>
      <c r="D314" s="72" t="s">
        <v>91</v>
      </c>
      <c r="E314" s="71" t="s">
        <v>24</v>
      </c>
      <c r="F314" s="255"/>
      <c r="G314" s="255"/>
      <c r="H314" s="255"/>
      <c r="I314" s="255"/>
      <c r="J314" s="409" t="s">
        <v>995</v>
      </c>
      <c r="K314" s="28" t="s">
        <v>772</v>
      </c>
      <c r="L314" s="28">
        <f t="shared" si="46"/>
        <v>25</v>
      </c>
      <c r="M314" s="99"/>
      <c r="N314" s="99"/>
      <c r="O314" s="99"/>
      <c r="P314" s="28"/>
    </row>
    <row r="315" spans="1:16" s="38" customFormat="1" x14ac:dyDescent="0.25">
      <c r="A315" s="72" t="s">
        <v>251</v>
      </c>
      <c r="B315" s="78" t="str">
        <f t="shared" si="43"/>
        <v>F26</v>
      </c>
      <c r="C315" s="84" t="s">
        <v>793</v>
      </c>
      <c r="D315" s="72" t="s">
        <v>91</v>
      </c>
      <c r="E315" s="71" t="s">
        <v>24</v>
      </c>
      <c r="F315" s="255"/>
      <c r="G315" s="255"/>
      <c r="H315" s="255"/>
      <c r="I315" s="255"/>
      <c r="J315" s="409" t="s">
        <v>996</v>
      </c>
      <c r="K315" s="28" t="s">
        <v>772</v>
      </c>
      <c r="L315" s="28">
        <f t="shared" si="46"/>
        <v>26</v>
      </c>
      <c r="M315" s="99">
        <f>IF(E315="VEDTATT","VEDTATT",0)</f>
        <v>0</v>
      </c>
      <c r="N315" s="99" t="str">
        <f>IF(E315="MÅ","Nye tiltak",0)</f>
        <v>Nye tiltak</v>
      </c>
      <c r="O315" s="99"/>
      <c r="P315" s="28"/>
    </row>
    <row r="316" spans="1:16" s="38" customFormat="1" x14ac:dyDescent="0.25">
      <c r="A316" s="72"/>
      <c r="B316" s="78" t="str">
        <f t="shared" si="43"/>
        <v/>
      </c>
      <c r="C316" s="82" t="s">
        <v>288</v>
      </c>
      <c r="D316" s="83"/>
      <c r="E316" s="71"/>
      <c r="F316" s="4">
        <f>F291</f>
        <v>2022</v>
      </c>
      <c r="G316" s="4">
        <f>F316+1</f>
        <v>2023</v>
      </c>
      <c r="H316" s="4">
        <f>G316+1</f>
        <v>2024</v>
      </c>
      <c r="I316" s="4">
        <f>H316+1</f>
        <v>2025</v>
      </c>
      <c r="J316" s="407"/>
      <c r="K316" s="337"/>
      <c r="L316" s="337"/>
      <c r="M316" s="99"/>
      <c r="N316" s="99"/>
      <c r="O316" s="99"/>
      <c r="P316" s="28"/>
    </row>
    <row r="317" spans="1:16" s="38" customFormat="1" x14ac:dyDescent="0.25">
      <c r="A317" s="72" t="s">
        <v>251</v>
      </c>
      <c r="B317" s="78" t="str">
        <f t="shared" si="43"/>
        <v>F27</v>
      </c>
      <c r="C317" s="38" t="s">
        <v>289</v>
      </c>
      <c r="D317" s="72" t="s">
        <v>664</v>
      </c>
      <c r="E317" s="71" t="s">
        <v>84</v>
      </c>
      <c r="F317" s="70"/>
      <c r="G317" s="255">
        <v>2430</v>
      </c>
      <c r="H317" s="191"/>
      <c r="I317" s="191">
        <v>0</v>
      </c>
      <c r="J317" s="407"/>
      <c r="K317" s="28" t="s">
        <v>772</v>
      </c>
      <c r="L317" s="28">
        <f>L315+1</f>
        <v>27</v>
      </c>
      <c r="M317" s="99" t="str">
        <f>IF(E317="VEDTATT","VEDTATT",0)</f>
        <v>VEDTATT</v>
      </c>
      <c r="N317" s="99">
        <f>IF(E317="MÅ","Nye tiltak",0)</f>
        <v>0</v>
      </c>
      <c r="O317" s="99"/>
      <c r="P317" s="28"/>
    </row>
    <row r="318" spans="1:16" s="38" customFormat="1" ht="30" x14ac:dyDescent="0.25">
      <c r="A318" s="72" t="s">
        <v>251</v>
      </c>
      <c r="B318" s="78" t="str">
        <f t="shared" si="43"/>
        <v>F28</v>
      </c>
      <c r="C318" s="295" t="s">
        <v>909</v>
      </c>
      <c r="D318" s="72" t="s">
        <v>664</v>
      </c>
      <c r="E318" s="71" t="s">
        <v>84</v>
      </c>
      <c r="F318" s="70"/>
      <c r="G318" s="255">
        <v>400</v>
      </c>
      <c r="H318" s="191"/>
      <c r="I318" s="191">
        <v>0</v>
      </c>
      <c r="J318" s="407"/>
      <c r="K318" s="28" t="s">
        <v>772</v>
      </c>
      <c r="L318" s="28">
        <f t="shared" ref="L318:L327" si="47">+L317+1</f>
        <v>28</v>
      </c>
      <c r="M318" s="99" t="str">
        <f>IF(E318="VEDTATT","VEDTATT",0)</f>
        <v>VEDTATT</v>
      </c>
      <c r="N318" s="99">
        <f>IF(E318="MÅ","Nye tiltak",0)</f>
        <v>0</v>
      </c>
      <c r="O318" s="99"/>
      <c r="P318" s="28"/>
    </row>
    <row r="319" spans="1:16" s="38" customFormat="1" x14ac:dyDescent="0.25">
      <c r="A319" s="72" t="s">
        <v>251</v>
      </c>
      <c r="B319" s="78" t="str">
        <f t="shared" si="43"/>
        <v>F29</v>
      </c>
      <c r="C319" s="38" t="s">
        <v>291</v>
      </c>
      <c r="D319" s="72" t="s">
        <v>664</v>
      </c>
      <c r="E319" s="71" t="s">
        <v>84</v>
      </c>
      <c r="F319" s="70"/>
      <c r="G319" s="255">
        <v>300</v>
      </c>
      <c r="H319" s="191"/>
      <c r="I319" s="191">
        <v>0</v>
      </c>
      <c r="J319" s="407"/>
      <c r="K319" s="28" t="s">
        <v>772</v>
      </c>
      <c r="L319" s="28">
        <f t="shared" si="47"/>
        <v>29</v>
      </c>
      <c r="M319" s="99" t="str">
        <f>IF(E319="VEDTATT","VEDTATT",0)</f>
        <v>VEDTATT</v>
      </c>
      <c r="N319" s="99">
        <f>IF(E319="MÅ","Nye tiltak",0)</f>
        <v>0</v>
      </c>
      <c r="O319" s="99"/>
      <c r="P319" s="28"/>
    </row>
    <row r="320" spans="1:16" s="38" customFormat="1" x14ac:dyDescent="0.25">
      <c r="A320" s="72" t="s">
        <v>251</v>
      </c>
      <c r="B320" s="78" t="str">
        <f t="shared" si="43"/>
        <v>F30</v>
      </c>
      <c r="C320" s="38" t="s">
        <v>292</v>
      </c>
      <c r="D320" s="72" t="s">
        <v>664</v>
      </c>
      <c r="E320" s="71" t="s">
        <v>84</v>
      </c>
      <c r="F320" s="70"/>
      <c r="G320" s="255">
        <v>200</v>
      </c>
      <c r="H320" s="191"/>
      <c r="I320" s="191">
        <v>0</v>
      </c>
      <c r="J320" s="407"/>
      <c r="K320" s="28" t="s">
        <v>772</v>
      </c>
      <c r="L320" s="28">
        <f t="shared" si="47"/>
        <v>30</v>
      </c>
      <c r="M320" s="99" t="str">
        <f>IF(E320="VEDTATT","VEDTATT",0)</f>
        <v>VEDTATT</v>
      </c>
      <c r="N320" s="99">
        <f>IF(E320="MÅ","Nye tiltak",0)</f>
        <v>0</v>
      </c>
      <c r="O320" s="99"/>
      <c r="P320" s="28"/>
    </row>
    <row r="321" spans="1:17" s="38" customFormat="1" x14ac:dyDescent="0.25">
      <c r="A321" s="72" t="s">
        <v>251</v>
      </c>
      <c r="B321" s="78" t="str">
        <f t="shared" si="43"/>
        <v>F31</v>
      </c>
      <c r="C321" s="38" t="s">
        <v>293</v>
      </c>
      <c r="D321" s="79" t="s">
        <v>664</v>
      </c>
      <c r="E321" s="71" t="s">
        <v>84</v>
      </c>
      <c r="F321" s="191"/>
      <c r="G321" s="191">
        <v>-2000</v>
      </c>
      <c r="H321" s="191">
        <v>-2000</v>
      </c>
      <c r="I321" s="191">
        <v>-2000</v>
      </c>
      <c r="J321" s="407" t="s">
        <v>794</v>
      </c>
      <c r="K321" s="28" t="s">
        <v>772</v>
      </c>
      <c r="L321" s="28">
        <f t="shared" si="47"/>
        <v>31</v>
      </c>
      <c r="M321" s="99" t="str">
        <f>IF(E321="VEDTATT","VEDTATT",0)</f>
        <v>VEDTATT</v>
      </c>
      <c r="N321" s="99">
        <f>IF(E321="MÅ","Nye tiltak",0)</f>
        <v>0</v>
      </c>
      <c r="O321" s="99"/>
      <c r="P321" s="28"/>
    </row>
    <row r="322" spans="1:17" s="38" customFormat="1" x14ac:dyDescent="0.25">
      <c r="A322" s="72" t="s">
        <v>251</v>
      </c>
      <c r="B322" s="78" t="str">
        <f>IF(L322,K322&amp;L322,"")</f>
        <v>F32</v>
      </c>
      <c r="C322" s="38" t="s">
        <v>289</v>
      </c>
      <c r="D322" s="79" t="s">
        <v>91</v>
      </c>
      <c r="E322" s="71" t="s">
        <v>24</v>
      </c>
      <c r="F322" s="191"/>
      <c r="G322" s="191"/>
      <c r="H322" s="191"/>
      <c r="I322" s="255">
        <v>2430</v>
      </c>
      <c r="J322" s="407"/>
      <c r="K322" s="28" t="s">
        <v>772</v>
      </c>
      <c r="L322" s="28">
        <f t="shared" si="47"/>
        <v>32</v>
      </c>
      <c r="M322" s="99"/>
      <c r="N322" s="99"/>
      <c r="O322" s="99"/>
      <c r="P322" s="28"/>
    </row>
    <row r="323" spans="1:17" s="38" customFormat="1" x14ac:dyDescent="0.25">
      <c r="A323" s="72" t="s">
        <v>251</v>
      </c>
      <c r="B323" s="78" t="str">
        <f>IF(L323,K323&amp;L323,"")</f>
        <v>F33</v>
      </c>
      <c r="C323" s="38" t="s">
        <v>910</v>
      </c>
      <c r="D323" s="79" t="s">
        <v>91</v>
      </c>
      <c r="E323" s="71" t="s">
        <v>24</v>
      </c>
      <c r="F323" s="191"/>
      <c r="G323" s="191"/>
      <c r="H323" s="191"/>
      <c r="I323" s="255">
        <v>400</v>
      </c>
      <c r="J323" s="407"/>
      <c r="K323" s="28" t="s">
        <v>772</v>
      </c>
      <c r="L323" s="28">
        <f t="shared" si="47"/>
        <v>33</v>
      </c>
      <c r="M323" s="99"/>
      <c r="N323" s="99"/>
      <c r="O323" s="99"/>
      <c r="P323" s="28"/>
    </row>
    <row r="324" spans="1:17" s="38" customFormat="1" x14ac:dyDescent="0.25">
      <c r="A324" s="72" t="s">
        <v>251</v>
      </c>
      <c r="B324" s="78" t="str">
        <f>IF(L324,K324&amp;L324,"")</f>
        <v>F34</v>
      </c>
      <c r="C324" s="38" t="s">
        <v>398</v>
      </c>
      <c r="D324" s="79" t="s">
        <v>91</v>
      </c>
      <c r="E324" s="71" t="s">
        <v>24</v>
      </c>
      <c r="F324" s="191"/>
      <c r="G324" s="191">
        <v>400</v>
      </c>
      <c r="H324" s="191"/>
      <c r="I324" s="191">
        <v>400</v>
      </c>
      <c r="J324" s="407"/>
      <c r="K324" s="28" t="s">
        <v>772</v>
      </c>
      <c r="L324" s="28">
        <f t="shared" si="47"/>
        <v>34</v>
      </c>
      <c r="M324" s="99"/>
      <c r="N324" s="99"/>
      <c r="O324" s="99"/>
      <c r="P324" s="28"/>
    </row>
    <row r="325" spans="1:17" s="38" customFormat="1" x14ac:dyDescent="0.25">
      <c r="A325" s="72" t="s">
        <v>251</v>
      </c>
      <c r="B325" s="78" t="str">
        <f t="shared" si="43"/>
        <v>F35</v>
      </c>
      <c r="C325" s="38" t="s">
        <v>470</v>
      </c>
      <c r="D325" s="79" t="s">
        <v>91</v>
      </c>
      <c r="E325" s="71" t="s">
        <v>24</v>
      </c>
      <c r="F325" s="191"/>
      <c r="G325" s="191">
        <v>300</v>
      </c>
      <c r="H325" s="191"/>
      <c r="I325" s="191">
        <v>300</v>
      </c>
      <c r="J325" s="407"/>
      <c r="K325" s="28" t="s">
        <v>772</v>
      </c>
      <c r="L325" s="28">
        <f t="shared" si="47"/>
        <v>35</v>
      </c>
      <c r="M325" s="99">
        <f>IF(E325="VEDTATT","VEDTATT",0)</f>
        <v>0</v>
      </c>
      <c r="N325" s="99" t="str">
        <f>IF(E325="MÅ","Nye tiltak",0)</f>
        <v>Nye tiltak</v>
      </c>
      <c r="O325" s="99"/>
      <c r="P325" s="28"/>
    </row>
    <row r="326" spans="1:17" s="38" customFormat="1" x14ac:dyDescent="0.25">
      <c r="A326" s="72" t="s">
        <v>251</v>
      </c>
      <c r="B326" s="78" t="str">
        <f>IF(L326,K326&amp;L326,"")</f>
        <v>F36</v>
      </c>
      <c r="C326" s="293" t="s">
        <v>911</v>
      </c>
      <c r="D326" s="79" t="s">
        <v>91</v>
      </c>
      <c r="E326" s="71" t="s">
        <v>24</v>
      </c>
      <c r="F326" s="191">
        <v>50</v>
      </c>
      <c r="G326" s="191">
        <v>50</v>
      </c>
      <c r="H326" s="191">
        <v>50</v>
      </c>
      <c r="I326" s="191">
        <v>50</v>
      </c>
      <c r="J326" s="407"/>
      <c r="K326" s="28" t="s">
        <v>772</v>
      </c>
      <c r="L326" s="28">
        <f t="shared" si="47"/>
        <v>36</v>
      </c>
      <c r="M326" s="99"/>
      <c r="N326" s="99"/>
      <c r="O326" s="99"/>
      <c r="P326" s="28"/>
    </row>
    <row r="327" spans="1:17" s="38" customFormat="1" x14ac:dyDescent="0.25">
      <c r="A327" s="72" t="s">
        <v>251</v>
      </c>
      <c r="B327" s="78" t="str">
        <f t="shared" si="43"/>
        <v>F37</v>
      </c>
      <c r="C327" s="293" t="s">
        <v>796</v>
      </c>
      <c r="D327" s="79" t="s">
        <v>91</v>
      </c>
      <c r="E327" s="231" t="s">
        <v>24</v>
      </c>
      <c r="F327" s="255"/>
      <c r="G327" s="255"/>
      <c r="H327" s="255">
        <v>1000</v>
      </c>
      <c r="I327" s="255"/>
      <c r="J327" s="407"/>
      <c r="K327" s="28" t="s">
        <v>772</v>
      </c>
      <c r="L327" s="28">
        <f t="shared" si="47"/>
        <v>37</v>
      </c>
      <c r="M327" s="99"/>
      <c r="N327" s="99"/>
      <c r="O327" s="99"/>
      <c r="P327" s="28"/>
    </row>
    <row r="328" spans="1:17" s="38" customFormat="1" x14ac:dyDescent="0.25">
      <c r="A328" s="72"/>
      <c r="B328" s="78" t="str">
        <f t="shared" si="43"/>
        <v/>
      </c>
      <c r="C328" s="82" t="s">
        <v>282</v>
      </c>
      <c r="D328" s="388"/>
      <c r="E328" s="71"/>
      <c r="F328" s="389"/>
      <c r="G328" s="389"/>
      <c r="H328" s="389"/>
      <c r="I328" s="389"/>
      <c r="J328" s="407"/>
      <c r="M328" s="99"/>
      <c r="N328" s="99"/>
      <c r="O328" s="99"/>
      <c r="P328" s="28"/>
    </row>
    <row r="329" spans="1:17" s="38" customFormat="1" x14ac:dyDescent="0.2">
      <c r="A329" s="72" t="s">
        <v>251</v>
      </c>
      <c r="B329" s="78" t="str">
        <f t="shared" si="43"/>
        <v>F38</v>
      </c>
      <c r="C329" s="84" t="s">
        <v>628</v>
      </c>
      <c r="D329" s="72" t="s">
        <v>661</v>
      </c>
      <c r="E329" s="71" t="s">
        <v>84</v>
      </c>
      <c r="F329" s="473">
        <v>-20469</v>
      </c>
      <c r="G329" s="473">
        <v>-20469</v>
      </c>
      <c r="H329" s="473">
        <v>-20469</v>
      </c>
      <c r="I329" s="473">
        <v>-20469</v>
      </c>
      <c r="J329" s="477" t="s">
        <v>997</v>
      </c>
      <c r="K329" s="28" t="s">
        <v>772</v>
      </c>
      <c r="L329" s="28">
        <f>L327+1</f>
        <v>38</v>
      </c>
      <c r="M329" s="99" t="str">
        <f>IF(E329="VEDTATT","VEDTATT",0)</f>
        <v>VEDTATT</v>
      </c>
      <c r="N329" s="99">
        <f>IF(E329="MÅ","Nye tiltak",0)</f>
        <v>0</v>
      </c>
      <c r="O329" s="99"/>
      <c r="P329" s="28"/>
      <c r="Q329" s="38">
        <v>-22250</v>
      </c>
    </row>
    <row r="330" spans="1:17" s="38" customFormat="1" x14ac:dyDescent="0.2">
      <c r="A330" s="72" t="s">
        <v>251</v>
      </c>
      <c r="B330" s="78" t="str">
        <f t="shared" si="43"/>
        <v>F39</v>
      </c>
      <c r="C330" s="84" t="s">
        <v>629</v>
      </c>
      <c r="D330" s="72" t="s">
        <v>661</v>
      </c>
      <c r="E330" s="71" t="s">
        <v>84</v>
      </c>
      <c r="F330" s="478">
        <v>-3730</v>
      </c>
      <c r="G330" s="478">
        <v>-3730</v>
      </c>
      <c r="H330" s="478">
        <v>-3730</v>
      </c>
      <c r="I330" s="478">
        <v>-3730</v>
      </c>
      <c r="J330" s="479" t="s">
        <v>997</v>
      </c>
      <c r="K330" s="28" t="s">
        <v>772</v>
      </c>
      <c r="L330" s="28">
        <f t="shared" ref="L330:L334" si="48">+L329+1</f>
        <v>39</v>
      </c>
      <c r="M330" s="99" t="str">
        <f>IF(E330="VEDTATT","VEDTATT",0)</f>
        <v>VEDTATT</v>
      </c>
      <c r="N330" s="99">
        <f>IF(E330="MÅ","Nye tiltak",0)</f>
        <v>0</v>
      </c>
      <c r="O330" s="99"/>
      <c r="P330" s="28"/>
      <c r="Q330" s="38" t="e">
        <f>-#REF!</f>
        <v>#REF!</v>
      </c>
    </row>
    <row r="331" spans="1:17" s="38" customFormat="1" x14ac:dyDescent="0.2">
      <c r="A331" s="72" t="s">
        <v>251</v>
      </c>
      <c r="B331" s="78" t="str">
        <f t="shared" si="43"/>
        <v>F40</v>
      </c>
      <c r="C331" s="84" t="s">
        <v>912</v>
      </c>
      <c r="D331" s="72" t="s">
        <v>661</v>
      </c>
      <c r="E331" s="71" t="s">
        <v>84</v>
      </c>
      <c r="F331" s="475">
        <v>-3500</v>
      </c>
      <c r="G331" s="475">
        <v>-3500</v>
      </c>
      <c r="H331" s="475">
        <v>-3500</v>
      </c>
      <c r="I331" s="475">
        <v>-3500</v>
      </c>
      <c r="J331" s="479" t="s">
        <v>997</v>
      </c>
      <c r="K331" s="28" t="s">
        <v>772</v>
      </c>
      <c r="L331" s="28">
        <f t="shared" si="48"/>
        <v>40</v>
      </c>
      <c r="M331" s="99" t="str">
        <f>IF(E331="VEDTATT","VEDTATT",0)</f>
        <v>VEDTATT</v>
      </c>
      <c r="N331" s="99">
        <f>IF(E331="MÅ","Nye tiltak",0)</f>
        <v>0</v>
      </c>
      <c r="O331" s="99"/>
      <c r="P331" s="28"/>
      <c r="Q331" s="95">
        <f>+F331</f>
        <v>-3500</v>
      </c>
    </row>
    <row r="332" spans="1:17" s="38" customFormat="1" x14ac:dyDescent="0.2">
      <c r="A332" s="72" t="s">
        <v>251</v>
      </c>
      <c r="B332" s="78" t="str">
        <f t="shared" si="43"/>
        <v>F41</v>
      </c>
      <c r="C332" s="84" t="s">
        <v>631</v>
      </c>
      <c r="D332" s="72" t="s">
        <v>661</v>
      </c>
      <c r="E332" s="71" t="s">
        <v>84</v>
      </c>
      <c r="F332" s="475">
        <v>-4420</v>
      </c>
      <c r="G332" s="475">
        <v>-4420</v>
      </c>
      <c r="H332" s="475">
        <v>-4420</v>
      </c>
      <c r="I332" s="475">
        <v>-4420</v>
      </c>
      <c r="J332" s="479" t="s">
        <v>997</v>
      </c>
      <c r="K332" s="28" t="s">
        <v>772</v>
      </c>
      <c r="L332" s="28">
        <f t="shared" si="48"/>
        <v>41</v>
      </c>
      <c r="M332" s="99" t="str">
        <f>IF(E332="VEDTATT","VEDTATT",0)</f>
        <v>VEDTATT</v>
      </c>
      <c r="N332" s="99">
        <f>IF(E332="MÅ","Nye tiltak",0)</f>
        <v>0</v>
      </c>
      <c r="O332" s="99"/>
      <c r="P332" s="28"/>
      <c r="Q332" s="95">
        <f t="shared" ref="Q332:Q337" si="49">+F332</f>
        <v>-4420</v>
      </c>
    </row>
    <row r="333" spans="1:17" s="38" customFormat="1" x14ac:dyDescent="0.2">
      <c r="A333" s="72" t="s">
        <v>251</v>
      </c>
      <c r="B333" s="78" t="str">
        <f t="shared" si="43"/>
        <v>F42</v>
      </c>
      <c r="C333" s="84" t="s">
        <v>913</v>
      </c>
      <c r="D333" s="72" t="s">
        <v>661</v>
      </c>
      <c r="E333" s="61" t="s">
        <v>84</v>
      </c>
      <c r="F333" s="475">
        <v>24370</v>
      </c>
      <c r="G333" s="475">
        <v>26970</v>
      </c>
      <c r="H333" s="475">
        <v>26970</v>
      </c>
      <c r="I333" s="475">
        <v>26970</v>
      </c>
      <c r="J333" s="479" t="s">
        <v>997</v>
      </c>
      <c r="K333" s="28" t="s">
        <v>772</v>
      </c>
      <c r="L333" s="28">
        <f t="shared" si="48"/>
        <v>42</v>
      </c>
      <c r="M333" s="99"/>
      <c r="N333" s="99"/>
      <c r="O333" s="99"/>
      <c r="P333" s="28"/>
      <c r="Q333" s="95">
        <f t="shared" si="49"/>
        <v>24370</v>
      </c>
    </row>
    <row r="334" spans="1:17" s="38" customFormat="1" x14ac:dyDescent="0.2">
      <c r="A334" s="72" t="s">
        <v>251</v>
      </c>
      <c r="B334" s="78" t="str">
        <f t="shared" si="43"/>
        <v>F43</v>
      </c>
      <c r="C334" s="84" t="s">
        <v>914</v>
      </c>
      <c r="D334" s="72" t="s">
        <v>661</v>
      </c>
      <c r="E334" s="71" t="s">
        <v>84</v>
      </c>
      <c r="F334" s="475">
        <v>-24370</v>
      </c>
      <c r="G334" s="475">
        <v>-26970</v>
      </c>
      <c r="H334" s="475">
        <v>-26970</v>
      </c>
      <c r="I334" s="475">
        <v>-26970</v>
      </c>
      <c r="J334" s="479" t="s">
        <v>997</v>
      </c>
      <c r="K334" s="28" t="s">
        <v>772</v>
      </c>
      <c r="L334" s="28">
        <f t="shared" si="48"/>
        <v>43</v>
      </c>
      <c r="M334" s="99"/>
      <c r="N334" s="99"/>
      <c r="O334" s="99"/>
      <c r="P334" s="28"/>
      <c r="Q334" s="95">
        <f t="shared" si="49"/>
        <v>-24370</v>
      </c>
    </row>
    <row r="335" spans="1:17" s="38" customFormat="1" x14ac:dyDescent="0.2">
      <c r="A335" s="72" t="s">
        <v>251</v>
      </c>
      <c r="B335" s="78" t="str">
        <f t="shared" si="43"/>
        <v>F44</v>
      </c>
      <c r="C335" s="84" t="s">
        <v>631</v>
      </c>
      <c r="D335" s="72" t="s">
        <v>661</v>
      </c>
      <c r="E335" s="71" t="s">
        <v>84</v>
      </c>
      <c r="F335" s="475">
        <v>4420</v>
      </c>
      <c r="G335" s="475">
        <v>4420</v>
      </c>
      <c r="H335" s="475">
        <v>4420</v>
      </c>
      <c r="I335" s="475">
        <v>4420</v>
      </c>
      <c r="J335" s="479" t="s">
        <v>997</v>
      </c>
      <c r="K335" s="28" t="s">
        <v>772</v>
      </c>
      <c r="L335" s="28">
        <f>+L334+1</f>
        <v>44</v>
      </c>
      <c r="M335" s="99"/>
      <c r="N335" s="99"/>
      <c r="O335" s="99"/>
      <c r="P335" s="28"/>
      <c r="Q335" s="95">
        <f t="shared" si="49"/>
        <v>4420</v>
      </c>
    </row>
    <row r="336" spans="1:17" s="38" customFormat="1" x14ac:dyDescent="0.2">
      <c r="A336" s="72" t="s">
        <v>251</v>
      </c>
      <c r="B336" s="78" t="str">
        <f t="shared" si="43"/>
        <v>F45</v>
      </c>
      <c r="C336" s="84" t="s">
        <v>998</v>
      </c>
      <c r="D336" s="72"/>
      <c r="E336" s="71"/>
      <c r="F336" s="474">
        <v>600</v>
      </c>
      <c r="G336" s="474">
        <v>600</v>
      </c>
      <c r="H336" s="474">
        <v>600</v>
      </c>
      <c r="I336" s="474">
        <v>600</v>
      </c>
      <c r="J336" s="479" t="s">
        <v>997</v>
      </c>
      <c r="K336" s="28" t="s">
        <v>772</v>
      </c>
      <c r="L336" s="28">
        <f>+L335+1</f>
        <v>45</v>
      </c>
      <c r="M336" s="99"/>
      <c r="N336" s="99"/>
      <c r="O336" s="99"/>
      <c r="P336" s="28"/>
      <c r="Q336" s="95">
        <f t="shared" si="49"/>
        <v>600</v>
      </c>
    </row>
    <row r="337" spans="1:17" s="38" customFormat="1" ht="25.5" x14ac:dyDescent="0.2">
      <c r="A337" s="72" t="s">
        <v>251</v>
      </c>
      <c r="B337" s="78" t="str">
        <f t="shared" si="43"/>
        <v>F46</v>
      </c>
      <c r="C337" s="84" t="s">
        <v>634</v>
      </c>
      <c r="D337" s="72" t="s">
        <v>661</v>
      </c>
      <c r="E337" s="71" t="s">
        <v>84</v>
      </c>
      <c r="F337" s="475">
        <v>-4176</v>
      </c>
      <c r="G337" s="475">
        <v>-4176</v>
      </c>
      <c r="H337" s="475">
        <v>-4176</v>
      </c>
      <c r="I337" s="475">
        <v>-4176</v>
      </c>
      <c r="J337" s="479" t="s">
        <v>999</v>
      </c>
      <c r="K337" s="28" t="s">
        <v>772</v>
      </c>
      <c r="L337" s="28">
        <f t="shared" ref="L337:L340" si="50">+L336+1</f>
        <v>46</v>
      </c>
      <c r="M337" s="99"/>
      <c r="N337" s="99"/>
      <c r="O337" s="99"/>
      <c r="P337" s="28"/>
      <c r="Q337" s="95">
        <f t="shared" si="49"/>
        <v>-4176</v>
      </c>
    </row>
    <row r="338" spans="1:17" s="38" customFormat="1" x14ac:dyDescent="0.25">
      <c r="A338" s="72" t="s">
        <v>251</v>
      </c>
      <c r="B338" s="78" t="str">
        <f>IF(L338,K338&amp;L338,"")</f>
        <v>F47</v>
      </c>
      <c r="C338" s="386" t="s">
        <v>1000</v>
      </c>
      <c r="D338" s="79" t="s">
        <v>91</v>
      </c>
      <c r="E338" s="231" t="s">
        <v>488</v>
      </c>
      <c r="F338" s="90">
        <v>5900</v>
      </c>
      <c r="G338" s="90">
        <f>+F338</f>
        <v>5900</v>
      </c>
      <c r="H338" s="90">
        <f t="shared" ref="H338:I338" si="51">+G338</f>
        <v>5900</v>
      </c>
      <c r="I338" s="90">
        <f t="shared" si="51"/>
        <v>5900</v>
      </c>
      <c r="J338" s="412" t="s">
        <v>1001</v>
      </c>
      <c r="K338" s="28" t="s">
        <v>772</v>
      </c>
      <c r="L338" s="28">
        <f t="shared" si="50"/>
        <v>47</v>
      </c>
      <c r="M338" s="99"/>
      <c r="N338" s="99"/>
      <c r="O338" s="99"/>
      <c r="P338" s="28"/>
    </row>
    <row r="339" spans="1:17" s="38" customFormat="1" x14ac:dyDescent="0.25">
      <c r="A339" s="72" t="s">
        <v>251</v>
      </c>
      <c r="B339" s="78" t="str">
        <f>IF(L339,K339&amp;L339,"")</f>
        <v>F48</v>
      </c>
      <c r="C339" s="84" t="s">
        <v>1002</v>
      </c>
      <c r="D339" s="72" t="s">
        <v>91</v>
      </c>
      <c r="E339" s="231" t="s">
        <v>488</v>
      </c>
      <c r="F339" s="413">
        <v>55500</v>
      </c>
      <c r="G339" s="413">
        <v>55500</v>
      </c>
      <c r="H339" s="413">
        <v>55500</v>
      </c>
      <c r="I339" s="413">
        <v>55500</v>
      </c>
      <c r="J339" s="407" t="s">
        <v>1003</v>
      </c>
      <c r="K339" s="28" t="s">
        <v>772</v>
      </c>
      <c r="L339" s="28">
        <f t="shared" si="50"/>
        <v>48</v>
      </c>
      <c r="M339" s="99"/>
      <c r="N339" s="99"/>
      <c r="O339" s="99"/>
      <c r="P339" s="28"/>
    </row>
    <row r="340" spans="1:17" s="38" customFormat="1" x14ac:dyDescent="0.25">
      <c r="A340" s="72" t="s">
        <v>251</v>
      </c>
      <c r="B340" s="78" t="str">
        <f>IF(L340,K340&amp;L340,"")</f>
        <v>F49</v>
      </c>
      <c r="C340" s="84" t="s">
        <v>1004</v>
      </c>
      <c r="D340" s="72" t="s">
        <v>91</v>
      </c>
      <c r="E340" s="71" t="s">
        <v>488</v>
      </c>
      <c r="F340" s="90"/>
      <c r="G340" s="90"/>
      <c r="H340" s="90"/>
      <c r="I340" s="90"/>
      <c r="J340" s="407"/>
      <c r="K340" s="28" t="s">
        <v>772</v>
      </c>
      <c r="L340" s="28">
        <f t="shared" si="50"/>
        <v>49</v>
      </c>
      <c r="M340" s="99">
        <f>IF(E340="VEDTATT","VEDTATT",0)</f>
        <v>0</v>
      </c>
      <c r="N340" s="99">
        <f>IF(E340="MÅ","Nye tiltak",0)</f>
        <v>0</v>
      </c>
      <c r="O340" s="99"/>
      <c r="P340" s="28"/>
    </row>
    <row r="341" spans="1:17" s="38" customFormat="1" x14ac:dyDescent="0.25">
      <c r="A341" s="72"/>
      <c r="B341" s="78" t="str">
        <f>IF(L341,K341&amp;L341,"")</f>
        <v/>
      </c>
      <c r="C341" s="82" t="s">
        <v>1005</v>
      </c>
      <c r="D341" s="83"/>
      <c r="E341" s="71"/>
      <c r="F341" s="191"/>
      <c r="G341" s="191"/>
      <c r="H341" s="191"/>
      <c r="I341" s="191"/>
      <c r="J341" s="407"/>
      <c r="K341" s="28"/>
      <c r="L341" s="28"/>
      <c r="M341" s="99"/>
      <c r="N341" s="99"/>
      <c r="O341" s="99"/>
      <c r="P341" s="28"/>
    </row>
    <row r="342" spans="1:17" s="38" customFormat="1" ht="30" x14ac:dyDescent="0.25">
      <c r="A342" s="43"/>
      <c r="B342" s="43" t="s">
        <v>127</v>
      </c>
      <c r="C342" s="3" t="s">
        <v>304</v>
      </c>
      <c r="D342" s="52"/>
      <c r="E342" s="52"/>
      <c r="F342" s="56">
        <f>SUMIF($A:$A,"KOM.FELLES",F:F)</f>
        <v>163417</v>
      </c>
      <c r="G342" s="56">
        <f>SUMIF($A:$A,"KOM.FELLES",G:G)</f>
        <v>167552</v>
      </c>
      <c r="H342" s="56">
        <f>SUMIF($A:$A,"KOM.FELLES",H:H)</f>
        <v>163947</v>
      </c>
      <c r="I342" s="56">
        <f>SUMIF($A:$A,"KOM.FELLES",I:I)</f>
        <v>166477</v>
      </c>
      <c r="J342" s="407"/>
      <c r="K342" s="337"/>
      <c r="L342" s="337"/>
      <c r="M342" s="99"/>
      <c r="N342" s="99"/>
      <c r="O342" s="99"/>
      <c r="P342" s="28"/>
    </row>
    <row r="343" spans="1:17" x14ac:dyDescent="0.25">
      <c r="K343" s="38"/>
      <c r="L343" s="38"/>
      <c r="M343"/>
      <c r="N343"/>
      <c r="O343"/>
    </row>
    <row r="345" spans="1:17" x14ac:dyDescent="0.25">
      <c r="E345" t="s">
        <v>836</v>
      </c>
      <c r="F345" s="256" t="e">
        <f>#REF!+#REF!+#REF!+#REF!</f>
        <v>#REF!</v>
      </c>
      <c r="G345" s="256" t="e">
        <f>#REF!+#REF!+#REF!+#REF!</f>
        <v>#REF!</v>
      </c>
      <c r="H345" s="256" t="e">
        <f>#REF!+#REF!+#REF!+#REF!</f>
        <v>#REF!</v>
      </c>
      <c r="I345" s="256"/>
    </row>
    <row r="346" spans="1:17" x14ac:dyDescent="0.25">
      <c r="E346" t="s">
        <v>837</v>
      </c>
      <c r="F346" s="256">
        <f>30987+13258+710+30241</f>
        <v>75196</v>
      </c>
      <c r="G346" s="256">
        <f>30987+29145+1313+30241</f>
        <v>91686</v>
      </c>
      <c r="H346" s="256">
        <f>30987+29145+1313+30241</f>
        <v>91686</v>
      </c>
      <c r="I346" s="256"/>
    </row>
    <row r="347" spans="1:17" x14ac:dyDescent="0.25">
      <c r="E347" s="202" t="s">
        <v>838</v>
      </c>
      <c r="F347" s="203" t="e">
        <f>F345-F346</f>
        <v>#REF!</v>
      </c>
      <c r="G347" s="203" t="e">
        <f>G345-G346</f>
        <v>#REF!</v>
      </c>
      <c r="H347" s="203" t="e">
        <f>H345-H346</f>
        <v>#REF!</v>
      </c>
      <c r="I347" s="348"/>
    </row>
    <row r="348" spans="1:17" x14ac:dyDescent="0.25">
      <c r="E348" t="s">
        <v>839</v>
      </c>
      <c r="F348" s="183">
        <f>-7929-3038</f>
        <v>-10967</v>
      </c>
      <c r="G348" s="183">
        <f>-9809-3549</f>
        <v>-13358</v>
      </c>
      <c r="H348" s="183">
        <f>-9809-3549</f>
        <v>-13358</v>
      </c>
      <c r="I348" s="183"/>
    </row>
    <row r="349" spans="1:17" x14ac:dyDescent="0.25">
      <c r="E349" s="202" t="s">
        <v>838</v>
      </c>
      <c r="F349" s="203" t="e">
        <f>F348-F347</f>
        <v>#REF!</v>
      </c>
      <c r="G349" s="203" t="e">
        <f>G348-G347</f>
        <v>#REF!</v>
      </c>
      <c r="H349" s="203" t="e">
        <f>H348-H347</f>
        <v>#REF!</v>
      </c>
      <c r="I349" s="348"/>
    </row>
    <row r="351" spans="1:17" x14ac:dyDescent="0.25">
      <c r="F351" s="256" t="e">
        <f>F71+F73+#REF!+#REF!+#REF!+#REF!+#REF!+#REF!+#REF!+#REF!+#REF!+F158+F160+#REF!+#REF!+#REF!+#REF!+#REF!+#REF!+#REF!</f>
        <v>#REF!</v>
      </c>
      <c r="G351" s="256" t="e">
        <f>G71+G73+#REF!+#REF!+#REF!+#REF!+#REF!+#REF!+#REF!+#REF!+#REF!+G158+G160+#REF!+#REF!+#REF!+#REF!+#REF!+#REF!+#REF!</f>
        <v>#REF!</v>
      </c>
      <c r="H351" s="256" t="e">
        <f>H71+H73+#REF!+#REF!+#REF!+#REF!+#REF!+#REF!+#REF!+#REF!+#REF!+H158+H160+#REF!+#REF!+#REF!+#REF!+#REF!+#REF!+#REF!</f>
        <v>#REF!</v>
      </c>
      <c r="I351" s="256"/>
    </row>
    <row r="356" spans="4:21" x14ac:dyDescent="0.25">
      <c r="F356" s="182"/>
      <c r="G356" s="182"/>
      <c r="H356" s="182"/>
      <c r="I356" s="182"/>
    </row>
    <row r="357" spans="4:21" x14ac:dyDescent="0.25">
      <c r="D357" s="256"/>
      <c r="E357" s="256"/>
      <c r="F357" s="256"/>
      <c r="G357" s="256"/>
      <c r="H357" s="256"/>
      <c r="I357" s="256"/>
      <c r="Q357" s="204"/>
      <c r="R357" s="205">
        <v>2019</v>
      </c>
      <c r="S357" s="205">
        <v>2020</v>
      </c>
      <c r="T357" s="205">
        <v>2021</v>
      </c>
      <c r="U357" s="205">
        <v>2022</v>
      </c>
    </row>
    <row r="358" spans="4:21" x14ac:dyDescent="0.25">
      <c r="F358" s="256"/>
      <c r="G358" s="256"/>
      <c r="H358" s="256"/>
      <c r="I358" s="256"/>
      <c r="Q358" s="349" t="s">
        <v>840</v>
      </c>
      <c r="R358" s="186" t="e">
        <f>#REF!+#REF!</f>
        <v>#REF!</v>
      </c>
      <c r="S358" s="186" t="e">
        <f>#REF!+#REF!</f>
        <v>#REF!</v>
      </c>
      <c r="T358" s="186" t="e">
        <f>#REF!+#REF!</f>
        <v>#REF!</v>
      </c>
      <c r="U358" s="186" t="e">
        <f>#REF!+#REF!</f>
        <v>#REF!</v>
      </c>
    </row>
    <row r="359" spans="4:21" x14ac:dyDescent="0.25">
      <c r="F359" s="256"/>
      <c r="G359" s="256"/>
      <c r="H359" s="256"/>
      <c r="I359" s="256"/>
      <c r="Q359" s="349" t="s">
        <v>841</v>
      </c>
      <c r="R359" s="186" t="e">
        <f>#REF!+#REF!</f>
        <v>#REF!</v>
      </c>
      <c r="S359" s="186" t="e">
        <f>#REF!+#REF!</f>
        <v>#REF!</v>
      </c>
      <c r="T359" s="186" t="e">
        <f>#REF!+#REF!</f>
        <v>#REF!</v>
      </c>
      <c r="U359" s="186" t="e">
        <f>#REF!+#REF!</f>
        <v>#REF!</v>
      </c>
    </row>
    <row r="360" spans="4:21" x14ac:dyDescent="0.25">
      <c r="F360" s="256"/>
      <c r="G360" s="256"/>
      <c r="H360" s="256"/>
      <c r="I360" s="256"/>
      <c r="Q360" s="349" t="s">
        <v>803</v>
      </c>
      <c r="R360" s="186" t="e">
        <f>#REF!+#REF!</f>
        <v>#REF!</v>
      </c>
      <c r="S360" s="186" t="e">
        <f>F144+#REF!</f>
        <v>#REF!</v>
      </c>
      <c r="T360" s="186" t="e">
        <f>G144+#REF!</f>
        <v>#REF!</v>
      </c>
      <c r="U360" s="186" t="e">
        <f>H144+#REF!</f>
        <v>#REF!</v>
      </c>
    </row>
    <row r="361" spans="4:21" x14ac:dyDescent="0.25">
      <c r="F361" s="256"/>
      <c r="G361" s="256"/>
      <c r="H361" s="256"/>
      <c r="I361" s="256"/>
      <c r="Q361" s="349" t="s">
        <v>842</v>
      </c>
      <c r="R361" s="186" t="e">
        <f>#REF!</f>
        <v>#REF!</v>
      </c>
      <c r="S361" s="186" t="e">
        <f>#REF!</f>
        <v>#REF!</v>
      </c>
      <c r="T361" s="186" t="e">
        <f>#REF!</f>
        <v>#REF!</v>
      </c>
      <c r="U361" s="186" t="e">
        <f>#REF!</f>
        <v>#REF!</v>
      </c>
    </row>
    <row r="362" spans="4:21" x14ac:dyDescent="0.25">
      <c r="F362" s="256"/>
      <c r="G362" s="256"/>
      <c r="H362" s="256"/>
      <c r="I362" s="256"/>
      <c r="Q362" s="349" t="s">
        <v>808</v>
      </c>
      <c r="R362" s="186" t="e">
        <f>#REF!+#REF!</f>
        <v>#REF!</v>
      </c>
      <c r="S362" s="186" t="e">
        <f>#REF!+#REF!</f>
        <v>#REF!</v>
      </c>
      <c r="T362" s="186" t="e">
        <f>#REF!+#REF!</f>
        <v>#REF!</v>
      </c>
      <c r="U362" s="186" t="e">
        <f>#REF!+#REF!</f>
        <v>#REF!</v>
      </c>
    </row>
    <row r="363" spans="4:21" x14ac:dyDescent="0.25">
      <c r="F363" s="256"/>
      <c r="G363" s="256"/>
      <c r="H363" s="256"/>
      <c r="I363" s="256"/>
      <c r="Q363" s="349" t="s">
        <v>231</v>
      </c>
      <c r="R363" s="186" t="e">
        <f>#REF!</f>
        <v>#REF!</v>
      </c>
      <c r="S363" s="186" t="e">
        <f>#REF!</f>
        <v>#REF!</v>
      </c>
      <c r="T363" s="186" t="e">
        <f>#REF!</f>
        <v>#REF!</v>
      </c>
      <c r="U363" s="186" t="e">
        <f>#REF!</f>
        <v>#REF!</v>
      </c>
    </row>
    <row r="364" spans="4:21" x14ac:dyDescent="0.25">
      <c r="F364" s="256"/>
      <c r="G364" s="256"/>
      <c r="H364" s="256"/>
      <c r="I364" s="256"/>
      <c r="Q364" s="349" t="s">
        <v>241</v>
      </c>
      <c r="R364" s="186" t="e">
        <f>#REF!</f>
        <v>#REF!</v>
      </c>
      <c r="S364" s="186" t="e">
        <f>#REF!</f>
        <v>#REF!</v>
      </c>
      <c r="T364" s="186" t="e">
        <f>#REF!</f>
        <v>#REF!</v>
      </c>
      <c r="U364" s="186" t="e">
        <f>#REF!</f>
        <v>#REF!</v>
      </c>
    </row>
    <row r="365" spans="4:21" ht="30" x14ac:dyDescent="0.25">
      <c r="Q365" s="349" t="s">
        <v>843</v>
      </c>
      <c r="R365" s="186" t="e">
        <f>#REF!+#REF!</f>
        <v>#REF!</v>
      </c>
      <c r="S365" s="186" t="e">
        <f>F290+#REF!</f>
        <v>#REF!</v>
      </c>
      <c r="T365" s="186" t="e">
        <f>G290+#REF!</f>
        <v>#REF!</v>
      </c>
      <c r="U365" s="186" t="e">
        <f>H290+#REF!</f>
        <v>#REF!</v>
      </c>
    </row>
    <row r="366" spans="4:21" x14ac:dyDescent="0.25">
      <c r="Q366" s="185" t="s">
        <v>844</v>
      </c>
      <c r="R366" s="187" t="e">
        <f>SUBTOTAL(9,R358:R365)</f>
        <v>#REF!</v>
      </c>
      <c r="S366" s="187" t="e">
        <f>SUBTOTAL(9,S358:S365)</f>
        <v>#REF!</v>
      </c>
      <c r="T366" s="187" t="e">
        <f>SUBTOTAL(9,T358:T365)</f>
        <v>#REF!</v>
      </c>
      <c r="U366" s="187" t="e">
        <f>SUBTOTAL(9,U358:U365)</f>
        <v>#REF!</v>
      </c>
    </row>
  </sheetData>
  <mergeCells count="16">
    <mergeCell ref="AO1:AR1"/>
    <mergeCell ref="AS1:AV1"/>
    <mergeCell ref="Q2:T2"/>
    <mergeCell ref="U2:X2"/>
    <mergeCell ref="Y2:AB2"/>
    <mergeCell ref="AC2:AF2"/>
    <mergeCell ref="AG2:AJ2"/>
    <mergeCell ref="AK2:AN2"/>
    <mergeCell ref="AO2:AR2"/>
    <mergeCell ref="AS2:AV2"/>
    <mergeCell ref="Q1:T1"/>
    <mergeCell ref="U1:X1"/>
    <mergeCell ref="Y1:AB1"/>
    <mergeCell ref="AC1:AF1"/>
    <mergeCell ref="AG1:AJ1"/>
    <mergeCell ref="AK1:AN1"/>
  </mergeCells>
  <phoneticPr fontId="23" type="noConversion"/>
  <conditionalFormatting sqref="F18:I18">
    <cfRule type="cellIs" dxfId="3" priority="2" operator="notEqual">
      <formula>0</formula>
    </cfRule>
  </conditionalFormatting>
  <conditionalFormatting sqref="I18">
    <cfRule type="cellIs" dxfId="2" priority="1" operator="notEqual">
      <formula>0</formula>
    </cfRule>
  </conditionalFormatting>
  <dataValidations count="1">
    <dataValidation type="list" allowBlank="1" showInputMessage="1" showErrorMessage="1" sqref="E235:E237 D249:E255 D219:D220 D225 D242:E243 D244 D231:D237 D227:D229" xr:uid="{20B05C23-727B-4055-8716-493E65EAE0B5}">
      <formula1>#REF!</formula1>
    </dataValidation>
  </dataValidations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F3DDEEDD-E71B-49D8-972E-91896995CEED}">
          <x14:formula1>
            <xm:f>Div!$A$3:$A$13</xm:f>
          </x14:formula1>
          <xm:sqref>A105:A128 A93:A102 A68:A78</xm:sqref>
        </x14:dataValidation>
        <x14:dataValidation type="list" allowBlank="1" showInputMessage="1" showErrorMessage="1" xr:uid="{C056CC98-6C95-454C-8FB7-6F251F210F81}">
          <x14:formula1>
            <xm:f>Div!$A$3:$A$11</xm:f>
          </x14:formula1>
          <xm:sqref>A79 A81:A83 A85 A87:A92 A103:A104 A29:A67 A129:A342</xm:sqref>
        </x14:dataValidation>
        <x14:dataValidation type="list" allowBlank="1" showInputMessage="1" showErrorMessage="1" xr:uid="{901D2529-3BE4-4841-B6CD-5C47D54ADEC6}">
          <x14:formula1>
            <xm:f>Div!$B$3:$B$8</xm:f>
          </x14:formula1>
          <xm:sqref>D278:D284 D245:D248 D317:D327 D230 D226 D221:D222 D93:D102 D289:D290 D68:D79 D156:D167 D81:D84 D172:D182 D87:D89 D292:D315 D29:D61 D105:D124 D192:D218 D238:D241 D132:D154 D259:D274 D184:D188 D329:D340</xm:sqref>
        </x14:dataValidation>
        <x14:dataValidation type="list" allowBlank="1" showInputMessage="1" showErrorMessage="1" xr:uid="{DB53F7E4-7EA8-490B-A188-6AB1441C201B}">
          <x14:formula1>
            <xm:f>'C:\Users\lincbak\Desktop\[Kopi av Driftskostnader for nye bygg - tiltaksliste 2018-2021.xlsx]Div'!#REF!</xm:f>
          </x14:formula1>
          <xm:sqref>E188</xm:sqref>
        </x14:dataValidation>
        <x14:dataValidation type="list" allowBlank="1" showInputMessage="1" showErrorMessage="1" xr:uid="{5EDD698B-F564-4B8C-96A1-0CFB6454E3D0}">
          <x14:formula1>
            <xm:f>Div!$C$3:$C$58</xm:f>
          </x14:formula1>
          <xm:sqref>D62:D67 D183 D342:E342 D104:E104 D155 D168:D171 D275:D277 D285:D288 D291 D316 D328 D341 D189:D191 D85 D195 D142 D162 D129:D131 D256:D258 E329:E340 D91:D92 E289:E290 E29:E61 E244:E248 E256:E257 E93:E102 E189:E190 E317:E327 E129 E278:E286 E156:E160 E162:E169 E172:E182 E81:E85 E87:E90 E292:E315 E105:E124 E192:E234 E238:E241 E132:E154 E259:E276 E184:E187 E68:E79</xm:sqref>
        </x14:dataValidation>
        <x14:dataValidation type="list" allowBlank="1" showInputMessage="1" showErrorMessage="1" xr:uid="{232AE31D-1DAE-4D87-AFE1-210E3D5BE6AE}">
          <x14:formula1>
            <xm:f>Div!$B$3:$B$6</xm:f>
          </x14:formula1>
          <xm:sqref>E62:E67 E287:E288 E328 E155 E258 E341 E277 E170:E171 E183 E291 E316 E191 E195 E142 E162 E130:E131 D90 E91:E92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2B42-C359-44D7-A742-399905C1BEE2}">
  <sheetPr codeName="Ark7"/>
  <dimension ref="A1:AW381"/>
  <sheetViews>
    <sheetView topLeftCell="A132" zoomScale="130" zoomScaleNormal="130" workbookViewId="0">
      <selection activeCell="C160" sqref="C160"/>
    </sheetView>
  </sheetViews>
  <sheetFormatPr baseColWidth="10" defaultColWidth="11.42578125" defaultRowHeight="15" x14ac:dyDescent="0.25"/>
  <cols>
    <col min="1" max="1" width="10.140625" customWidth="1"/>
    <col min="2" max="2" width="5" customWidth="1"/>
    <col min="3" max="3" width="58.5703125" customWidth="1"/>
    <col min="4" max="4" width="14.42578125" bestFit="1" customWidth="1"/>
    <col min="5" max="5" width="11.28515625" bestFit="1" customWidth="1"/>
    <col min="6" max="6" width="12" bestFit="1" customWidth="1"/>
    <col min="7" max="7" width="13.42578125" customWidth="1"/>
    <col min="8" max="8" width="13.5703125" customWidth="1"/>
    <col min="9" max="9" width="13" customWidth="1"/>
    <col min="10" max="10" width="58.42578125" customWidth="1"/>
    <col min="11" max="11" width="7.42578125" style="28" customWidth="1"/>
    <col min="12" max="12" width="7.5703125" style="28" bestFit="1" customWidth="1"/>
    <col min="13" max="13" width="8.5703125" style="94" customWidth="1"/>
    <col min="14" max="14" width="9.5703125" style="94" customWidth="1"/>
    <col min="15" max="15" width="13.42578125" style="94" customWidth="1"/>
    <col min="16" max="16" width="13.5703125" bestFit="1" customWidth="1"/>
    <col min="17" max="17" width="31.5703125" customWidth="1"/>
    <col min="18" max="21" width="14.42578125" customWidth="1"/>
    <col min="49" max="49" width="20.42578125" customWidth="1"/>
  </cols>
  <sheetData>
    <row r="1" spans="1:48" s="28" customFormat="1" ht="23.25" x14ac:dyDescent="0.25">
      <c r="A1" s="294" t="s">
        <v>635</v>
      </c>
      <c r="B1" s="295"/>
      <c r="C1" s="296"/>
      <c r="D1" s="93"/>
      <c r="E1" s="93"/>
      <c r="F1" s="294"/>
      <c r="G1" s="294"/>
      <c r="H1" s="294"/>
      <c r="I1" s="294"/>
      <c r="J1" s="286"/>
      <c r="K1" s="38"/>
      <c r="L1" s="38"/>
      <c r="M1" s="93"/>
      <c r="N1" s="51"/>
      <c r="O1" s="51"/>
      <c r="Q1" s="635" t="s">
        <v>801</v>
      </c>
      <c r="R1" s="635"/>
      <c r="S1" s="635"/>
      <c r="T1" s="635"/>
      <c r="U1" s="635" t="s">
        <v>802</v>
      </c>
      <c r="V1" s="635"/>
      <c r="W1" s="635"/>
      <c r="X1" s="635"/>
      <c r="Y1" s="635" t="s">
        <v>803</v>
      </c>
      <c r="Z1" s="635"/>
      <c r="AA1" s="635"/>
      <c r="AB1" s="635"/>
      <c r="AC1" s="635" t="s">
        <v>804</v>
      </c>
      <c r="AD1" s="635"/>
      <c r="AE1" s="635"/>
      <c r="AF1" s="635"/>
      <c r="AG1" s="635" t="s">
        <v>805</v>
      </c>
      <c r="AH1" s="635"/>
      <c r="AI1" s="635"/>
      <c r="AJ1" s="635"/>
      <c r="AK1" s="635" t="s">
        <v>232</v>
      </c>
      <c r="AL1" s="635"/>
      <c r="AM1" s="635"/>
      <c r="AN1" s="635"/>
      <c r="AO1" s="635" t="s">
        <v>242</v>
      </c>
      <c r="AP1" s="635"/>
      <c r="AQ1" s="635"/>
      <c r="AR1" s="635"/>
      <c r="AS1" s="635" t="s">
        <v>251</v>
      </c>
      <c r="AT1" s="635"/>
      <c r="AU1" s="635"/>
      <c r="AV1" s="635"/>
    </row>
    <row r="2" spans="1:48" s="28" customFormat="1" x14ac:dyDescent="0.25">
      <c r="A2" s="38"/>
      <c r="B2" s="295"/>
      <c r="C2" s="295"/>
      <c r="D2" s="93"/>
      <c r="E2" s="93"/>
      <c r="F2" s="38"/>
      <c r="G2" s="38"/>
      <c r="H2" s="38"/>
      <c r="I2" s="38"/>
      <c r="J2" s="286"/>
      <c r="K2" s="38"/>
      <c r="L2" s="38"/>
      <c r="M2" s="93"/>
      <c r="N2" s="93"/>
      <c r="O2" s="93"/>
      <c r="Q2" s="636" t="s">
        <v>801</v>
      </c>
      <c r="R2" s="636"/>
      <c r="S2" s="636"/>
      <c r="T2" s="636"/>
      <c r="U2" s="636" t="s">
        <v>806</v>
      </c>
      <c r="V2" s="636"/>
      <c r="W2" s="636"/>
      <c r="X2" s="636"/>
      <c r="Y2" s="636" t="s">
        <v>803</v>
      </c>
      <c r="Z2" s="636"/>
      <c r="AA2" s="636"/>
      <c r="AB2" s="636"/>
      <c r="AC2" s="636" t="s">
        <v>807</v>
      </c>
      <c r="AD2" s="636"/>
      <c r="AE2" s="636"/>
      <c r="AF2" s="636"/>
      <c r="AG2" s="636" t="s">
        <v>808</v>
      </c>
      <c r="AH2" s="636"/>
      <c r="AI2" s="636"/>
      <c r="AJ2" s="636"/>
      <c r="AK2" s="636" t="s">
        <v>231</v>
      </c>
      <c r="AL2" s="636"/>
      <c r="AM2" s="636"/>
      <c r="AN2" s="636"/>
      <c r="AO2" s="636" t="s">
        <v>241</v>
      </c>
      <c r="AP2" s="636"/>
      <c r="AQ2" s="636"/>
      <c r="AR2" s="636"/>
      <c r="AS2" s="636" t="s">
        <v>809</v>
      </c>
      <c r="AT2" s="636"/>
      <c r="AU2" s="636"/>
      <c r="AV2" s="636"/>
    </row>
    <row r="3" spans="1:48" s="38" customFormat="1" x14ac:dyDescent="0.25">
      <c r="A3" s="297"/>
      <c r="B3" s="298"/>
      <c r="C3" s="298"/>
      <c r="D3" s="299"/>
      <c r="E3" s="299"/>
      <c r="F3" s="300">
        <v>2020</v>
      </c>
      <c r="G3" s="300">
        <v>46210</v>
      </c>
      <c r="H3" s="300">
        <v>2022</v>
      </c>
      <c r="I3" s="300"/>
      <c r="M3" s="93"/>
      <c r="N3" s="93"/>
      <c r="O3" s="93"/>
      <c r="P3" s="28"/>
      <c r="Q3" s="29">
        <v>2018</v>
      </c>
      <c r="R3" s="29">
        <v>2019</v>
      </c>
      <c r="S3" s="29">
        <v>2020</v>
      </c>
      <c r="T3" s="29">
        <v>2021</v>
      </c>
      <c r="U3" s="29">
        <v>2018</v>
      </c>
      <c r="V3" s="29">
        <v>2019</v>
      </c>
      <c r="W3" s="29">
        <v>2020</v>
      </c>
      <c r="X3" s="29">
        <v>2021</v>
      </c>
      <c r="Y3" s="29">
        <v>2018</v>
      </c>
      <c r="Z3" s="29">
        <v>2019</v>
      </c>
      <c r="AA3" s="29">
        <v>2020</v>
      </c>
      <c r="AB3" s="29">
        <v>2021</v>
      </c>
      <c r="AC3" s="29">
        <v>2018</v>
      </c>
      <c r="AD3" s="29">
        <v>2019</v>
      </c>
      <c r="AE3" s="29">
        <v>2020</v>
      </c>
      <c r="AF3" s="29">
        <v>2021</v>
      </c>
      <c r="AG3" s="29">
        <v>2018</v>
      </c>
      <c r="AH3" s="29">
        <v>2019</v>
      </c>
      <c r="AI3" s="29">
        <v>2020</v>
      </c>
      <c r="AJ3" s="29">
        <v>2021</v>
      </c>
      <c r="AK3" s="29">
        <v>2018</v>
      </c>
      <c r="AL3" s="29">
        <v>2019</v>
      </c>
      <c r="AM3" s="29">
        <v>2020</v>
      </c>
      <c r="AN3" s="29">
        <v>2021</v>
      </c>
      <c r="AO3" s="29">
        <v>2018</v>
      </c>
      <c r="AP3" s="29">
        <v>2019</v>
      </c>
      <c r="AQ3" s="29">
        <v>2020</v>
      </c>
      <c r="AR3" s="29">
        <v>2021</v>
      </c>
      <c r="AS3" s="29">
        <v>2018</v>
      </c>
      <c r="AT3" s="29">
        <v>2019</v>
      </c>
      <c r="AU3" s="29">
        <v>2020</v>
      </c>
      <c r="AV3" s="29">
        <v>2021</v>
      </c>
    </row>
    <row r="4" spans="1:48" s="38" customFormat="1" x14ac:dyDescent="0.25">
      <c r="A4" s="301" t="s">
        <v>636</v>
      </c>
      <c r="B4" s="302"/>
      <c r="C4" s="303"/>
      <c r="D4" s="304"/>
      <c r="E4" s="304"/>
      <c r="F4" s="305">
        <v>4546363</v>
      </c>
      <c r="G4" s="305">
        <v>4546363</v>
      </c>
      <c r="H4" s="305">
        <v>4546363</v>
      </c>
      <c r="I4" s="305">
        <v>4546363</v>
      </c>
      <c r="J4" s="1"/>
      <c r="M4" s="306">
        <v>29670</v>
      </c>
      <c r="N4" s="93">
        <v>13290</v>
      </c>
      <c r="O4" s="93"/>
      <c r="P4" s="29" t="s">
        <v>810</v>
      </c>
      <c r="Q4" s="12" t="e">
        <f>SUMIFS(#REF!,$O:$O,$P$4,$A:$A,$Q$1)</f>
        <v>#REF!</v>
      </c>
      <c r="R4" s="12" t="e">
        <f>SUMIFS(#REF!,$O:$O,$P$4,$A:$A,$Q$1)</f>
        <v>#REF!</v>
      </c>
      <c r="S4" s="12">
        <f>SUMIFS(F:F,$O:$O,$P$4,$A:$A,$Q$1)</f>
        <v>0</v>
      </c>
      <c r="T4" s="12">
        <f>SUMIFS(G:G,$O:$O,$P$4,$A:$A,$Q$1)</f>
        <v>0</v>
      </c>
      <c r="U4" s="12" t="e">
        <f>SUMIFS(#REF!,$O:$O,$P$4,$A:$A,$U$1)</f>
        <v>#REF!</v>
      </c>
      <c r="V4" s="12" t="e">
        <f>SUMIFS(#REF!,$O:$O,$P$4,$A:$A,$U$1)</f>
        <v>#REF!</v>
      </c>
      <c r="W4" s="12">
        <f>SUMIFS(F:F,$O:$O,$P$4,$A:$A,$U$1)</f>
        <v>0</v>
      </c>
      <c r="X4" s="12">
        <f>SUMIFS(G:G,$O:$O,$P$4,$A:$A,$U$1)</f>
        <v>0</v>
      </c>
      <c r="Y4" s="12" t="e">
        <f>SUMIFS(#REF!,$O:$O,$P$4,$A:$A,$Y$1)</f>
        <v>#REF!</v>
      </c>
      <c r="Z4" s="12" t="e">
        <f>SUMIFS(#REF!,$O:$O,$P$4,$A:$A,$Y$1)</f>
        <v>#REF!</v>
      </c>
      <c r="AA4" s="12">
        <f>SUMIFS(F:F,$O:$O,$P$4,$A:$A,$Y$1)</f>
        <v>0</v>
      </c>
      <c r="AB4" s="12">
        <f>SUMIFS(G:G,$O:$O,$P$4,$A:$A,$Y$1)</f>
        <v>0</v>
      </c>
      <c r="AC4" s="12" t="e">
        <f>SUMIFS(#REF!,$O:$O,$P$4,$A:$A,$AC$1)</f>
        <v>#REF!</v>
      </c>
      <c r="AD4" s="12" t="e">
        <f>SUMIFS(#REF!,$O:$O,$P$4,$A:$A,$AC$1)</f>
        <v>#REF!</v>
      </c>
      <c r="AE4" s="12">
        <f>SUMIFS(F:F,$O:$O,$P$4,$A:$A,$AC$1)</f>
        <v>0</v>
      </c>
      <c r="AF4" s="12">
        <f>SUMIFS(G:G,$O:$O,$P$4,$A:$A,$AC$1)</f>
        <v>0</v>
      </c>
      <c r="AG4" s="12" t="e">
        <f>SUMIFS(#REF!,$O:$O,$P$4,$A:$A,$AG$1)</f>
        <v>#REF!</v>
      </c>
      <c r="AH4" s="12" t="e">
        <f>SUMIFS(#REF!,$O:$O,$P$4,$A:$A,$AG$1)</f>
        <v>#REF!</v>
      </c>
      <c r="AI4" s="12">
        <f>SUMIFS(F:F,$O:$O,$P$4,$A:$A,$AG$1)</f>
        <v>0</v>
      </c>
      <c r="AJ4" s="12">
        <f>SUMIFS(G:G,$O:$O,$P$4,$A:$A,$AG$1)</f>
        <v>0</v>
      </c>
      <c r="AK4" s="12" t="e">
        <f>SUMIFS(#REF!,$O:$O,$P$4,$A:$A,$AK$1)</f>
        <v>#REF!</v>
      </c>
      <c r="AL4" s="12" t="e">
        <f>SUMIFS(#REF!,$O:$O,$P$4,$A:$A,$AK$1)</f>
        <v>#REF!</v>
      </c>
      <c r="AM4" s="12">
        <f>SUMIFS(F:F,$O:$O,$P$4,$A:$A,$AK$1)</f>
        <v>0</v>
      </c>
      <c r="AN4" s="12">
        <f>SUMIFS(G:G,$O:$O,$P$4,$A:$A,$AK$1)</f>
        <v>0</v>
      </c>
      <c r="AO4" s="12" t="e">
        <f>SUMIFS(#REF!,$O:$O,$P$4,$A:$A,$AO$1)</f>
        <v>#REF!</v>
      </c>
      <c r="AP4" s="12" t="e">
        <f>SUMIFS(#REF!,$O:$O,$P$4,$A:$A,$AO$1)</f>
        <v>#REF!</v>
      </c>
      <c r="AQ4" s="12">
        <f>SUMIFS(F:F,$O:$O,$P$4,$A:$A,$AO$1)</f>
        <v>0</v>
      </c>
      <c r="AR4" s="12">
        <f>SUMIFS(G:G,$O:$O,$P$4,$A:$A,$AO$1)</f>
        <v>0</v>
      </c>
      <c r="AS4" s="12" t="e">
        <f>SUMIFS(#REF!,$O:$O,$P$4,$A:$A,$AS$1)</f>
        <v>#REF!</v>
      </c>
      <c r="AT4" s="12" t="e">
        <f>SUMIFS(#REF!,$O:$O,$P$4,$A:$A,$AS$1)</f>
        <v>#REF!</v>
      </c>
      <c r="AU4" s="12">
        <f>SUMIFS(F:F,$O:$O,$P$4,$A:$A,$AS$1)</f>
        <v>0</v>
      </c>
      <c r="AV4" s="12">
        <f>SUMIFS(G:G,$O:$O,$P$4,$A:$A,$AS$1)</f>
        <v>0</v>
      </c>
    </row>
    <row r="5" spans="1:48" s="38" customFormat="1" x14ac:dyDescent="0.25">
      <c r="A5" s="38" t="str">
        <f>C62</f>
        <v>SUM SENTRALE INNTEKTER OG FINANSPOSTER</v>
      </c>
      <c r="B5" s="295"/>
      <c r="C5" s="123"/>
      <c r="D5" s="93"/>
      <c r="E5" s="93"/>
      <c r="F5" s="2">
        <f>F62</f>
        <v>-4642102</v>
      </c>
      <c r="G5" s="2">
        <f>G62</f>
        <v>-4698594</v>
      </c>
      <c r="H5" s="2">
        <f>H62</f>
        <v>-4721850</v>
      </c>
      <c r="I5" s="2">
        <f>I62</f>
        <v>-4771950</v>
      </c>
      <c r="M5" s="93">
        <v>9340</v>
      </c>
      <c r="N5" s="93">
        <v>6220</v>
      </c>
      <c r="O5" s="93"/>
      <c r="P5" s="1" t="s">
        <v>811</v>
      </c>
      <c r="Q5" s="12" t="e">
        <f>SUMIFS(#REF!,$M:$M,"VEDTATT",$A:$A,$Q$1)</f>
        <v>#REF!</v>
      </c>
      <c r="R5" s="12" t="e">
        <f>SUMIFS(#REF!,$M:$M,"VEDTATT",$A:$A,$Q$1)</f>
        <v>#REF!</v>
      </c>
      <c r="S5" s="12">
        <f>SUMIFS(F:F,$M:$M,"VEDTATT",$A:$A,$Q$1)</f>
        <v>0</v>
      </c>
      <c r="T5" s="12">
        <f>SUMIFS(G:G,$M:$M,"VEDTATT",$A:$A,$Q$1)</f>
        <v>0</v>
      </c>
      <c r="U5" s="12" t="e">
        <f>SUMIFS(#REF!,$M:$M,"VEDTATT",$A:$A,$U$1)</f>
        <v>#REF!</v>
      </c>
      <c r="V5" s="12" t="e">
        <f>SUMIFS(#REF!,$M:$M,"VEDTATT",$A:$A,$U$1)</f>
        <v>#REF!</v>
      </c>
      <c r="W5" s="12">
        <f>SUMIFS(F:F,$M:$M,"VEDTATT",$A:$A,$U$1)</f>
        <v>0</v>
      </c>
      <c r="X5" s="12">
        <f>SUMIFS(G:G,$M:$M,"VEDTATT",$A:$A,$U$1)</f>
        <v>0</v>
      </c>
      <c r="Y5" s="12" t="e">
        <f>SUMIFS(#REF!,$M:$M,"VEDTATT",$A:$A,$Y$1)</f>
        <v>#REF!</v>
      </c>
      <c r="Z5" s="12" t="e">
        <f>SUMIFS(#REF!,$M:$M,"VEDTATT",$A:$A,$Y$1)</f>
        <v>#REF!</v>
      </c>
      <c r="AA5" s="12">
        <f>SUMIFS(F:F,$M:$M,"VEDTATT",$A:$A,$Y$1)</f>
        <v>0</v>
      </c>
      <c r="AB5" s="12">
        <f>SUMIFS(G:G,$M:$M,"VEDTATT",$A:$A,$Y$1)</f>
        <v>0</v>
      </c>
      <c r="AC5" s="12" t="e">
        <f>SUMIFS(#REF!,$M:$M,"VEDTATT",$A:$A,$AC$1)</f>
        <v>#REF!</v>
      </c>
      <c r="AD5" s="12" t="e">
        <f>SUMIFS(#REF!,$M:$M,"VEDTATT",$A:$A,$AC$1)</f>
        <v>#REF!</v>
      </c>
      <c r="AE5" s="12">
        <f>SUMIFS(F:F,$M:$M,"VEDTATT",$A:$A,$AC$1)</f>
        <v>0</v>
      </c>
      <c r="AF5" s="12">
        <f>SUMIFS(G:G,$M:$M,"VEDTATT",$A:$A,$AC$1)</f>
        <v>0</v>
      </c>
      <c r="AG5" s="12" t="e">
        <f>SUMIFS(#REF!,$M:$M,"VEDTATT",$A:$A,$AG$1)</f>
        <v>#REF!</v>
      </c>
      <c r="AH5" s="12" t="e">
        <f>SUMIFS(#REF!,$M:$M,"VEDTATT",$A:$A,$AG$1)</f>
        <v>#REF!</v>
      </c>
      <c r="AI5" s="12">
        <f>SUMIFS(F:F,$M:$M,"VEDTATT",$A:$A,$AG$1)</f>
        <v>0</v>
      </c>
      <c r="AJ5" s="12">
        <f>SUMIFS(G:G,$M:$M,"VEDTATT",$A:$A,$AG$1)</f>
        <v>0</v>
      </c>
      <c r="AK5" s="12" t="e">
        <f>SUMIFS(#REF!,$M:$M,"VEDTATT",$A:$A,$AK$1)</f>
        <v>#REF!</v>
      </c>
      <c r="AL5" s="12" t="e">
        <f>SUMIFS(#REF!,$M:$M,"VEDTATT",$A:$A,$AK$1)</f>
        <v>#REF!</v>
      </c>
      <c r="AM5" s="12">
        <f>SUMIFS(F:F,$M:$M,"VEDTATT",$A:$A,$AK$1)</f>
        <v>0</v>
      </c>
      <c r="AN5" s="12">
        <f>SUMIFS(G:G,$M:$M,"VEDTATT",$A:$A,$AK$1)</f>
        <v>-800</v>
      </c>
      <c r="AO5" s="12" t="e">
        <f>SUMIFS(#REF!,$M:$M,"VEDTATT",$A:$A,$AO$1)</f>
        <v>#REF!</v>
      </c>
      <c r="AP5" s="12" t="e">
        <f>SUMIFS(#REF!,$M:$M,"VEDTATT",$A:$A,$AO$1)</f>
        <v>#REF!</v>
      </c>
      <c r="AQ5" s="12">
        <f>SUMIFS(F:F,$M:$M,"VEDTATT",$A:$A,$AO$1)</f>
        <v>0</v>
      </c>
      <c r="AR5" s="12">
        <f>SUMIFS(G:G,$M:$M,"VEDTATT",$A:$A,$AO$1)</f>
        <v>0</v>
      </c>
      <c r="AS5" s="12" t="e">
        <f>SUMIFS(#REF!,$M:$M,"VEDTATT",$A:$A,$AS$1)</f>
        <v>#REF!</v>
      </c>
      <c r="AT5" s="12" t="e">
        <f>SUMIFS(#REF!,$M:$M,"VEDTATT",$A:$A,$AS$1)</f>
        <v>#REF!</v>
      </c>
      <c r="AU5" s="12">
        <f>SUMIFS(F:F,$M:$M,"VEDTATT",$A:$A,$AS$1)</f>
        <v>-30224</v>
      </c>
      <c r="AV5" s="12">
        <f>SUMIFS(G:G,$M:$M,"VEDTATT",$A:$A,$AS$1)</f>
        <v>-31269</v>
      </c>
    </row>
    <row r="6" spans="1:48" s="38" customFormat="1" x14ac:dyDescent="0.25">
      <c r="A6" s="307" t="s">
        <v>2</v>
      </c>
      <c r="B6" s="308"/>
      <c r="C6" s="309"/>
      <c r="D6" s="310"/>
      <c r="E6" s="310"/>
      <c r="F6" s="311">
        <f>SUM(F4:F5)</f>
        <v>-95739</v>
      </c>
      <c r="G6" s="311">
        <f>SUM(G4:G5)</f>
        <v>-152231</v>
      </c>
      <c r="H6" s="311">
        <f>SUM(H4:H5)</f>
        <v>-175487</v>
      </c>
      <c r="I6" s="311">
        <f>SUM(I4:I5)</f>
        <v>-225587</v>
      </c>
      <c r="M6" s="93"/>
      <c r="N6" s="93"/>
      <c r="O6" s="93"/>
      <c r="P6" s="29" t="s">
        <v>812</v>
      </c>
      <c r="Q6" s="12" t="e">
        <f>SUMIFS(#REF!,$N:$N,$P$6,$A:$A,$Q$1)</f>
        <v>#REF!</v>
      </c>
      <c r="R6" s="12" t="e">
        <f>SUMIFS(#REF!,$N:$N,$P$6,$A:$A,$Q$1)</f>
        <v>#REF!</v>
      </c>
      <c r="S6" s="12">
        <f>SUMIFS(F:F,$N:$N,$P$6,$A:$A,$Q$1)</f>
        <v>0</v>
      </c>
      <c r="T6" s="12">
        <f>SUMIFS(G:G,$N:$N,$P$6,$A:$A,$Q$1)</f>
        <v>0</v>
      </c>
      <c r="U6" s="12" t="e">
        <f>SUMIFS(#REF!,$N:$N,$P$6,$A:$A,$U$1)</f>
        <v>#REF!</v>
      </c>
      <c r="V6" s="12" t="e">
        <f>SUMIFS(#REF!,$N:$N,$P$6,$A:$A,$U$1)</f>
        <v>#REF!</v>
      </c>
      <c r="W6" s="12">
        <f>SUMIFS(F:F,$N:$N,$P$6,$A:$A,$U$1)</f>
        <v>0</v>
      </c>
      <c r="X6" s="12">
        <f>SUMIFS(G:G,$N:$N,$P$6,$A:$A,$U$1)</f>
        <v>0</v>
      </c>
      <c r="Y6" s="12" t="e">
        <f>SUMIFS(#REF!,$N:$N,$P$6,$A:$A,$Y$1)</f>
        <v>#REF!</v>
      </c>
      <c r="Z6" s="12" t="e">
        <f>SUMIFS(#REF!,$N:$N,$P$6,$A:$A,$Y$1)</f>
        <v>#REF!</v>
      </c>
      <c r="AA6" s="12">
        <f>SUMIFS(F:F,$N:$N,$P$6,$A:$A,$Y$1)</f>
        <v>0</v>
      </c>
      <c r="AB6" s="12">
        <f>SUMIFS(G:G,$N:$N,$P$6,$A:$A,$Y$1)</f>
        <v>0</v>
      </c>
      <c r="AC6" s="12" t="e">
        <f>SUMIFS(#REF!,$N:$N,$P$6,$A:$A,$AC$1)</f>
        <v>#REF!</v>
      </c>
      <c r="AD6" s="12" t="e">
        <f>SUMIFS(#REF!,$N:$N,$P$6,$A:$A,$AC$1)</f>
        <v>#REF!</v>
      </c>
      <c r="AE6" s="12">
        <f>SUMIFS(F:F,$N:$N,$P$6,$A:$A,$AC$1)</f>
        <v>0</v>
      </c>
      <c r="AF6" s="12">
        <f>SUMIFS(G:G,$N:$N,$P$6,$A:$A,$AC$1)</f>
        <v>0</v>
      </c>
      <c r="AG6" s="12" t="e">
        <f>SUMIFS(#REF!,$N:$N,$P$6,$A:$A,$AG$1)</f>
        <v>#REF!</v>
      </c>
      <c r="AH6" s="12" t="e">
        <f>SUMIFS(#REF!,$N:$N,$P$6,$A:$A,$AG$1)</f>
        <v>#REF!</v>
      </c>
      <c r="AI6" s="12">
        <f>SUMIFS(F:F,$N:$N,$P$6,$A:$A,$AG$1)</f>
        <v>0</v>
      </c>
      <c r="AJ6" s="12">
        <f>SUMIFS(G:G,$N:$N,$P$6,$A:$A,$AG$1)</f>
        <v>0</v>
      </c>
      <c r="AK6" s="12" t="e">
        <f>SUMIFS(#REF!,$N:$N,$P$6,$A:$A,$AK$1)</f>
        <v>#REF!</v>
      </c>
      <c r="AL6" s="12" t="e">
        <f>SUMIFS(#REF!,$N:$N,$P$6,$A:$A,$AK$1)</f>
        <v>#REF!</v>
      </c>
      <c r="AM6" s="12">
        <f>SUMIFS(F:F,$N:$N,$P$6,$A:$A,$AK$1)</f>
        <v>0</v>
      </c>
      <c r="AN6" s="12">
        <f>SUMIFS(G:G,$N:$N,$P$6,$A:$A,$AK$1)</f>
        <v>0</v>
      </c>
      <c r="AO6" s="12" t="e">
        <f>SUMIFS(#REF!,$N:$N,$P$6,$A:$A,$AO$1)</f>
        <v>#REF!</v>
      </c>
      <c r="AP6" s="12" t="e">
        <f>SUMIFS(#REF!,$N:$N,$P$6,$A:$A,$AO$1)</f>
        <v>#REF!</v>
      </c>
      <c r="AQ6" s="12">
        <f>SUMIFS(F:F,$N:$N,$P$6,$A:$A,$AO$1)</f>
        <v>-50</v>
      </c>
      <c r="AR6" s="12">
        <f>SUMIFS(G:G,$N:$N,$P$6,$A:$A,$AO$1)</f>
        <v>-50</v>
      </c>
      <c r="AS6" s="12" t="e">
        <f>SUMIFS(#REF!,$N:$N,$P$6,$A:$A,$AS$1)</f>
        <v>#REF!</v>
      </c>
      <c r="AT6" s="12" t="e">
        <f>SUMIFS(#REF!,$N:$N,$P$6,$A:$A,$AS$1)</f>
        <v>#REF!</v>
      </c>
      <c r="AU6" s="12">
        <f>SUMIFS(F:F,$N:$N,$P$6,$A:$A,$AS$1)</f>
        <v>95531</v>
      </c>
      <c r="AV6" s="12">
        <f>SUMIFS(G:G,$N:$N,$P$6,$A:$A,$AS$1)</f>
        <v>97711</v>
      </c>
    </row>
    <row r="7" spans="1:48" s="38" customFormat="1" x14ac:dyDescent="0.25">
      <c r="A7" s="312"/>
      <c r="B7" s="302"/>
      <c r="C7" s="302"/>
      <c r="D7" s="304"/>
      <c r="E7" s="304"/>
      <c r="F7" s="313"/>
      <c r="G7" s="313"/>
      <c r="H7" s="313"/>
      <c r="I7" s="313"/>
      <c r="M7" s="93"/>
      <c r="N7" s="93"/>
      <c r="O7" s="93"/>
      <c r="P7" s="29" t="s">
        <v>813</v>
      </c>
      <c r="Q7" s="12" t="e">
        <f>SUMIFS(#REF!,$O:$O,$P$7,$A:$A,$Q$1)</f>
        <v>#REF!</v>
      </c>
      <c r="R7" s="12" t="e">
        <f>SUMIFS(#REF!,$O:$O,$P$7,$A:$A,$Q$1)</f>
        <v>#REF!</v>
      </c>
      <c r="S7" s="12">
        <f>SUMIFS(F:F,$O:$O,$P$7,$A:$A,$Q$1)</f>
        <v>0</v>
      </c>
      <c r="T7" s="12">
        <f>SUMIFS(G:G,$O:$O,$P$7,$A:$A,$Q$1)</f>
        <v>0</v>
      </c>
      <c r="U7" s="12" t="e">
        <f>SUMIFS(#REF!,$O:$O,$P$7,$A:$A,$U$1)</f>
        <v>#REF!</v>
      </c>
      <c r="V7" s="12" t="e">
        <f>SUMIFS(#REF!,$O:$O,$P$7,$A:$A,$U$1)</f>
        <v>#REF!</v>
      </c>
      <c r="W7" s="12">
        <f>SUMIFS(F:F,$O:$O,$P$7,$A:$A,$U$1)</f>
        <v>0</v>
      </c>
      <c r="X7" s="12">
        <f>SUMIFS(G:G,$O:$O,$P$7,$A:$A,$U$1)</f>
        <v>0</v>
      </c>
      <c r="Y7" s="12" t="e">
        <f>SUMIFS(#REF!,$O:$O,$P$7,$A:$A,$Y$1)</f>
        <v>#REF!</v>
      </c>
      <c r="Z7" s="12" t="e">
        <f>SUMIFS(#REF!,$O:$O,$P$7,$A:$A,$Y$1)</f>
        <v>#REF!</v>
      </c>
      <c r="AA7" s="12">
        <f>SUMIFS(F:F,$O:$O,$P$7,$A:$A,$Y$1)</f>
        <v>0</v>
      </c>
      <c r="AB7" s="12">
        <f>SUMIFS(G:G,$O:$O,$P$7,$A:$A,$Y$1)</f>
        <v>0</v>
      </c>
      <c r="AC7" s="12" t="e">
        <f>SUMIFS(#REF!,$O:$O,$P$7,$A:$A,$AC$1)</f>
        <v>#REF!</v>
      </c>
      <c r="AD7" s="12" t="e">
        <f>SUMIFS(#REF!,$O:$O,$P$7,$A:$A,$AC$1)</f>
        <v>#REF!</v>
      </c>
      <c r="AE7" s="12">
        <f>SUMIFS(F:F,$O:$O,$P$7,$A:$A,$AC$1)</f>
        <v>0</v>
      </c>
      <c r="AF7" s="12">
        <f>SUMIFS(G:G,$O:$O,$P$7,$A:$A,$AC$1)</f>
        <v>0</v>
      </c>
      <c r="AG7" s="12" t="e">
        <f>SUMIFS(#REF!,$O:$O,$P$7,$A:$A,$AG$1)</f>
        <v>#REF!</v>
      </c>
      <c r="AH7" s="12" t="e">
        <f>SUMIFS(#REF!,$O:$O,$P$7,$A:$A,$AG$1)</f>
        <v>#REF!</v>
      </c>
      <c r="AI7" s="12">
        <f>SUMIFS(F:F,$O:$O,$P$7,$A:$A,$AG$1)</f>
        <v>0</v>
      </c>
      <c r="AJ7" s="12">
        <f>SUMIFS(G:G,$O:$O,$P$7,$A:$A,$AG$1)</f>
        <v>0</v>
      </c>
      <c r="AK7" s="12" t="e">
        <f>SUMIFS(#REF!,$O:$O,$P$7,$A:$A,$AK$1)</f>
        <v>#REF!</v>
      </c>
      <c r="AL7" s="12" t="e">
        <f>SUMIFS(#REF!,$O:$O,$P$7,$A:$A,$AK$1)</f>
        <v>#REF!</v>
      </c>
      <c r="AM7" s="12">
        <f>SUMIFS(F:F,$O:$O,$P$7,$A:$A,$AK$1)</f>
        <v>0</v>
      </c>
      <c r="AN7" s="12">
        <f>SUMIFS(G:G,$O:$O,$P$7,$A:$A,$AK$1)</f>
        <v>0</v>
      </c>
      <c r="AO7" s="12" t="e">
        <f>SUMIFS(#REF!,$O:$O,$P$7,$A:$A,$AO$1)</f>
        <v>#REF!</v>
      </c>
      <c r="AP7" s="12" t="e">
        <f>SUMIFS(#REF!,$O:$O,$P$7,$A:$A,$AO$1)</f>
        <v>#REF!</v>
      </c>
      <c r="AQ7" s="12">
        <f>SUMIFS(F:F,$O:$O,$P$7,$A:$A,$AO$1)</f>
        <v>0</v>
      </c>
      <c r="AR7" s="12">
        <f>SUMIFS(G:G,$O:$O,$P$7,$A:$A,$AO$1)</f>
        <v>0</v>
      </c>
      <c r="AS7" s="12" t="e">
        <f>SUMIFS(#REF!,$O:$O,$P$7,$A:$A,$AS$1)</f>
        <v>#REF!</v>
      </c>
      <c r="AT7" s="12" t="e">
        <f>SUMIFS(#REF!,$O:$O,$P$7,$A:$A,$AS$1)</f>
        <v>#REF!</v>
      </c>
      <c r="AU7" s="12">
        <f>SUMIFS(F:F,$O:$O,$P$7,$A:$A,$AS$1)</f>
        <v>0</v>
      </c>
      <c r="AV7" s="12">
        <f>SUMIFS(G:G,$O:$O,$P$7,$A:$A,$AS$1)</f>
        <v>0</v>
      </c>
    </row>
    <row r="8" spans="1:48" s="38" customFormat="1" x14ac:dyDescent="0.25">
      <c r="A8" s="314" t="s">
        <v>637</v>
      </c>
      <c r="B8" s="207"/>
      <c r="C8" s="207"/>
      <c r="D8" s="315"/>
      <c r="E8" s="315"/>
      <c r="F8" s="39">
        <f>SUMIF($D:$D,"ØP 21-24",F:F)</f>
        <v>-15291</v>
      </c>
      <c r="G8" s="39">
        <f>SUMIF($D:$D,"ØP 21-24",G:G)</f>
        <v>-5786</v>
      </c>
      <c r="H8" s="39">
        <f>SUMIF($D:$D,"ØP 21-24",H:H)</f>
        <v>6091.5833333333321</v>
      </c>
      <c r="I8" s="39">
        <f>SUMIF($D:$D,"ØP 21-24",I:I)</f>
        <v>30460</v>
      </c>
      <c r="M8" s="93"/>
      <c r="N8" s="51"/>
      <c r="O8" s="51"/>
      <c r="P8" s="28" t="s">
        <v>305</v>
      </c>
      <c r="Q8" s="233" t="e">
        <f t="shared" ref="Q8:AV8" si="0">SUBTOTAL(9,Q4:Q7)</f>
        <v>#REF!</v>
      </c>
      <c r="R8" s="233" t="e">
        <f t="shared" si="0"/>
        <v>#REF!</v>
      </c>
      <c r="S8" s="233">
        <f t="shared" si="0"/>
        <v>0</v>
      </c>
      <c r="T8" s="233">
        <f t="shared" si="0"/>
        <v>0</v>
      </c>
      <c r="U8" s="233" t="e">
        <f t="shared" si="0"/>
        <v>#REF!</v>
      </c>
      <c r="V8" s="233" t="e">
        <f t="shared" si="0"/>
        <v>#REF!</v>
      </c>
      <c r="W8" s="233">
        <f t="shared" si="0"/>
        <v>0</v>
      </c>
      <c r="X8" s="233">
        <f t="shared" si="0"/>
        <v>0</v>
      </c>
      <c r="Y8" s="233" t="e">
        <f t="shared" si="0"/>
        <v>#REF!</v>
      </c>
      <c r="Z8" s="233" t="e">
        <f t="shared" si="0"/>
        <v>#REF!</v>
      </c>
      <c r="AA8" s="233">
        <f t="shared" si="0"/>
        <v>0</v>
      </c>
      <c r="AB8" s="233">
        <f t="shared" si="0"/>
        <v>0</v>
      </c>
      <c r="AC8" s="233" t="e">
        <f t="shared" si="0"/>
        <v>#REF!</v>
      </c>
      <c r="AD8" s="233" t="e">
        <f t="shared" si="0"/>
        <v>#REF!</v>
      </c>
      <c r="AE8" s="233">
        <f t="shared" si="0"/>
        <v>0</v>
      </c>
      <c r="AF8" s="233">
        <f t="shared" si="0"/>
        <v>0</v>
      </c>
      <c r="AG8" s="233" t="e">
        <f t="shared" si="0"/>
        <v>#REF!</v>
      </c>
      <c r="AH8" s="233" t="e">
        <f t="shared" si="0"/>
        <v>#REF!</v>
      </c>
      <c r="AI8" s="233">
        <f t="shared" si="0"/>
        <v>0</v>
      </c>
      <c r="AJ8" s="233">
        <f t="shared" si="0"/>
        <v>0</v>
      </c>
      <c r="AK8" s="233" t="e">
        <f t="shared" si="0"/>
        <v>#REF!</v>
      </c>
      <c r="AL8" s="233" t="e">
        <f t="shared" si="0"/>
        <v>#REF!</v>
      </c>
      <c r="AM8" s="233">
        <f t="shared" si="0"/>
        <v>0</v>
      </c>
      <c r="AN8" s="233">
        <f t="shared" si="0"/>
        <v>-800</v>
      </c>
      <c r="AO8" s="233" t="e">
        <f t="shared" si="0"/>
        <v>#REF!</v>
      </c>
      <c r="AP8" s="233" t="e">
        <f t="shared" si="0"/>
        <v>#REF!</v>
      </c>
      <c r="AQ8" s="233">
        <f t="shared" si="0"/>
        <v>-50</v>
      </c>
      <c r="AR8" s="233">
        <f t="shared" si="0"/>
        <v>-50</v>
      </c>
      <c r="AS8" s="233" t="e">
        <f t="shared" si="0"/>
        <v>#REF!</v>
      </c>
      <c r="AT8" s="233" t="e">
        <f t="shared" si="0"/>
        <v>#REF!</v>
      </c>
      <c r="AU8" s="233">
        <f t="shared" si="0"/>
        <v>65307</v>
      </c>
      <c r="AV8" s="233">
        <f t="shared" si="0"/>
        <v>66442</v>
      </c>
    </row>
    <row r="9" spans="1:48" s="38" customFormat="1" x14ac:dyDescent="0.25">
      <c r="A9" s="316" t="s">
        <v>4</v>
      </c>
      <c r="B9" s="317"/>
      <c r="C9" s="317"/>
      <c r="D9" s="318"/>
      <c r="E9" s="318"/>
      <c r="F9" s="267">
        <f>SUMIF($D:$D,"ØP 21-24 REKALK",F:F)</f>
        <v>36496</v>
      </c>
      <c r="G9" s="267">
        <f>SUMIF($D:$D,"ØP 21-24 REKALK",G:G)</f>
        <v>51274</v>
      </c>
      <c r="H9" s="267">
        <f>SUMIF($D:$D,"ØP 21-24 REKALK",H:H)</f>
        <v>62419</v>
      </c>
      <c r="I9" s="267">
        <f>SUMIF($D:$D,"ØP 21-24 REKALK",I:I)</f>
        <v>62419</v>
      </c>
      <c r="M9" s="93"/>
      <c r="N9" s="51"/>
      <c r="O9" s="51"/>
      <c r="P9" s="28"/>
    </row>
    <row r="10" spans="1:48" s="38" customFormat="1" x14ac:dyDescent="0.25">
      <c r="A10" s="319" t="s">
        <v>5</v>
      </c>
      <c r="B10" s="320"/>
      <c r="C10" s="320"/>
      <c r="D10" s="321"/>
      <c r="E10" s="321"/>
      <c r="F10" s="322">
        <f>F6+F8+F9</f>
        <v>-74534</v>
      </c>
      <c r="G10" s="322">
        <f>G6+G8+G9</f>
        <v>-106743</v>
      </c>
      <c r="H10" s="322">
        <f>H6+H8+H9</f>
        <v>-106976.41666666666</v>
      </c>
      <c r="I10" s="322">
        <f>I6+I8+I9</f>
        <v>-132708</v>
      </c>
      <c r="M10" s="93"/>
      <c r="N10" s="51"/>
      <c r="O10" s="51"/>
      <c r="P10" s="28"/>
    </row>
    <row r="11" spans="1:48" s="28" customFormat="1" x14ac:dyDescent="0.25">
      <c r="A11" s="38"/>
      <c r="B11" s="295"/>
      <c r="C11" s="295"/>
      <c r="D11" s="93"/>
      <c r="E11" s="93"/>
      <c r="F11" s="2"/>
      <c r="G11" s="2"/>
      <c r="H11" s="2"/>
      <c r="I11" s="2"/>
      <c r="J11" s="38"/>
      <c r="K11" s="38"/>
      <c r="L11" s="38"/>
      <c r="M11" s="93"/>
      <c r="N11" s="51"/>
      <c r="O11" s="51"/>
      <c r="Q11" s="95"/>
      <c r="R11" s="95"/>
      <c r="S11" s="95"/>
      <c r="T11" s="95"/>
    </row>
    <row r="12" spans="1:48" s="28" customFormat="1" x14ac:dyDescent="0.25">
      <c r="A12" s="312" t="s">
        <v>638</v>
      </c>
      <c r="B12" s="295"/>
      <c r="C12" s="295"/>
      <c r="D12" s="93"/>
      <c r="E12" s="93"/>
      <c r="F12" s="2">
        <f>SUMIFS(F:F,$D:$D,"NYTT",$E:$E,"INNSP")</f>
        <v>0</v>
      </c>
      <c r="G12" s="2">
        <f>SUMIFS(G:G,$D:$D,"NYTT",$E:$E,"INNSP")</f>
        <v>0</v>
      </c>
      <c r="H12" s="2">
        <f>SUMIFS(H:H,$D:$D,"NYTT",$E:$E,"INNSP")</f>
        <v>0</v>
      </c>
      <c r="I12" s="2">
        <f>SUMIFS(I:I,$D:$D,"NYTT",$E:$E,"INNSP")</f>
        <v>0</v>
      </c>
      <c r="J12" s="38"/>
      <c r="K12" s="38"/>
      <c r="L12" s="38"/>
      <c r="M12" s="93"/>
      <c r="N12" s="51"/>
      <c r="O12" s="51"/>
      <c r="Q12" s="95"/>
      <c r="R12" s="95"/>
      <c r="S12" s="95"/>
      <c r="T12" s="95"/>
    </row>
    <row r="13" spans="1:48" s="38" customFormat="1" x14ac:dyDescent="0.25">
      <c r="A13" s="316" t="s">
        <v>639</v>
      </c>
      <c r="B13" s="317"/>
      <c r="C13" s="317"/>
      <c r="D13" s="318"/>
      <c r="E13" s="318"/>
      <c r="F13" s="267">
        <f>SUMIFS(F:F,$D:$D,"NYTT",$E:$E,"MÅ")</f>
        <v>156622</v>
      </c>
      <c r="G13" s="267">
        <f>SUMIFS(G:G,$D:$D,"NYTT",$E:$E,"MÅ")</f>
        <v>160962</v>
      </c>
      <c r="H13" s="267">
        <f>SUMIFS(H:H,$D:$D,"NYTT",$E:$E,"MÅ")</f>
        <v>148422</v>
      </c>
      <c r="I13" s="267">
        <f>SUMIFS(I:I,$D:$D,"NYTT",$E:$E,"MÅ")</f>
        <v>152012</v>
      </c>
      <c r="M13" s="93"/>
      <c r="N13" s="51"/>
      <c r="O13" s="51"/>
      <c r="P13" s="29" t="s">
        <v>810</v>
      </c>
      <c r="Q13" s="95" t="e">
        <f t="shared" ref="Q13:T17" si="1">Q4+U4+Y4+AC4+AG4+AK4+AO4+AS4</f>
        <v>#REF!</v>
      </c>
      <c r="R13" s="95" t="e">
        <f t="shared" si="1"/>
        <v>#REF!</v>
      </c>
      <c r="S13" s="95">
        <f t="shared" si="1"/>
        <v>0</v>
      </c>
      <c r="T13" s="95">
        <f t="shared" si="1"/>
        <v>0</v>
      </c>
    </row>
    <row r="14" spans="1:48" s="38" customFormat="1" x14ac:dyDescent="0.25">
      <c r="A14" s="307" t="s">
        <v>8</v>
      </c>
      <c r="B14" s="309"/>
      <c r="C14" s="309"/>
      <c r="D14" s="323"/>
      <c r="E14" s="323"/>
      <c r="F14" s="324">
        <f>F6+F8+F9+F12+F13</f>
        <v>82088</v>
      </c>
      <c r="G14" s="324">
        <f>G6+G8+G9+G12+G13</f>
        <v>54219</v>
      </c>
      <c r="H14" s="324">
        <f>H6+H8+H9+H12+H13</f>
        <v>41445.583333333343</v>
      </c>
      <c r="I14" s="324">
        <f>I6+I8+I9+I12+I13</f>
        <v>19304</v>
      </c>
      <c r="M14" s="93"/>
      <c r="N14" s="51"/>
      <c r="O14" s="51"/>
      <c r="P14" s="1" t="s">
        <v>811</v>
      </c>
      <c r="Q14" s="95" t="e">
        <f t="shared" si="1"/>
        <v>#REF!</v>
      </c>
      <c r="R14" s="95" t="e">
        <f t="shared" si="1"/>
        <v>#REF!</v>
      </c>
      <c r="S14" s="95">
        <f t="shared" si="1"/>
        <v>-30224</v>
      </c>
      <c r="T14" s="95">
        <f t="shared" si="1"/>
        <v>-32069</v>
      </c>
    </row>
    <row r="15" spans="1:48" s="38" customFormat="1" x14ac:dyDescent="0.25">
      <c r="A15" s="312"/>
      <c r="B15" s="302"/>
      <c r="C15" s="302"/>
      <c r="D15" s="304"/>
      <c r="E15" s="304"/>
      <c r="F15" s="313"/>
      <c r="G15" s="313"/>
      <c r="H15" s="313"/>
      <c r="I15" s="313"/>
      <c r="M15" s="93"/>
      <c r="N15" s="51"/>
      <c r="O15" s="51"/>
      <c r="P15" s="29" t="s">
        <v>812</v>
      </c>
      <c r="Q15" s="95" t="e">
        <f t="shared" si="1"/>
        <v>#REF!</v>
      </c>
      <c r="R15" s="95" t="e">
        <f t="shared" si="1"/>
        <v>#REF!</v>
      </c>
      <c r="S15" s="95">
        <f t="shared" si="1"/>
        <v>95481</v>
      </c>
      <c r="T15" s="95">
        <f t="shared" si="1"/>
        <v>97661</v>
      </c>
    </row>
    <row r="16" spans="1:48" s="38" customFormat="1" x14ac:dyDescent="0.25">
      <c r="A16" s="314" t="s">
        <v>640</v>
      </c>
      <c r="B16" s="207"/>
      <c r="C16" s="207"/>
      <c r="D16" s="315"/>
      <c r="E16" s="315"/>
      <c r="F16" s="39">
        <f>SUMIF($D:$D,"NYTT",F:F)-F17-F13-F12</f>
        <v>135451</v>
      </c>
      <c r="G16" s="39">
        <f>SUMIF($D:$D,"NYTT",G:G)-G17-G13-G12</f>
        <v>141583</v>
      </c>
      <c r="H16" s="39">
        <f>SUMIF($D:$D,"NYTT",H:H)-H17-H13-H12</f>
        <v>146683</v>
      </c>
      <c r="I16" s="39">
        <f>SUMIF($D:$D,"NYTT",I:I)-I17-I13-I12</f>
        <v>145683</v>
      </c>
      <c r="M16" s="93"/>
      <c r="N16" s="51"/>
      <c r="O16" s="51"/>
      <c r="P16" s="29" t="s">
        <v>813</v>
      </c>
      <c r="Q16" s="95" t="e">
        <f t="shared" si="1"/>
        <v>#REF!</v>
      </c>
      <c r="R16" s="95" t="e">
        <f t="shared" si="1"/>
        <v>#REF!</v>
      </c>
      <c r="S16" s="95">
        <f t="shared" si="1"/>
        <v>0</v>
      </c>
      <c r="T16" s="95">
        <f t="shared" si="1"/>
        <v>0</v>
      </c>
    </row>
    <row r="17" spans="1:49" s="38" customFormat="1" x14ac:dyDescent="0.25">
      <c r="A17" s="325" t="s">
        <v>641</v>
      </c>
      <c r="B17" s="207"/>
      <c r="C17" s="326"/>
      <c r="D17" s="315"/>
      <c r="E17" s="315"/>
      <c r="F17" s="327">
        <f>SUMIFS(F:F,$D:$D,"NYTT",$E:$E,"IKKE PRI")</f>
        <v>14219</v>
      </c>
      <c r="G17" s="327">
        <f>SUMIFS(G:G,$D:$D,"NYTT",$E:$E,"IKKE PRI")</f>
        <v>6149</v>
      </c>
      <c r="H17" s="327">
        <f>SUMIFS(H:H,$D:$D,"NYTT",$E:$E,"IKKE PRI")</f>
        <v>6449</v>
      </c>
      <c r="I17" s="327">
        <f>SUMIFS(I:I,$D:$D,"NYTT",$E:$E,"IKKE PRI")</f>
        <v>6449</v>
      </c>
      <c r="M17" s="93"/>
      <c r="N17" s="51"/>
      <c r="O17" s="51"/>
      <c r="P17" s="28" t="s">
        <v>305</v>
      </c>
      <c r="Q17" s="95" t="e">
        <f t="shared" si="1"/>
        <v>#REF!</v>
      </c>
      <c r="R17" s="95" t="e">
        <f t="shared" si="1"/>
        <v>#REF!</v>
      </c>
      <c r="S17" s="95">
        <f t="shared" si="1"/>
        <v>65257</v>
      </c>
      <c r="T17" s="95">
        <f t="shared" si="1"/>
        <v>65592</v>
      </c>
    </row>
    <row r="18" spans="1:49" s="38" customFormat="1" x14ac:dyDescent="0.25">
      <c r="A18" s="325"/>
      <c r="B18" s="207"/>
      <c r="C18" s="326"/>
      <c r="D18" s="315"/>
      <c r="E18" s="315"/>
      <c r="F18" s="292">
        <f>(F8+F9+F13+F16+F17+F12)-SUMIF($B:$B,"X",F:F)</f>
        <v>0</v>
      </c>
      <c r="G18" s="292">
        <f>(G8+G9+G13+G16+G17+G12)-SUMIF($B:$B,"X",G:G)</f>
        <v>0</v>
      </c>
      <c r="H18" s="292">
        <f>(H8+H9+H13+H16+H17+H12)-SUMIF($B:$B,"X",H:H)</f>
        <v>0</v>
      </c>
      <c r="I18" s="292">
        <f>(I8+I9+I13+I16+I17+I12)-SUMIF($B:$B,"X",I:I)</f>
        <v>0</v>
      </c>
      <c r="M18" s="93"/>
      <c r="N18" s="51"/>
      <c r="O18" s="51"/>
      <c r="P18" s="28"/>
    </row>
    <row r="19" spans="1:49" s="38" customFormat="1" x14ac:dyDescent="0.25">
      <c r="A19" s="328"/>
      <c r="B19" s="329"/>
      <c r="C19" s="298"/>
      <c r="D19" s="330"/>
      <c r="E19" s="330"/>
      <c r="F19" s="331"/>
      <c r="G19" s="331"/>
      <c r="H19" s="331"/>
      <c r="I19" s="331"/>
      <c r="M19" s="93"/>
      <c r="N19" s="51"/>
      <c r="O19" s="51"/>
      <c r="P19" s="28"/>
    </row>
    <row r="20" spans="1:49" s="38" customFormat="1" x14ac:dyDescent="0.25">
      <c r="A20" s="332"/>
      <c r="B20" s="295"/>
      <c r="C20" s="333"/>
      <c r="D20" s="93"/>
      <c r="E20" s="93"/>
      <c r="F20" s="334">
        <f>F8+F9+F13+F12</f>
        <v>177827</v>
      </c>
      <c r="G20" s="334">
        <f>G8+G9+G13+G12</f>
        <v>206450</v>
      </c>
      <c r="H20" s="334">
        <f>H8+H9+H13+H12</f>
        <v>216932.58333333331</v>
      </c>
      <c r="I20" s="334">
        <f>I8+I9+I13+I12</f>
        <v>244891</v>
      </c>
      <c r="M20" s="93"/>
      <c r="N20" s="51"/>
      <c r="O20" s="51"/>
      <c r="P20" s="28"/>
    </row>
    <row r="21" spans="1:49" s="38" customFormat="1" x14ac:dyDescent="0.25">
      <c r="A21" s="332"/>
      <c r="B21" s="295"/>
      <c r="C21" s="333"/>
      <c r="D21" s="93"/>
      <c r="E21" s="93"/>
      <c r="F21" s="334"/>
      <c r="G21" s="334"/>
      <c r="H21" s="334"/>
      <c r="I21" s="334"/>
      <c r="M21" s="93"/>
      <c r="N21" s="51"/>
      <c r="O21" s="51"/>
      <c r="P21" s="28"/>
    </row>
    <row r="22" spans="1:49" s="38" customFormat="1" hidden="1" x14ac:dyDescent="0.25">
      <c r="A22" s="192" t="s">
        <v>12</v>
      </c>
      <c r="B22" s="335"/>
      <c r="C22" s="236"/>
      <c r="D22" s="237"/>
      <c r="E22" s="237"/>
      <c r="F22" s="193"/>
      <c r="G22" s="193"/>
      <c r="H22" s="193"/>
      <c r="I22" s="193"/>
      <c r="J22" s="28"/>
      <c r="K22" s="28"/>
      <c r="L22" s="28"/>
      <c r="M22" s="51"/>
      <c r="N22" s="51"/>
      <c r="O22" s="51"/>
      <c r="P22" s="28"/>
    </row>
    <row r="23" spans="1:49" s="125" customFormat="1" hidden="1" x14ac:dyDescent="0.25">
      <c r="A23" s="194" t="s">
        <v>13</v>
      </c>
      <c r="B23" s="238"/>
      <c r="C23" s="195"/>
      <c r="D23" s="239"/>
      <c r="E23" s="239"/>
      <c r="F23" s="196">
        <f>SUMIF($N:$N,"FOND",F:F)</f>
        <v>0</v>
      </c>
      <c r="G23" s="196">
        <f>SUMIF($N:$N,"FOND",G:G)</f>
        <v>0</v>
      </c>
      <c r="H23" s="196">
        <f>SUMIF($N:$N,"FOND",H:H)</f>
        <v>0</v>
      </c>
      <c r="I23" s="196">
        <f>SUMIF($N:$N,"FOND",I:I)</f>
        <v>0</v>
      </c>
      <c r="J23" s="240"/>
      <c r="K23" s="240"/>
      <c r="L23" s="240"/>
      <c r="M23" s="241"/>
      <c r="N23" s="241"/>
      <c r="O23" s="241"/>
      <c r="P23" s="240"/>
      <c r="AW23" s="38"/>
    </row>
    <row r="24" spans="1:49" s="38" customFormat="1" hidden="1" x14ac:dyDescent="0.25">
      <c r="A24" s="197" t="s">
        <v>14</v>
      </c>
      <c r="B24" s="335"/>
      <c r="C24" s="236"/>
      <c r="D24" s="237"/>
      <c r="E24" s="237"/>
      <c r="F24" s="198">
        <f>SUBTOTAL(9,F22:F23)</f>
        <v>0</v>
      </c>
      <c r="G24" s="198">
        <f>SUBTOTAL(9,G22:G23)</f>
        <v>0</v>
      </c>
      <c r="H24" s="198">
        <f>SUBTOTAL(9,H22:H23)</f>
        <v>0</v>
      </c>
      <c r="I24" s="198">
        <f>SUBTOTAL(9,I22:I23)</f>
        <v>0</v>
      </c>
      <c r="J24" s="28"/>
      <c r="K24" s="28"/>
      <c r="L24" s="28"/>
      <c r="M24" s="51"/>
      <c r="N24" s="51"/>
      <c r="O24" s="51"/>
      <c r="P24" s="28"/>
    </row>
    <row r="25" spans="1:49" s="38" customFormat="1" x14ac:dyDescent="0.25">
      <c r="A25" s="28"/>
      <c r="B25" s="11"/>
      <c r="C25" s="11"/>
      <c r="D25" s="242"/>
      <c r="E25" s="242"/>
      <c r="F25" s="336">
        <f>(F8+F9+F13+F16+F17+F12)-SUMIF($B:$B,"X",F:F)</f>
        <v>0</v>
      </c>
      <c r="G25" s="336">
        <f>(G8+G9+G13+G16+G17+G12)-SUMIF($B:$B,"X",G:G)</f>
        <v>0</v>
      </c>
      <c r="H25" s="336">
        <f>(H8+H9+H13+H16+H17+H12)-SUMIF($B:$B,"X",H:H)</f>
        <v>0</v>
      </c>
      <c r="I25" s="336">
        <f>(I8+I9+I13+I16+I17+I12)-SUMIF($B:$B,"X",I:I)</f>
        <v>0</v>
      </c>
      <c r="J25" s="28"/>
      <c r="K25" s="28"/>
      <c r="L25" s="28"/>
      <c r="M25" s="51"/>
      <c r="N25" s="51"/>
      <c r="O25" s="51"/>
      <c r="P25" s="28"/>
    </row>
    <row r="26" spans="1:49" s="38" customFormat="1" x14ac:dyDescent="0.25">
      <c r="A26" s="4" t="s">
        <v>15</v>
      </c>
      <c r="B26" s="5" t="s">
        <v>16</v>
      </c>
      <c r="C26" s="3" t="s">
        <v>17</v>
      </c>
      <c r="D26" s="8" t="s">
        <v>18</v>
      </c>
      <c r="E26" s="46" t="s">
        <v>19</v>
      </c>
      <c r="F26" s="4">
        <v>2022</v>
      </c>
      <c r="G26" s="4">
        <v>2023</v>
      </c>
      <c r="H26" s="4">
        <v>2024</v>
      </c>
      <c r="I26" s="4">
        <v>2025</v>
      </c>
      <c r="J26" s="4" t="s">
        <v>642</v>
      </c>
      <c r="K26" s="28" t="s">
        <v>643</v>
      </c>
      <c r="L26" s="28" t="s">
        <v>644</v>
      </c>
      <c r="M26" s="51"/>
      <c r="N26" s="51"/>
      <c r="O26" s="51"/>
      <c r="P26" s="28"/>
    </row>
    <row r="27" spans="1:49" s="38" customFormat="1" x14ac:dyDescent="0.25">
      <c r="A27" s="234"/>
      <c r="B27" s="11"/>
      <c r="C27" s="17"/>
      <c r="D27" s="51"/>
      <c r="E27" s="86" t="s">
        <v>645</v>
      </c>
      <c r="F27" s="235">
        <v>-2691000</v>
      </c>
      <c r="G27" s="235">
        <v>-2721000</v>
      </c>
      <c r="H27" s="235">
        <v>-2752000</v>
      </c>
      <c r="I27" s="235"/>
      <c r="J27" s="39"/>
      <c r="K27" s="28"/>
      <c r="L27" s="28"/>
      <c r="M27" s="28"/>
      <c r="N27" s="28"/>
      <c r="O27" s="28"/>
      <c r="P27" s="28"/>
      <c r="R27" s="235"/>
      <c r="S27" s="235"/>
      <c r="T27" s="235"/>
    </row>
    <row r="28" spans="1:49" s="38" customFormat="1" x14ac:dyDescent="0.25">
      <c r="A28" s="15"/>
      <c r="B28" s="44"/>
      <c r="C28" s="16" t="s">
        <v>21</v>
      </c>
      <c r="D28" s="41"/>
      <c r="E28" s="87" t="s">
        <v>646</v>
      </c>
      <c r="F28" s="85">
        <v>-1958000</v>
      </c>
      <c r="G28" s="85">
        <v>-1989000</v>
      </c>
      <c r="H28" s="85">
        <v>-2013000</v>
      </c>
      <c r="I28" s="85"/>
      <c r="J28" s="39"/>
      <c r="K28" s="337"/>
      <c r="L28" s="337"/>
      <c r="M28" s="77"/>
      <c r="N28" s="243"/>
      <c r="O28" s="243"/>
      <c r="P28" s="243"/>
      <c r="Q28" s="243"/>
      <c r="R28" s="85"/>
      <c r="S28" s="85"/>
      <c r="T28" s="85"/>
    </row>
    <row r="29" spans="1:49" s="38" customFormat="1" x14ac:dyDescent="0.25">
      <c r="A29" s="78" t="s">
        <v>22</v>
      </c>
      <c r="B29" s="338" t="str">
        <f t="shared" ref="B29:B47" si="2">IF(L29,K29&amp;L29,"")</f>
        <v>I1</v>
      </c>
      <c r="C29" s="98" t="s">
        <v>23</v>
      </c>
      <c r="D29" s="79" t="s">
        <v>22</v>
      </c>
      <c r="E29" s="79" t="s">
        <v>24</v>
      </c>
      <c r="F29" s="90">
        <v>-2781000</v>
      </c>
      <c r="G29" s="90">
        <v>-2811000</v>
      </c>
      <c r="H29" s="90">
        <v>-2842000</v>
      </c>
      <c r="I29" s="90">
        <v>-2873000</v>
      </c>
      <c r="J29" s="292" t="s">
        <v>915</v>
      </c>
      <c r="K29" s="28" t="s">
        <v>648</v>
      </c>
      <c r="L29" s="28">
        <f t="shared" ref="L29:L47" si="3">L28+1</f>
        <v>1</v>
      </c>
      <c r="M29" s="199"/>
      <c r="N29" s="200"/>
      <c r="O29" s="200"/>
      <c r="P29" s="28"/>
      <c r="R29" s="90"/>
      <c r="S29" s="90"/>
      <c r="T29" s="90"/>
      <c r="U29" s="90"/>
      <c r="V29" s="95"/>
    </row>
    <row r="30" spans="1:49" s="38" customFormat="1" x14ac:dyDescent="0.25">
      <c r="A30" s="78" t="s">
        <v>22</v>
      </c>
      <c r="B30" s="338" t="str">
        <f t="shared" si="2"/>
        <v>I2</v>
      </c>
      <c r="C30" s="98" t="s">
        <v>29</v>
      </c>
      <c r="D30" s="79" t="s">
        <v>22</v>
      </c>
      <c r="E30" s="79" t="s">
        <v>24</v>
      </c>
      <c r="F30" s="90">
        <f>-2052000-20000</f>
        <v>-2072000</v>
      </c>
      <c r="G30" s="90">
        <f>-2083000-20000</f>
        <v>-2103000</v>
      </c>
      <c r="H30" s="90">
        <f>-2108000-20000</f>
        <v>-2128000</v>
      </c>
      <c r="I30" s="90">
        <f>-2131000-20000</f>
        <v>-2151000</v>
      </c>
      <c r="J30" s="292" t="s">
        <v>915</v>
      </c>
      <c r="K30" s="28" t="s">
        <v>648</v>
      </c>
      <c r="L30" s="28">
        <f t="shared" si="3"/>
        <v>2</v>
      </c>
      <c r="M30" s="199"/>
      <c r="N30" s="200"/>
      <c r="O30" s="200"/>
      <c r="P30" s="28"/>
      <c r="R30" s="90"/>
      <c r="S30" s="90"/>
      <c r="T30" s="90"/>
      <c r="U30" s="90"/>
      <c r="V30" s="95"/>
    </row>
    <row r="31" spans="1:49" s="38" customFormat="1" x14ac:dyDescent="0.25">
      <c r="A31" s="78" t="s">
        <v>22</v>
      </c>
      <c r="B31" s="338" t="str">
        <f t="shared" si="2"/>
        <v>I3</v>
      </c>
      <c r="C31" s="98" t="s">
        <v>32</v>
      </c>
      <c r="D31" s="79" t="s">
        <v>22</v>
      </c>
      <c r="E31" s="79" t="s">
        <v>24</v>
      </c>
      <c r="F31" s="90">
        <v>-53000</v>
      </c>
      <c r="G31" s="90">
        <v>-55000</v>
      </c>
      <c r="H31" s="90">
        <v>-55000</v>
      </c>
      <c r="I31" s="90">
        <v>-55000</v>
      </c>
      <c r="J31" s="292" t="s">
        <v>916</v>
      </c>
      <c r="K31" s="28" t="s">
        <v>648</v>
      </c>
      <c r="L31" s="28">
        <f t="shared" si="3"/>
        <v>3</v>
      </c>
      <c r="M31" s="199"/>
      <c r="N31" s="258">
        <f>1-N32</f>
        <v>0.13649999999999995</v>
      </c>
      <c r="O31" s="200"/>
      <c r="P31" s="28"/>
      <c r="R31" s="90"/>
      <c r="S31" s="90"/>
      <c r="T31" s="90"/>
      <c r="U31" s="90"/>
      <c r="V31" s="95"/>
    </row>
    <row r="32" spans="1:49" s="38" customFormat="1" x14ac:dyDescent="0.25">
      <c r="A32" s="78" t="s">
        <v>22</v>
      </c>
      <c r="B32" s="338" t="str">
        <f t="shared" si="2"/>
        <v>I4</v>
      </c>
      <c r="C32" s="98" t="s">
        <v>34</v>
      </c>
      <c r="D32" s="79" t="s">
        <v>22</v>
      </c>
      <c r="E32" s="79" t="s">
        <v>24</v>
      </c>
      <c r="F32" s="90">
        <v>-17000</v>
      </c>
      <c r="G32" s="90">
        <v>-15000</v>
      </c>
      <c r="H32" s="90">
        <v>-14000</v>
      </c>
      <c r="I32" s="90">
        <v>-16000</v>
      </c>
      <c r="J32" s="292" t="s">
        <v>917</v>
      </c>
      <c r="K32" s="28" t="s">
        <v>648</v>
      </c>
      <c r="L32" s="28">
        <f t="shared" si="3"/>
        <v>4</v>
      </c>
      <c r="M32" s="199"/>
      <c r="N32" s="258">
        <v>0.86350000000000005</v>
      </c>
      <c r="O32" s="200"/>
      <c r="P32" s="28"/>
      <c r="R32" s="250"/>
      <c r="S32" s="250"/>
      <c r="T32" s="250"/>
      <c r="U32" s="250"/>
      <c r="V32" s="339"/>
    </row>
    <row r="33" spans="1:22" s="38" customFormat="1" x14ac:dyDescent="0.25">
      <c r="A33" s="78" t="s">
        <v>22</v>
      </c>
      <c r="B33" s="338" t="str">
        <f t="shared" si="2"/>
        <v>I5</v>
      </c>
      <c r="C33" s="98" t="s">
        <v>36</v>
      </c>
      <c r="D33" s="79" t="s">
        <v>22</v>
      </c>
      <c r="E33" s="79" t="s">
        <v>24</v>
      </c>
      <c r="F33" s="90">
        <v>-10300</v>
      </c>
      <c r="G33" s="90">
        <v>-10300</v>
      </c>
      <c r="H33" s="90">
        <v>-10300</v>
      </c>
      <c r="I33" s="90">
        <v>-10300</v>
      </c>
      <c r="J33" s="292" t="s">
        <v>651</v>
      </c>
      <c r="K33" s="28" t="s">
        <v>648</v>
      </c>
      <c r="L33" s="28">
        <f t="shared" si="3"/>
        <v>5</v>
      </c>
      <c r="M33" s="199"/>
      <c r="N33" s="200"/>
      <c r="O33" s="200"/>
      <c r="P33" s="28"/>
      <c r="R33" s="340"/>
      <c r="S33" s="340"/>
      <c r="T33" s="340"/>
      <c r="U33" s="340"/>
      <c r="V33" s="339"/>
    </row>
    <row r="34" spans="1:22" s="38" customFormat="1" x14ac:dyDescent="0.25">
      <c r="A34" s="78" t="s">
        <v>22</v>
      </c>
      <c r="B34" s="338" t="str">
        <f t="shared" si="2"/>
        <v>I6</v>
      </c>
      <c r="C34" s="98" t="s">
        <v>1006</v>
      </c>
      <c r="D34" s="79" t="s">
        <v>22</v>
      </c>
      <c r="E34" s="79" t="s">
        <v>24</v>
      </c>
      <c r="F34" s="90">
        <v>10300</v>
      </c>
      <c r="G34" s="90">
        <v>10300</v>
      </c>
      <c r="H34" s="90">
        <v>10300</v>
      </c>
      <c r="I34" s="90">
        <v>10300</v>
      </c>
      <c r="J34" s="292" t="s">
        <v>651</v>
      </c>
      <c r="K34" s="28" t="s">
        <v>648</v>
      </c>
      <c r="L34" s="28">
        <f t="shared" si="3"/>
        <v>6</v>
      </c>
      <c r="M34" s="199"/>
      <c r="N34" s="200">
        <f>G31+G34</f>
        <v>-44700</v>
      </c>
      <c r="O34" s="200">
        <f>H31+H34</f>
        <v>-44700</v>
      </c>
      <c r="P34" s="200">
        <f>I31+I34</f>
        <v>-44700</v>
      </c>
      <c r="Q34" s="200"/>
      <c r="R34" s="340"/>
      <c r="S34" s="340"/>
      <c r="T34" s="340"/>
      <c r="U34" s="340"/>
      <c r="V34" s="339"/>
    </row>
    <row r="35" spans="1:22" s="38" customFormat="1" x14ac:dyDescent="0.25">
      <c r="A35" s="78" t="s">
        <v>22</v>
      </c>
      <c r="B35" s="338" t="str">
        <f t="shared" si="2"/>
        <v>I7</v>
      </c>
      <c r="C35" s="98" t="s">
        <v>39</v>
      </c>
      <c r="D35" s="79" t="s">
        <v>22</v>
      </c>
      <c r="E35" s="79" t="s">
        <v>24</v>
      </c>
      <c r="F35" s="90">
        <v>-9900</v>
      </c>
      <c r="G35" s="90">
        <v>-9900</v>
      </c>
      <c r="H35" s="90">
        <v>-9500</v>
      </c>
      <c r="I35" s="90">
        <v>-9100</v>
      </c>
      <c r="J35" s="292" t="s">
        <v>1007</v>
      </c>
      <c r="K35" s="28" t="s">
        <v>648</v>
      </c>
      <c r="L35" s="28">
        <f>L34+1</f>
        <v>7</v>
      </c>
      <c r="M35" s="199"/>
      <c r="N35" s="200"/>
      <c r="O35" s="200"/>
      <c r="P35" s="28"/>
      <c r="R35" s="340"/>
      <c r="S35" s="340"/>
      <c r="T35" s="340"/>
      <c r="U35" s="340"/>
      <c r="V35" s="339"/>
    </row>
    <row r="36" spans="1:22" s="38" customFormat="1" x14ac:dyDescent="0.25">
      <c r="A36" s="78" t="s">
        <v>22</v>
      </c>
      <c r="B36" s="338" t="str">
        <f t="shared" si="2"/>
        <v>I8</v>
      </c>
      <c r="C36" s="98" t="s">
        <v>41</v>
      </c>
      <c r="D36" s="79" t="s">
        <v>22</v>
      </c>
      <c r="E36" s="79" t="s">
        <v>24</v>
      </c>
      <c r="F36" s="90">
        <v>-39217</v>
      </c>
      <c r="G36" s="90">
        <v>-40722</v>
      </c>
      <c r="H36" s="90">
        <v>-42916</v>
      </c>
      <c r="I36" s="90">
        <v>-42916</v>
      </c>
      <c r="J36" s="252" t="s">
        <v>919</v>
      </c>
      <c r="K36" s="28" t="s">
        <v>648</v>
      </c>
      <c r="L36" s="28">
        <f t="shared" si="3"/>
        <v>8</v>
      </c>
      <c r="M36" s="199"/>
      <c r="N36" s="200"/>
      <c r="O36" s="200"/>
      <c r="P36" s="28"/>
      <c r="R36" s="340"/>
      <c r="S36" s="340"/>
      <c r="T36" s="340"/>
      <c r="U36" s="340"/>
      <c r="V36" s="339"/>
    </row>
    <row r="37" spans="1:22" s="38" customFormat="1" x14ac:dyDescent="0.25">
      <c r="A37" s="78" t="s">
        <v>22</v>
      </c>
      <c r="B37" s="338" t="str">
        <f t="shared" si="2"/>
        <v>I9</v>
      </c>
      <c r="C37" s="283" t="s">
        <v>43</v>
      </c>
      <c r="D37" s="284" t="s">
        <v>22</v>
      </c>
      <c r="E37" s="284" t="s">
        <v>24</v>
      </c>
      <c r="F37" s="285">
        <v>100000</v>
      </c>
      <c r="G37" s="285">
        <v>113000</v>
      </c>
      <c r="H37" s="285">
        <v>115000</v>
      </c>
      <c r="I37" s="285">
        <v>119000</v>
      </c>
      <c r="J37" s="292" t="s">
        <v>1007</v>
      </c>
      <c r="K37" s="28" t="s">
        <v>648</v>
      </c>
      <c r="L37" s="28">
        <f t="shared" si="3"/>
        <v>9</v>
      </c>
      <c r="M37" s="199"/>
      <c r="N37" s="200"/>
      <c r="O37" s="200"/>
      <c r="P37" s="28"/>
      <c r="R37" s="340"/>
      <c r="S37" s="340"/>
      <c r="T37" s="340"/>
      <c r="U37" s="340"/>
      <c r="V37" s="339"/>
    </row>
    <row r="38" spans="1:22" s="38" customFormat="1" x14ac:dyDescent="0.25">
      <c r="A38" s="78" t="s">
        <v>22</v>
      </c>
      <c r="B38" s="338" t="str">
        <f t="shared" si="2"/>
        <v>I10</v>
      </c>
      <c r="C38" s="283" t="s">
        <v>47</v>
      </c>
      <c r="D38" s="284" t="s">
        <v>22</v>
      </c>
      <c r="E38" s="284" t="s">
        <v>24</v>
      </c>
      <c r="F38" s="285">
        <v>292000</v>
      </c>
      <c r="G38" s="285">
        <v>299000</v>
      </c>
      <c r="H38" s="285">
        <v>303000</v>
      </c>
      <c r="I38" s="285">
        <v>310000</v>
      </c>
      <c r="J38" s="292" t="s">
        <v>920</v>
      </c>
      <c r="K38" s="28" t="s">
        <v>648</v>
      </c>
      <c r="L38" s="28">
        <f t="shared" si="3"/>
        <v>10</v>
      </c>
      <c r="M38" s="199"/>
      <c r="N38" s="200"/>
      <c r="O38" s="200"/>
      <c r="P38" s="28"/>
      <c r="R38" s="340"/>
      <c r="S38" s="340"/>
      <c r="T38" s="340"/>
      <c r="U38" s="340"/>
      <c r="V38" s="339"/>
    </row>
    <row r="39" spans="1:22" s="38" customFormat="1" x14ac:dyDescent="0.25">
      <c r="A39" s="78" t="s">
        <v>22</v>
      </c>
      <c r="B39" s="338" t="str">
        <f t="shared" si="2"/>
        <v>I11</v>
      </c>
      <c r="C39" s="98" t="s">
        <v>50</v>
      </c>
      <c r="D39" s="79" t="s">
        <v>22</v>
      </c>
      <c r="E39" s="79" t="s">
        <v>24</v>
      </c>
      <c r="F39" s="90">
        <v>-17500</v>
      </c>
      <c r="G39" s="90">
        <v>-21800</v>
      </c>
      <c r="H39" s="90">
        <v>-23900</v>
      </c>
      <c r="I39" s="90">
        <v>-25800</v>
      </c>
      <c r="J39" s="292" t="s">
        <v>1007</v>
      </c>
      <c r="K39" s="28" t="s">
        <v>648</v>
      </c>
      <c r="L39" s="28">
        <f t="shared" si="3"/>
        <v>11</v>
      </c>
      <c r="M39" s="199"/>
      <c r="N39" s="199"/>
      <c r="O39" s="199"/>
      <c r="P39" s="28"/>
    </row>
    <row r="40" spans="1:22" s="38" customFormat="1" x14ac:dyDescent="0.25">
      <c r="A40" s="78" t="s">
        <v>22</v>
      </c>
      <c r="B40" s="338" t="str">
        <f t="shared" si="2"/>
        <v>I12</v>
      </c>
      <c r="C40" s="98" t="s">
        <v>51</v>
      </c>
      <c r="D40" s="79" t="s">
        <v>22</v>
      </c>
      <c r="E40" s="79" t="s">
        <v>24</v>
      </c>
      <c r="F40" s="90">
        <v>-35900</v>
      </c>
      <c r="G40" s="90">
        <v>-44800</v>
      </c>
      <c r="H40" s="90">
        <v>-50000</v>
      </c>
      <c r="I40" s="90">
        <v>-54600</v>
      </c>
      <c r="J40" s="292" t="s">
        <v>1007</v>
      </c>
      <c r="K40" s="28" t="s">
        <v>648</v>
      </c>
      <c r="L40" s="28">
        <f>L39+1</f>
        <v>12</v>
      </c>
      <c r="M40" s="199"/>
      <c r="N40" s="199"/>
      <c r="O40" s="199"/>
      <c r="P40" s="12"/>
      <c r="Q40" s="2"/>
      <c r="R40" s="2"/>
      <c r="S40" s="2"/>
      <c r="T40" s="95"/>
      <c r="U40" s="95"/>
    </row>
    <row r="41" spans="1:22" s="38" customFormat="1" x14ac:dyDescent="0.25">
      <c r="A41" s="78" t="s">
        <v>22</v>
      </c>
      <c r="B41" s="338" t="str">
        <f t="shared" si="2"/>
        <v>I13</v>
      </c>
      <c r="C41" s="98" t="s">
        <v>52</v>
      </c>
      <c r="D41" s="79" t="s">
        <v>22</v>
      </c>
      <c r="E41" s="79" t="s">
        <v>24</v>
      </c>
      <c r="F41" s="90">
        <v>35900</v>
      </c>
      <c r="G41" s="90">
        <v>44800</v>
      </c>
      <c r="H41" s="90">
        <v>50000</v>
      </c>
      <c r="I41" s="90">
        <v>54600</v>
      </c>
      <c r="J41" s="292" t="s">
        <v>1007</v>
      </c>
      <c r="K41" s="28" t="s">
        <v>648</v>
      </c>
      <c r="L41" s="28">
        <f t="shared" si="3"/>
        <v>13</v>
      </c>
      <c r="M41" s="199"/>
      <c r="N41" s="199"/>
      <c r="O41" s="199"/>
      <c r="P41" s="200"/>
      <c r="Q41" s="2"/>
      <c r="R41" s="2"/>
      <c r="S41" s="2"/>
    </row>
    <row r="42" spans="1:22" s="38" customFormat="1" x14ac:dyDescent="0.25">
      <c r="A42" s="78" t="s">
        <v>22</v>
      </c>
      <c r="B42" s="338" t="str">
        <f t="shared" si="2"/>
        <v>I14</v>
      </c>
      <c r="C42" s="98" t="s">
        <v>53</v>
      </c>
      <c r="D42" s="79" t="s">
        <v>22</v>
      </c>
      <c r="E42" s="79" t="s">
        <v>24</v>
      </c>
      <c r="F42" s="90">
        <v>-10400</v>
      </c>
      <c r="G42" s="90">
        <v>-11100</v>
      </c>
      <c r="H42" s="90">
        <v>-11000</v>
      </c>
      <c r="I42" s="90">
        <v>-10700</v>
      </c>
      <c r="J42" s="292" t="s">
        <v>1007</v>
      </c>
      <c r="K42" s="28" t="s">
        <v>648</v>
      </c>
      <c r="L42" s="28">
        <f t="shared" si="3"/>
        <v>14</v>
      </c>
      <c r="M42" s="199"/>
      <c r="N42" s="199"/>
      <c r="O42" s="199"/>
      <c r="P42" s="201"/>
      <c r="Q42" s="201"/>
      <c r="R42" s="201"/>
      <c r="S42" s="201"/>
    </row>
    <row r="43" spans="1:22" s="38" customFormat="1" x14ac:dyDescent="0.25">
      <c r="A43" s="78" t="s">
        <v>22</v>
      </c>
      <c r="B43" s="338" t="str">
        <f t="shared" si="2"/>
        <v>I15</v>
      </c>
      <c r="C43" s="98" t="s">
        <v>54</v>
      </c>
      <c r="D43" s="79" t="s">
        <v>22</v>
      </c>
      <c r="E43" s="79" t="s">
        <v>24</v>
      </c>
      <c r="F43" s="90">
        <v>-123000</v>
      </c>
      <c r="G43" s="90">
        <v>-127000</v>
      </c>
      <c r="H43" s="90">
        <v>-131000</v>
      </c>
      <c r="I43" s="90">
        <v>-135000</v>
      </c>
      <c r="J43" s="292" t="s">
        <v>846</v>
      </c>
      <c r="K43" s="28" t="s">
        <v>648</v>
      </c>
      <c r="L43" s="28">
        <f t="shared" si="3"/>
        <v>15</v>
      </c>
      <c r="M43" s="199"/>
      <c r="N43" s="199"/>
      <c r="O43" s="199"/>
      <c r="P43" s="201"/>
      <c r="Q43" s="201"/>
      <c r="R43" s="201"/>
      <c r="S43" s="201"/>
    </row>
    <row r="44" spans="1:22" s="38" customFormat="1" x14ac:dyDescent="0.25">
      <c r="A44" s="78" t="s">
        <v>22</v>
      </c>
      <c r="B44" s="338" t="str">
        <f t="shared" si="2"/>
        <v>I16</v>
      </c>
      <c r="C44" s="98" t="s">
        <v>55</v>
      </c>
      <c r="D44" s="79" t="s">
        <v>22</v>
      </c>
      <c r="E44" s="79" t="s">
        <v>24</v>
      </c>
      <c r="F44" s="90">
        <v>-1250</v>
      </c>
      <c r="G44" s="90">
        <v>-1339</v>
      </c>
      <c r="H44" s="90">
        <v>-1428</v>
      </c>
      <c r="I44" s="90">
        <v>-1428</v>
      </c>
      <c r="J44" s="292" t="s">
        <v>655</v>
      </c>
      <c r="K44" s="28" t="s">
        <v>648</v>
      </c>
      <c r="L44" s="28">
        <f t="shared" si="3"/>
        <v>16</v>
      </c>
      <c r="M44" s="199"/>
      <c r="N44" s="199"/>
      <c r="O44" s="199"/>
      <c r="P44" s="201"/>
      <c r="Q44" s="201"/>
      <c r="R44" s="201"/>
      <c r="S44" s="201"/>
    </row>
    <row r="45" spans="1:22" s="38" customFormat="1" x14ac:dyDescent="0.25">
      <c r="A45" s="78" t="s">
        <v>22</v>
      </c>
      <c r="B45" s="338" t="str">
        <f t="shared" si="2"/>
        <v>I17</v>
      </c>
      <c r="C45" s="98" t="s">
        <v>57</v>
      </c>
      <c r="D45" s="79" t="s">
        <v>22</v>
      </c>
      <c r="E45" s="79" t="s">
        <v>24</v>
      </c>
      <c r="F45" s="90">
        <v>-2000</v>
      </c>
      <c r="G45" s="90">
        <v>-2000</v>
      </c>
      <c r="H45" s="90">
        <v>-2000</v>
      </c>
      <c r="I45" s="90">
        <v>-2000</v>
      </c>
      <c r="J45" s="292" t="s">
        <v>655</v>
      </c>
      <c r="K45" s="28" t="s">
        <v>648</v>
      </c>
      <c r="L45" s="28">
        <f t="shared" si="3"/>
        <v>17</v>
      </c>
      <c r="M45" s="199"/>
      <c r="N45" s="199"/>
      <c r="O45" s="199"/>
      <c r="P45" s="201"/>
      <c r="Q45" s="201"/>
      <c r="R45" s="201"/>
      <c r="S45" s="201"/>
    </row>
    <row r="46" spans="1:22" s="38" customFormat="1" x14ac:dyDescent="0.25">
      <c r="A46" s="78" t="s">
        <v>22</v>
      </c>
      <c r="B46" s="338" t="str">
        <f t="shared" si="2"/>
        <v>I18</v>
      </c>
      <c r="C46" s="98" t="s">
        <v>59</v>
      </c>
      <c r="D46" s="79" t="s">
        <v>22</v>
      </c>
      <c r="E46" s="79" t="s">
        <v>24</v>
      </c>
      <c r="F46" s="90">
        <v>-3600</v>
      </c>
      <c r="G46" s="90">
        <v>-3800</v>
      </c>
      <c r="H46" s="90">
        <v>-3800</v>
      </c>
      <c r="I46" s="90">
        <v>-3700</v>
      </c>
      <c r="J46" s="292" t="s">
        <v>1007</v>
      </c>
      <c r="K46" s="28" t="s">
        <v>648</v>
      </c>
      <c r="L46" s="28">
        <f>L45+1</f>
        <v>18</v>
      </c>
      <c r="M46" s="199"/>
      <c r="N46" s="199"/>
      <c r="O46" s="199"/>
      <c r="P46" s="199"/>
    </row>
    <row r="47" spans="1:22" s="38" customFormat="1" x14ac:dyDescent="0.25">
      <c r="A47" s="78" t="s">
        <v>22</v>
      </c>
      <c r="B47" s="338" t="str">
        <f t="shared" si="2"/>
        <v>I19</v>
      </c>
      <c r="C47" s="98" t="s">
        <v>60</v>
      </c>
      <c r="D47" s="79" t="s">
        <v>22</v>
      </c>
      <c r="E47" s="79" t="s">
        <v>24</v>
      </c>
      <c r="F47" s="90"/>
      <c r="G47" s="90"/>
      <c r="H47" s="90"/>
      <c r="I47" s="90"/>
      <c r="J47" s="292" t="s">
        <v>847</v>
      </c>
      <c r="K47" s="28" t="s">
        <v>648</v>
      </c>
      <c r="L47" s="28">
        <f t="shared" si="3"/>
        <v>19</v>
      </c>
      <c r="M47" s="199"/>
      <c r="N47" s="199"/>
      <c r="O47" s="199"/>
      <c r="P47" s="199"/>
    </row>
    <row r="48" spans="1:22" s="38" customFormat="1" x14ac:dyDescent="0.25">
      <c r="A48" s="78" t="s">
        <v>22</v>
      </c>
      <c r="B48" s="338" t="str">
        <f t="shared" ref="B48:B60" si="4">IF(L48,K48&amp;L48,"")</f>
        <v>I20</v>
      </c>
      <c r="C48" s="98" t="s">
        <v>62</v>
      </c>
      <c r="D48" s="79" t="s">
        <v>22</v>
      </c>
      <c r="E48" s="79" t="s">
        <v>24</v>
      </c>
      <c r="F48" s="90">
        <v>-500</v>
      </c>
      <c r="G48" s="90">
        <v>-500</v>
      </c>
      <c r="H48" s="90">
        <v>-500</v>
      </c>
      <c r="I48" s="90">
        <v>-500</v>
      </c>
      <c r="J48" s="292" t="s">
        <v>848</v>
      </c>
      <c r="K48" s="28" t="s">
        <v>648</v>
      </c>
      <c r="L48" s="28">
        <f t="shared" ref="L48:L61" si="5">L47+1</f>
        <v>20</v>
      </c>
      <c r="M48" s="199"/>
      <c r="N48" s="199"/>
      <c r="O48" s="199"/>
      <c r="P48" s="199"/>
    </row>
    <row r="49" spans="1:49" s="38" customFormat="1" x14ac:dyDescent="0.25">
      <c r="A49" s="78" t="s">
        <v>22</v>
      </c>
      <c r="B49" s="338" t="str">
        <f t="shared" si="4"/>
        <v>I21</v>
      </c>
      <c r="C49" s="283" t="s">
        <v>64</v>
      </c>
      <c r="D49" s="284" t="s">
        <v>22</v>
      </c>
      <c r="E49" s="284" t="s">
        <v>24</v>
      </c>
      <c r="F49" s="285">
        <v>150000</v>
      </c>
      <c r="G49" s="285">
        <v>150000</v>
      </c>
      <c r="H49" s="285">
        <v>186803</v>
      </c>
      <c r="I49" s="285">
        <v>186803</v>
      </c>
      <c r="J49" s="292" t="s">
        <v>659</v>
      </c>
      <c r="K49" s="28" t="s">
        <v>648</v>
      </c>
      <c r="L49" s="28">
        <f t="shared" si="5"/>
        <v>21</v>
      </c>
      <c r="M49" s="38">
        <v>47663</v>
      </c>
      <c r="N49" s="38">
        <v>42964</v>
      </c>
      <c r="O49" s="38">
        <v>35638</v>
      </c>
      <c r="P49" s="38">
        <v>35638</v>
      </c>
    </row>
    <row r="50" spans="1:49" s="38" customFormat="1" x14ac:dyDescent="0.25">
      <c r="A50" s="78" t="s">
        <v>22</v>
      </c>
      <c r="B50" s="338" t="str">
        <f t="shared" si="4"/>
        <v>I22</v>
      </c>
      <c r="C50" s="98" t="s">
        <v>68</v>
      </c>
      <c r="D50" s="79" t="s">
        <v>22</v>
      </c>
      <c r="E50" s="79" t="s">
        <v>24</v>
      </c>
      <c r="F50" s="90"/>
      <c r="G50" s="90"/>
      <c r="H50" s="90"/>
      <c r="I50" s="90"/>
      <c r="J50" s="292"/>
      <c r="K50" s="28" t="s">
        <v>648</v>
      </c>
      <c r="L50" s="28">
        <f t="shared" si="5"/>
        <v>22</v>
      </c>
      <c r="M50" s="28"/>
      <c r="N50" s="28"/>
      <c r="O50" s="28"/>
      <c r="P50" s="28"/>
    </row>
    <row r="51" spans="1:49" s="38" customFormat="1" x14ac:dyDescent="0.25">
      <c r="A51" s="45" t="s">
        <v>22</v>
      </c>
      <c r="B51" s="338" t="str">
        <f t="shared" si="4"/>
        <v>I23</v>
      </c>
      <c r="C51" s="98" t="s">
        <v>69</v>
      </c>
      <c r="D51" s="79" t="s">
        <v>22</v>
      </c>
      <c r="E51" s="79" t="s">
        <v>24</v>
      </c>
      <c r="F51" s="90">
        <v>270000</v>
      </c>
      <c r="G51" s="90">
        <v>283000</v>
      </c>
      <c r="H51" s="90">
        <v>296000</v>
      </c>
      <c r="I51" s="90">
        <v>309000</v>
      </c>
      <c r="J51" s="292" t="s">
        <v>659</v>
      </c>
      <c r="K51" s="28" t="s">
        <v>648</v>
      </c>
      <c r="L51" s="28">
        <f t="shared" si="5"/>
        <v>23</v>
      </c>
      <c r="M51" s="28"/>
      <c r="N51" s="28"/>
      <c r="O51" s="28"/>
      <c r="P51" s="28"/>
    </row>
    <row r="52" spans="1:49" s="38" customFormat="1" x14ac:dyDescent="0.25">
      <c r="A52" s="45" t="s">
        <v>22</v>
      </c>
      <c r="B52" s="338" t="str">
        <f t="shared" si="4"/>
        <v>I24</v>
      </c>
      <c r="C52" s="98" t="s">
        <v>71</v>
      </c>
      <c r="D52" s="79" t="s">
        <v>22</v>
      </c>
      <c r="E52" s="79" t="s">
        <v>24</v>
      </c>
      <c r="F52" s="90">
        <v>-270000</v>
      </c>
      <c r="G52" s="90">
        <v>-283000</v>
      </c>
      <c r="H52" s="90">
        <v>-296000</v>
      </c>
      <c r="I52" s="90">
        <v>-309000</v>
      </c>
      <c r="J52" s="292" t="s">
        <v>659</v>
      </c>
      <c r="K52" s="28" t="s">
        <v>648</v>
      </c>
      <c r="L52" s="28">
        <f t="shared" si="5"/>
        <v>24</v>
      </c>
      <c r="M52" s="28"/>
      <c r="N52" s="28"/>
      <c r="O52" s="28"/>
      <c r="P52" s="28"/>
    </row>
    <row r="53" spans="1:49" s="38" customFormat="1" x14ac:dyDescent="0.25">
      <c r="A53" s="45" t="s">
        <v>22</v>
      </c>
      <c r="B53" s="338" t="str">
        <f t="shared" si="4"/>
        <v>I25</v>
      </c>
      <c r="C53" s="98" t="s">
        <v>72</v>
      </c>
      <c r="D53" s="79" t="s">
        <v>22</v>
      </c>
      <c r="E53" s="79" t="s">
        <v>24</v>
      </c>
      <c r="F53" s="90">
        <v>-17258</v>
      </c>
      <c r="G53" s="90">
        <v>-18324</v>
      </c>
      <c r="H53" s="90">
        <v>-18345</v>
      </c>
      <c r="I53" s="90">
        <v>-18345</v>
      </c>
      <c r="J53" s="252" t="s">
        <v>1008</v>
      </c>
      <c r="K53" s="28" t="s">
        <v>648</v>
      </c>
      <c r="L53" s="28">
        <f t="shared" si="5"/>
        <v>25</v>
      </c>
      <c r="M53" s="28"/>
      <c r="N53" s="28"/>
      <c r="O53" s="28"/>
      <c r="P53" s="28"/>
    </row>
    <row r="54" spans="1:49" s="38" customFormat="1" x14ac:dyDescent="0.25">
      <c r="A54" s="45" t="s">
        <v>22</v>
      </c>
      <c r="B54" s="338" t="str">
        <f t="shared" si="4"/>
        <v>I26</v>
      </c>
      <c r="C54" s="98" t="s">
        <v>74</v>
      </c>
      <c r="D54" s="79" t="s">
        <v>22</v>
      </c>
      <c r="E54" s="79" t="s">
        <v>24</v>
      </c>
      <c r="F54" s="90">
        <v>-36805</v>
      </c>
      <c r="G54" s="90">
        <v>-40457</v>
      </c>
      <c r="H54" s="90">
        <v>-43433</v>
      </c>
      <c r="I54" s="90">
        <v>-43433</v>
      </c>
      <c r="J54" s="252" t="s">
        <v>1008</v>
      </c>
      <c r="K54" s="28" t="s">
        <v>648</v>
      </c>
      <c r="L54" s="28">
        <f t="shared" si="5"/>
        <v>26</v>
      </c>
      <c r="M54" s="28"/>
      <c r="N54" s="28"/>
      <c r="O54" s="28"/>
      <c r="P54" s="28"/>
    </row>
    <row r="55" spans="1:49" s="38" customFormat="1" x14ac:dyDescent="0.25">
      <c r="A55" s="45" t="s">
        <v>22</v>
      </c>
      <c r="B55" s="338" t="str">
        <f t="shared" si="4"/>
        <v>I27</v>
      </c>
      <c r="C55" s="98" t="s">
        <v>75</v>
      </c>
      <c r="D55" s="79" t="s">
        <v>22</v>
      </c>
      <c r="E55" s="79" t="s">
        <v>24</v>
      </c>
      <c r="F55" s="90">
        <v>328</v>
      </c>
      <c r="G55" s="90">
        <v>348</v>
      </c>
      <c r="H55" s="90">
        <v>169</v>
      </c>
      <c r="I55" s="90">
        <v>169</v>
      </c>
      <c r="J55" s="252" t="s">
        <v>1008</v>
      </c>
      <c r="K55" s="28" t="s">
        <v>648</v>
      </c>
      <c r="L55" s="28">
        <f t="shared" si="5"/>
        <v>27</v>
      </c>
      <c r="M55" s="28"/>
      <c r="N55" s="28"/>
      <c r="O55" s="28"/>
      <c r="P55" s="28"/>
    </row>
    <row r="56" spans="1:49" s="38" customFormat="1" x14ac:dyDescent="0.25">
      <c r="A56" s="78" t="s">
        <v>22</v>
      </c>
      <c r="B56" s="338" t="str">
        <f t="shared" si="4"/>
        <v>I28</v>
      </c>
      <c r="C56" s="98"/>
      <c r="D56" s="79" t="s">
        <v>22</v>
      </c>
      <c r="E56" s="79" t="s">
        <v>24</v>
      </c>
      <c r="F56" s="90"/>
      <c r="G56" s="90"/>
      <c r="H56" s="90"/>
      <c r="I56" s="90"/>
      <c r="J56" s="292"/>
      <c r="K56" s="28" t="s">
        <v>648</v>
      </c>
      <c r="L56" s="28">
        <f t="shared" si="5"/>
        <v>28</v>
      </c>
      <c r="M56" s="28"/>
      <c r="N56" s="28"/>
      <c r="O56" s="28"/>
      <c r="P56" s="28"/>
    </row>
    <row r="57" spans="1:49" s="38" customFormat="1" x14ac:dyDescent="0.25">
      <c r="A57" s="78" t="s">
        <v>22</v>
      </c>
      <c r="B57" s="338" t="str">
        <f t="shared" si="4"/>
        <v>I29</v>
      </c>
      <c r="C57" s="98"/>
      <c r="D57" s="79" t="s">
        <v>22</v>
      </c>
      <c r="E57" s="79" t="s">
        <v>24</v>
      </c>
      <c r="F57" s="90"/>
      <c r="G57" s="90"/>
      <c r="H57" s="90"/>
      <c r="I57" s="90"/>
      <c r="J57" s="292"/>
      <c r="K57" s="28" t="s">
        <v>648</v>
      </c>
      <c r="L57" s="28">
        <f t="shared" si="5"/>
        <v>29</v>
      </c>
      <c r="M57" s="28"/>
      <c r="N57" s="28"/>
      <c r="O57" s="28"/>
      <c r="P57" s="28"/>
    </row>
    <row r="58" spans="1:49" s="38" customFormat="1" x14ac:dyDescent="0.25">
      <c r="A58" s="78" t="s">
        <v>22</v>
      </c>
      <c r="B58" s="338" t="str">
        <f t="shared" si="4"/>
        <v>I30</v>
      </c>
      <c r="C58" s="98"/>
      <c r="D58" s="79" t="s">
        <v>22</v>
      </c>
      <c r="E58" s="79" t="s">
        <v>24</v>
      </c>
      <c r="F58" s="90"/>
      <c r="G58" s="90"/>
      <c r="H58" s="90"/>
      <c r="I58" s="90"/>
      <c r="J58" s="292"/>
      <c r="K58" s="28" t="s">
        <v>648</v>
      </c>
      <c r="L58" s="28">
        <f t="shared" si="5"/>
        <v>30</v>
      </c>
      <c r="M58" s="28"/>
      <c r="N58" s="28"/>
      <c r="O58" s="28"/>
      <c r="P58" s="28"/>
      <c r="AW58" s="95"/>
    </row>
    <row r="59" spans="1:49" s="38" customFormat="1" x14ac:dyDescent="0.25">
      <c r="A59" s="78" t="s">
        <v>22</v>
      </c>
      <c r="B59" s="338" t="str">
        <f t="shared" si="4"/>
        <v>I31</v>
      </c>
      <c r="C59" s="98"/>
      <c r="D59" s="79" t="s">
        <v>22</v>
      </c>
      <c r="E59" s="79" t="s">
        <v>24</v>
      </c>
      <c r="F59" s="90"/>
      <c r="G59" s="90"/>
      <c r="H59" s="90"/>
      <c r="I59" s="90"/>
      <c r="J59" s="292"/>
      <c r="K59" s="28" t="s">
        <v>648</v>
      </c>
      <c r="L59" s="28">
        <f t="shared" si="5"/>
        <v>31</v>
      </c>
      <c r="M59" s="28"/>
      <c r="N59" s="28"/>
      <c r="O59" s="28"/>
      <c r="P59" s="28"/>
    </row>
    <row r="60" spans="1:49" s="38" customFormat="1" x14ac:dyDescent="0.25">
      <c r="A60" s="78" t="s">
        <v>22</v>
      </c>
      <c r="B60" s="338" t="str">
        <f t="shared" si="4"/>
        <v>I32</v>
      </c>
      <c r="C60" s="98"/>
      <c r="D60" s="79" t="s">
        <v>22</v>
      </c>
      <c r="E60" s="79" t="s">
        <v>24</v>
      </c>
      <c r="F60" s="90"/>
      <c r="G60" s="90"/>
      <c r="H60" s="90"/>
      <c r="I60" s="90"/>
      <c r="J60" s="292"/>
      <c r="K60" s="28" t="s">
        <v>648</v>
      </c>
      <c r="L60" s="28">
        <f t="shared" si="5"/>
        <v>32</v>
      </c>
      <c r="M60" s="28"/>
      <c r="N60" s="28"/>
      <c r="O60" s="28"/>
      <c r="P60" s="28"/>
    </row>
    <row r="61" spans="1:49" s="38" customFormat="1" x14ac:dyDescent="0.25">
      <c r="A61" s="244"/>
      <c r="B61" s="244"/>
      <c r="C61" s="245"/>
      <c r="D61" s="214"/>
      <c r="E61" s="111"/>
      <c r="F61" s="110"/>
      <c r="G61" s="110"/>
      <c r="H61" s="110"/>
      <c r="I61" s="110"/>
      <c r="J61" s="39"/>
      <c r="K61" s="28" t="s">
        <v>648</v>
      </c>
      <c r="L61" s="28">
        <f t="shared" si="5"/>
        <v>33</v>
      </c>
      <c r="M61" s="28"/>
      <c r="N61" s="28"/>
      <c r="O61" s="28"/>
      <c r="P61" s="28"/>
    </row>
    <row r="62" spans="1:49" s="38" customFormat="1" x14ac:dyDescent="0.25">
      <c r="A62" s="43"/>
      <c r="B62" s="43"/>
      <c r="C62" s="3" t="s">
        <v>76</v>
      </c>
      <c r="D62" s="63"/>
      <c r="E62" s="63"/>
      <c r="F62" s="9">
        <f>SUMIF($A:$A,"SENT.INNT",F:F)</f>
        <v>-4642102</v>
      </c>
      <c r="G62" s="9">
        <f>SUMIF($A:$A,"SENT.INNT",G:G)</f>
        <v>-4698594</v>
      </c>
      <c r="H62" s="9">
        <f>SUMIF($A:$A,"SENT.INNT",H:H)</f>
        <v>-4721850</v>
      </c>
      <c r="I62" s="9">
        <f>SUMIF($A:$A,"SENT.INNT",I:I)</f>
        <v>-4771950</v>
      </c>
      <c r="J62" s="39"/>
      <c r="K62" s="28"/>
      <c r="L62" s="28"/>
      <c r="M62" s="28"/>
      <c r="N62" s="28"/>
      <c r="O62" s="28"/>
      <c r="P62" s="28"/>
    </row>
    <row r="63" spans="1:49" s="38" customFormat="1" x14ac:dyDescent="0.25">
      <c r="A63" s="46"/>
      <c r="B63" s="46"/>
      <c r="C63" s="3" t="s">
        <v>77</v>
      </c>
      <c r="D63" s="52"/>
      <c r="E63" s="52"/>
      <c r="F63" s="9">
        <f>F4</f>
        <v>4546363</v>
      </c>
      <c r="G63" s="9">
        <f>G4</f>
        <v>4546363</v>
      </c>
      <c r="H63" s="9">
        <f>H4</f>
        <v>4546363</v>
      </c>
      <c r="I63" s="9">
        <f>I4</f>
        <v>4546363</v>
      </c>
      <c r="J63" s="39"/>
      <c r="K63" s="28"/>
      <c r="L63" s="28"/>
      <c r="M63" s="28"/>
      <c r="N63" s="28"/>
      <c r="O63" s="28"/>
      <c r="P63" s="28"/>
    </row>
    <row r="64" spans="1:49" s="38" customFormat="1" x14ac:dyDescent="0.25">
      <c r="A64" s="43"/>
      <c r="B64" s="43"/>
      <c r="C64" s="3" t="s">
        <v>78</v>
      </c>
      <c r="D64" s="52"/>
      <c r="E64" s="52"/>
      <c r="F64" s="9">
        <f>F62+F63</f>
        <v>-95739</v>
      </c>
      <c r="G64" s="9">
        <f>G62+G63</f>
        <v>-152231</v>
      </c>
      <c r="H64" s="9">
        <f>H62+H63</f>
        <v>-175487</v>
      </c>
      <c r="I64" s="9">
        <f>I62+I63</f>
        <v>-225587</v>
      </c>
      <c r="J64" s="39"/>
      <c r="K64" s="28"/>
      <c r="L64" s="28"/>
      <c r="M64" s="28"/>
      <c r="N64" s="28"/>
      <c r="O64" s="28"/>
      <c r="P64" s="28"/>
    </row>
    <row r="65" spans="1:20" s="38" customFormat="1" x14ac:dyDescent="0.25">
      <c r="A65" s="47"/>
      <c r="B65" s="47"/>
      <c r="C65" s="11"/>
      <c r="D65" s="49"/>
      <c r="E65" s="49"/>
      <c r="F65" s="12"/>
      <c r="G65" s="12"/>
      <c r="H65" s="12"/>
      <c r="I65" s="12"/>
      <c r="J65" s="39"/>
      <c r="K65" s="28"/>
      <c r="L65" s="28"/>
      <c r="M65" s="28"/>
      <c r="N65" s="28"/>
      <c r="O65" s="28"/>
      <c r="P65" s="28"/>
    </row>
    <row r="66" spans="1:20" s="1" customFormat="1" x14ac:dyDescent="0.25">
      <c r="A66" s="48"/>
      <c r="B66" s="48"/>
      <c r="C66" s="13" t="s">
        <v>79</v>
      </c>
      <c r="D66" s="50"/>
      <c r="E66" s="50"/>
      <c r="F66" s="14"/>
      <c r="G66" s="14"/>
      <c r="H66" s="14"/>
      <c r="I66" s="14"/>
      <c r="J66" s="39"/>
      <c r="K66" s="38"/>
      <c r="L66" s="38"/>
      <c r="M66" s="29"/>
      <c r="N66" s="29"/>
      <c r="O66" s="29"/>
      <c r="P66" s="29"/>
    </row>
    <row r="67" spans="1:20" s="38" customFormat="1" x14ac:dyDescent="0.25">
      <c r="A67" s="72"/>
      <c r="B67" s="341"/>
      <c r="C67" s="246" t="s">
        <v>80</v>
      </c>
      <c r="D67" s="83"/>
      <c r="E67" s="83"/>
      <c r="F67" s="4">
        <v>2022</v>
      </c>
      <c r="G67" s="4">
        <v>2023</v>
      </c>
      <c r="H67" s="4">
        <f>G67+1</f>
        <v>2024</v>
      </c>
      <c r="I67" s="4">
        <f>H67+1</f>
        <v>2025</v>
      </c>
      <c r="J67" s="39"/>
      <c r="K67" s="337"/>
      <c r="L67" s="337"/>
      <c r="M67" s="99" t="s">
        <v>817</v>
      </c>
      <c r="N67" s="99" t="s">
        <v>818</v>
      </c>
      <c r="O67" s="99" t="s">
        <v>819</v>
      </c>
      <c r="P67" s="28"/>
    </row>
    <row r="68" spans="1:20" s="38" customFormat="1" x14ac:dyDescent="0.25">
      <c r="A68" s="78" t="s">
        <v>81</v>
      </c>
      <c r="B68" s="78" t="str">
        <f t="shared" ref="B68:B89" si="6">IF(L68,K68&amp;L68,"")</f>
        <v>OV1</v>
      </c>
      <c r="C68" s="245" t="s">
        <v>82</v>
      </c>
      <c r="D68" s="72" t="s">
        <v>661</v>
      </c>
      <c r="E68" s="79" t="s">
        <v>84</v>
      </c>
      <c r="F68" s="90">
        <v>6680</v>
      </c>
      <c r="G68" s="90">
        <v>13556</v>
      </c>
      <c r="H68" s="90">
        <v>13921</v>
      </c>
      <c r="I68" s="90">
        <v>13921</v>
      </c>
      <c r="J68" s="402" t="s">
        <v>922</v>
      </c>
      <c r="K68" s="28" t="s">
        <v>663</v>
      </c>
      <c r="L68" s="38">
        <v>1</v>
      </c>
      <c r="M68" s="99" t="str">
        <f t="shared" ref="M68" si="7">IF(E68="VEDTATT","VEDTATT",0)</f>
        <v>VEDTATT</v>
      </c>
      <c r="N68" s="99">
        <f>IF(E68="MÅ","Nye tiltak",0)</f>
        <v>0</v>
      </c>
      <c r="O68" s="99"/>
      <c r="P68" s="28"/>
      <c r="Q68" s="95"/>
      <c r="R68" s="95"/>
      <c r="S68" s="95"/>
      <c r="T68" s="95"/>
    </row>
    <row r="69" spans="1:20" s="38" customFormat="1" x14ac:dyDescent="0.25">
      <c r="A69" s="78" t="s">
        <v>81</v>
      </c>
      <c r="B69" s="78" t="str">
        <f t="shared" si="6"/>
        <v>OV2</v>
      </c>
      <c r="C69" s="245" t="s">
        <v>86</v>
      </c>
      <c r="D69" s="72" t="s">
        <v>661</v>
      </c>
      <c r="E69" s="79" t="s">
        <v>84</v>
      </c>
      <c r="F69" s="90">
        <v>1335</v>
      </c>
      <c r="G69" s="90">
        <v>2710</v>
      </c>
      <c r="H69" s="90">
        <v>2782</v>
      </c>
      <c r="I69" s="90">
        <v>2782</v>
      </c>
      <c r="J69" s="402" t="s">
        <v>922</v>
      </c>
      <c r="K69" s="28" t="s">
        <v>663</v>
      </c>
      <c r="L69" s="38">
        <f>L68+1</f>
        <v>2</v>
      </c>
      <c r="M69" s="99" t="str">
        <f>IF(E69="VEDTATT","VEDTATT",0)</f>
        <v>VEDTATT</v>
      </c>
      <c r="N69" s="99">
        <f>IF(E69="MÅ","Nye tiltak",0)</f>
        <v>0</v>
      </c>
      <c r="O69" s="99"/>
      <c r="P69" s="28"/>
      <c r="R69" s="95"/>
      <c r="S69" s="95"/>
      <c r="T69" s="95"/>
    </row>
    <row r="70" spans="1:20" s="38" customFormat="1" x14ac:dyDescent="0.25">
      <c r="A70" s="78" t="s">
        <v>81</v>
      </c>
      <c r="B70" s="78" t="str">
        <f t="shared" si="6"/>
        <v>OV3</v>
      </c>
      <c r="C70" s="245" t="s">
        <v>88</v>
      </c>
      <c r="D70" s="72" t="s">
        <v>664</v>
      </c>
      <c r="E70" s="79" t="s">
        <v>84</v>
      </c>
      <c r="F70" s="90"/>
      <c r="G70" s="90"/>
      <c r="H70" s="90">
        <v>-852</v>
      </c>
      <c r="I70" s="90">
        <v>-852</v>
      </c>
      <c r="J70" s="403"/>
      <c r="K70" s="28" t="s">
        <v>663</v>
      </c>
      <c r="L70" s="38">
        <f t="shared" ref="L70:L89" si="8">L69+1</f>
        <v>3</v>
      </c>
      <c r="M70" s="99" t="str">
        <f>IF(E70="VEDTATT","VEDTATT",0)</f>
        <v>VEDTATT</v>
      </c>
      <c r="N70" s="99">
        <f>IF(E70="MÅ","Nye tiltak",0)</f>
        <v>0</v>
      </c>
      <c r="O70" s="253"/>
      <c r="P70" s="28"/>
    </row>
    <row r="71" spans="1:20" s="38" customFormat="1" x14ac:dyDescent="0.25">
      <c r="A71" s="78" t="s">
        <v>81</v>
      </c>
      <c r="B71" s="78" t="str">
        <f t="shared" si="6"/>
        <v>OV4</v>
      </c>
      <c r="C71" s="245" t="s">
        <v>670</v>
      </c>
      <c r="D71" s="72" t="s">
        <v>661</v>
      </c>
      <c r="E71" s="79" t="s">
        <v>84</v>
      </c>
      <c r="F71" s="90">
        <v>20900</v>
      </c>
      <c r="G71" s="90">
        <v>26400</v>
      </c>
      <c r="H71" s="90">
        <v>33700</v>
      </c>
      <c r="I71" s="90">
        <v>33700</v>
      </c>
      <c r="J71" s="209" t="s">
        <v>922</v>
      </c>
      <c r="K71" s="28" t="s">
        <v>663</v>
      </c>
      <c r="L71" s="38">
        <f t="shared" si="8"/>
        <v>4</v>
      </c>
      <c r="M71" s="99"/>
      <c r="N71" s="99"/>
      <c r="O71" s="253"/>
      <c r="P71" s="28"/>
    </row>
    <row r="72" spans="1:20" s="38" customFormat="1" x14ac:dyDescent="0.25">
      <c r="A72" s="78" t="s">
        <v>81</v>
      </c>
      <c r="B72" s="78" t="str">
        <f t="shared" si="6"/>
        <v>OV5</v>
      </c>
      <c r="C72" s="245" t="s">
        <v>673</v>
      </c>
      <c r="D72" s="72" t="s">
        <v>661</v>
      </c>
      <c r="E72" s="79" t="s">
        <v>84</v>
      </c>
      <c r="F72" s="90">
        <v>520</v>
      </c>
      <c r="G72" s="90">
        <v>520</v>
      </c>
      <c r="H72" s="90">
        <v>520</v>
      </c>
      <c r="I72" s="90">
        <v>520</v>
      </c>
      <c r="J72" s="209" t="s">
        <v>922</v>
      </c>
      <c r="K72" s="28" t="s">
        <v>663</v>
      </c>
      <c r="L72" s="38">
        <f t="shared" si="8"/>
        <v>5</v>
      </c>
      <c r="M72" s="99"/>
      <c r="N72" s="99"/>
      <c r="O72" s="253"/>
      <c r="P72" s="28"/>
    </row>
    <row r="73" spans="1:20" s="38" customFormat="1" x14ac:dyDescent="0.25">
      <c r="A73" s="78" t="s">
        <v>81</v>
      </c>
      <c r="B73" s="78" t="str">
        <f t="shared" si="6"/>
        <v>OV6</v>
      </c>
      <c r="C73" s="245" t="s">
        <v>665</v>
      </c>
      <c r="D73" s="72" t="s">
        <v>664</v>
      </c>
      <c r="E73" s="79" t="s">
        <v>84</v>
      </c>
      <c r="F73" s="90"/>
      <c r="G73" s="90">
        <v>-2300</v>
      </c>
      <c r="H73" s="90">
        <v>-2300</v>
      </c>
      <c r="I73" s="90">
        <v>-2300</v>
      </c>
      <c r="J73" s="402"/>
      <c r="K73" s="28" t="s">
        <v>663</v>
      </c>
      <c r="L73" s="38">
        <f t="shared" si="8"/>
        <v>6</v>
      </c>
      <c r="M73" s="99"/>
      <c r="N73" s="99"/>
      <c r="O73" s="253"/>
      <c r="P73" s="28"/>
    </row>
    <row r="74" spans="1:20" s="38" customFormat="1" x14ac:dyDescent="0.25">
      <c r="A74" s="78" t="s">
        <v>81</v>
      </c>
      <c r="B74" s="78" t="str">
        <f t="shared" si="6"/>
        <v>OV7</v>
      </c>
      <c r="C74" s="245" t="s">
        <v>668</v>
      </c>
      <c r="D74" s="72" t="s">
        <v>661</v>
      </c>
      <c r="E74" s="79" t="s">
        <v>84</v>
      </c>
      <c r="F74" s="90">
        <v>143</v>
      </c>
      <c r="G74" s="90">
        <v>292</v>
      </c>
      <c r="H74" s="90">
        <v>300</v>
      </c>
      <c r="I74" s="90">
        <v>300</v>
      </c>
      <c r="J74" s="402" t="s">
        <v>922</v>
      </c>
      <c r="K74" s="28" t="s">
        <v>663</v>
      </c>
      <c r="L74" s="38">
        <f t="shared" si="8"/>
        <v>7</v>
      </c>
      <c r="M74" s="99" t="str">
        <f>IF(E74="VEDTATT","VEDTATT",0)</f>
        <v>VEDTATT</v>
      </c>
      <c r="N74" s="99">
        <f>IF(E74="MÅ","Nye tiltak",0)</f>
        <v>0</v>
      </c>
      <c r="O74" s="99"/>
      <c r="P74" s="28"/>
    </row>
    <row r="75" spans="1:20" x14ac:dyDescent="0.25">
      <c r="A75" s="78" t="s">
        <v>81</v>
      </c>
      <c r="B75" s="78" t="str">
        <f t="shared" si="6"/>
        <v>OV8</v>
      </c>
      <c r="C75" s="245" t="s">
        <v>923</v>
      </c>
      <c r="D75" s="72" t="s">
        <v>91</v>
      </c>
      <c r="E75" s="230">
        <v>1</v>
      </c>
      <c r="F75" s="390">
        <v>12258</v>
      </c>
      <c r="G75" s="390">
        <v>12258</v>
      </c>
      <c r="H75" s="110">
        <v>12258</v>
      </c>
      <c r="I75" s="110">
        <v>12258</v>
      </c>
      <c r="J75" s="94" t="s">
        <v>924</v>
      </c>
      <c r="K75" s="28" t="s">
        <v>663</v>
      </c>
      <c r="L75" s="38">
        <f t="shared" si="8"/>
        <v>8</v>
      </c>
    </row>
    <row r="76" spans="1:20" x14ac:dyDescent="0.25">
      <c r="A76" s="78" t="s">
        <v>81</v>
      </c>
      <c r="B76" s="78" t="str">
        <f t="shared" si="6"/>
        <v>OV9</v>
      </c>
      <c r="C76" s="245" t="s">
        <v>851</v>
      </c>
      <c r="D76" s="72" t="s">
        <v>91</v>
      </c>
      <c r="E76" s="230">
        <v>10</v>
      </c>
      <c r="F76" s="390">
        <v>2100</v>
      </c>
      <c r="G76" s="110">
        <v>2100</v>
      </c>
      <c r="H76" s="110">
        <v>2100</v>
      </c>
      <c r="I76" s="110">
        <v>2100</v>
      </c>
      <c r="J76" s="94" t="s">
        <v>852</v>
      </c>
      <c r="K76" s="28" t="s">
        <v>663</v>
      </c>
      <c r="L76" s="38">
        <f t="shared" si="8"/>
        <v>9</v>
      </c>
    </row>
    <row r="77" spans="1:20" x14ac:dyDescent="0.25">
      <c r="A77" s="78" t="s">
        <v>81</v>
      </c>
      <c r="B77" s="78" t="str">
        <f t="shared" si="6"/>
        <v>OV10</v>
      </c>
      <c r="C77" s="245" t="s">
        <v>853</v>
      </c>
      <c r="D77" s="72" t="s">
        <v>91</v>
      </c>
      <c r="E77" s="230"/>
      <c r="J77" s="94" t="s">
        <v>1009</v>
      </c>
      <c r="K77" s="28" t="s">
        <v>663</v>
      </c>
      <c r="L77" s="38">
        <f t="shared" si="8"/>
        <v>10</v>
      </c>
    </row>
    <row r="78" spans="1:20" s="38" customFormat="1" x14ac:dyDescent="0.25">
      <c r="A78" s="78"/>
      <c r="B78" s="78" t="str">
        <f t="shared" si="6"/>
        <v>OV11</v>
      </c>
      <c r="C78" s="245"/>
      <c r="D78" s="79"/>
      <c r="E78" s="79"/>
      <c r="F78" s="90"/>
      <c r="G78" s="90"/>
      <c r="H78" s="90"/>
      <c r="I78" s="90"/>
      <c r="J78" s="402"/>
      <c r="K78" s="28" t="s">
        <v>663</v>
      </c>
      <c r="L78" s="38">
        <f t="shared" si="8"/>
        <v>11</v>
      </c>
      <c r="M78" s="99"/>
      <c r="N78" s="99"/>
      <c r="O78" s="253"/>
      <c r="P78" s="28"/>
    </row>
    <row r="79" spans="1:20" x14ac:dyDescent="0.25">
      <c r="B79" s="78" t="str">
        <f t="shared" si="6"/>
        <v>OV12</v>
      </c>
      <c r="J79" s="94"/>
      <c r="K79" s="28" t="s">
        <v>663</v>
      </c>
      <c r="L79" s="38">
        <f t="shared" si="8"/>
        <v>12</v>
      </c>
    </row>
    <row r="80" spans="1:20" s="38" customFormat="1" x14ac:dyDescent="0.25">
      <c r="A80" s="78"/>
      <c r="B80" s="78" t="str">
        <f t="shared" si="6"/>
        <v>OV13</v>
      </c>
      <c r="C80" s="245"/>
      <c r="D80" s="72"/>
      <c r="E80" s="79"/>
      <c r="F80" s="90"/>
      <c r="G80" s="90"/>
      <c r="H80" s="90"/>
      <c r="I80" s="90"/>
      <c r="J80" s="402"/>
      <c r="K80" s="28" t="s">
        <v>663</v>
      </c>
      <c r="L80" s="38">
        <f t="shared" si="8"/>
        <v>13</v>
      </c>
      <c r="M80" s="99"/>
      <c r="N80" s="99"/>
      <c r="O80" s="253"/>
      <c r="P80" s="28"/>
    </row>
    <row r="81" spans="1:16" s="38" customFormat="1" x14ac:dyDescent="0.25">
      <c r="A81" s="78"/>
      <c r="B81" s="78" t="str">
        <f t="shared" si="6"/>
        <v>OV14</v>
      </c>
      <c r="C81" s="245"/>
      <c r="D81" s="72"/>
      <c r="E81" s="79"/>
      <c r="F81" s="90"/>
      <c r="G81" s="90"/>
      <c r="H81" s="90"/>
      <c r="I81" s="90"/>
      <c r="J81" s="403"/>
      <c r="K81" s="28" t="s">
        <v>663</v>
      </c>
      <c r="L81" s="38">
        <f t="shared" si="8"/>
        <v>14</v>
      </c>
      <c r="M81" s="99">
        <f>IF(E81="VEDTATT","VEDTATT",0)</f>
        <v>0</v>
      </c>
      <c r="N81" s="99">
        <f>IF(E81="MÅ","Nye tiltak",0)</f>
        <v>0</v>
      </c>
      <c r="O81" s="253"/>
      <c r="P81" s="28"/>
    </row>
    <row r="82" spans="1:16" s="38" customFormat="1" x14ac:dyDescent="0.25">
      <c r="A82" s="78"/>
      <c r="B82" s="78" t="str">
        <f t="shared" si="6"/>
        <v>OV15</v>
      </c>
      <c r="C82" s="343"/>
      <c r="D82" s="288"/>
      <c r="E82" s="288"/>
      <c r="F82" s="251"/>
      <c r="G82" s="251"/>
      <c r="H82" s="251"/>
      <c r="I82" s="251"/>
      <c r="J82" s="403"/>
      <c r="K82" s="28" t="s">
        <v>663</v>
      </c>
      <c r="L82" s="38">
        <f t="shared" si="8"/>
        <v>15</v>
      </c>
      <c r="M82" s="99"/>
      <c r="N82" s="99"/>
      <c r="O82" s="253"/>
      <c r="P82" s="28"/>
    </row>
    <row r="83" spans="1:16" s="38" customFormat="1" x14ac:dyDescent="0.25">
      <c r="B83" s="78" t="str">
        <f t="shared" si="6"/>
        <v>OV16</v>
      </c>
      <c r="C83" s="82"/>
      <c r="D83" s="288"/>
      <c r="E83" s="288"/>
      <c r="F83" s="251"/>
      <c r="G83" s="251"/>
      <c r="H83" s="251"/>
      <c r="I83" s="251"/>
      <c r="J83" s="209"/>
      <c r="K83" s="28" t="s">
        <v>663</v>
      </c>
      <c r="L83" s="38">
        <f t="shared" si="8"/>
        <v>16</v>
      </c>
    </row>
    <row r="84" spans="1:16" s="38" customFormat="1" x14ac:dyDescent="0.25">
      <c r="A84" s="78"/>
      <c r="B84" s="78" t="str">
        <f t="shared" si="6"/>
        <v>OV17</v>
      </c>
      <c r="D84" s="247"/>
      <c r="E84" s="247"/>
      <c r="F84" s="74"/>
      <c r="G84" s="74"/>
      <c r="H84" s="74"/>
      <c r="I84" s="74"/>
      <c r="J84" s="209"/>
      <c r="K84" s="28" t="s">
        <v>663</v>
      </c>
      <c r="L84" s="38">
        <f t="shared" si="8"/>
        <v>17</v>
      </c>
      <c r="M84" s="99"/>
      <c r="N84" s="99"/>
      <c r="O84" s="99"/>
    </row>
    <row r="85" spans="1:16" x14ac:dyDescent="0.25">
      <c r="B85" s="78" t="str">
        <f t="shared" si="6"/>
        <v>OV18</v>
      </c>
      <c r="J85" s="94"/>
      <c r="K85" s="28" t="s">
        <v>663</v>
      </c>
      <c r="L85" s="38">
        <f t="shared" si="8"/>
        <v>18</v>
      </c>
    </row>
    <row r="86" spans="1:16" s="38" customFormat="1" x14ac:dyDescent="0.25">
      <c r="A86" s="244"/>
      <c r="B86" s="78" t="str">
        <f t="shared" si="6"/>
        <v>OV19</v>
      </c>
      <c r="C86" s="245"/>
      <c r="D86" s="72"/>
      <c r="E86" s="111"/>
      <c r="F86" s="110"/>
      <c r="G86" s="110"/>
      <c r="H86" s="110"/>
      <c r="I86" s="110"/>
      <c r="J86" s="402"/>
      <c r="K86" s="28" t="s">
        <v>663</v>
      </c>
      <c r="L86" s="38">
        <f t="shared" si="8"/>
        <v>19</v>
      </c>
      <c r="M86" s="99"/>
      <c r="N86" s="99"/>
      <c r="O86" s="99"/>
      <c r="P86" s="28"/>
    </row>
    <row r="87" spans="1:16" s="38" customFormat="1" x14ac:dyDescent="0.25">
      <c r="A87" s="244"/>
      <c r="B87" s="78" t="str">
        <f t="shared" si="6"/>
        <v>OV20</v>
      </c>
      <c r="C87" s="245"/>
      <c r="D87" s="72"/>
      <c r="E87" s="111"/>
      <c r="F87"/>
      <c r="G87"/>
      <c r="H87"/>
      <c r="I87"/>
      <c r="J87" s="209"/>
      <c r="K87" s="28" t="s">
        <v>663</v>
      </c>
      <c r="L87" s="38">
        <f t="shared" si="8"/>
        <v>20</v>
      </c>
      <c r="M87" s="99">
        <f>IF(E87="VEDTATT","VEDTATT",0)</f>
        <v>0</v>
      </c>
      <c r="N87" s="99">
        <f>IF(E87="MÅ","Nye tiltak",0)</f>
        <v>0</v>
      </c>
      <c r="O87" s="99"/>
      <c r="P87" s="28"/>
    </row>
    <row r="88" spans="1:16" s="38" customFormat="1" x14ac:dyDescent="0.25">
      <c r="A88" s="244"/>
      <c r="B88" s="78" t="str">
        <f t="shared" si="6"/>
        <v>OV21</v>
      </c>
      <c r="C88" s="245"/>
      <c r="D88" s="72"/>
      <c r="E88" s="111"/>
      <c r="F88"/>
      <c r="G88"/>
      <c r="H88"/>
      <c r="I88"/>
      <c r="J88" s="209"/>
      <c r="K88" s="28" t="s">
        <v>663</v>
      </c>
      <c r="L88" s="38">
        <f t="shared" si="8"/>
        <v>21</v>
      </c>
      <c r="M88" s="99">
        <f>IF(E88="VEDTATT","VEDTATT",0)</f>
        <v>0</v>
      </c>
      <c r="N88" s="99">
        <f>IF(E88="MÅ","Nye tiltak",0)</f>
        <v>0</v>
      </c>
      <c r="O88" s="99"/>
      <c r="P88" s="28"/>
    </row>
    <row r="89" spans="1:16" s="38" customFormat="1" x14ac:dyDescent="0.25">
      <c r="A89" s="244"/>
      <c r="B89" s="78" t="str">
        <f t="shared" si="6"/>
        <v>OV22</v>
      </c>
      <c r="C89" s="245"/>
      <c r="D89" s="214"/>
      <c r="E89" s="214"/>
      <c r="F89" s="110"/>
      <c r="G89" s="110"/>
      <c r="H89" s="110"/>
      <c r="I89" s="110"/>
      <c r="J89" s="402"/>
      <c r="K89" s="28" t="s">
        <v>663</v>
      </c>
      <c r="L89" s="38">
        <f t="shared" si="8"/>
        <v>22</v>
      </c>
      <c r="M89" s="99"/>
      <c r="N89" s="99"/>
      <c r="O89" s="99"/>
      <c r="P89" s="28"/>
    </row>
    <row r="90" spans="1:16" s="38" customFormat="1" x14ac:dyDescent="0.25">
      <c r="A90" s="48"/>
      <c r="B90" s="48"/>
      <c r="C90" s="13"/>
      <c r="D90" s="50"/>
      <c r="E90" s="50"/>
      <c r="F90" s="58"/>
      <c r="G90" s="58"/>
      <c r="H90" s="58"/>
      <c r="I90" s="58"/>
      <c r="J90" s="209"/>
      <c r="M90" s="99"/>
      <c r="N90" s="99"/>
      <c r="O90" s="99"/>
      <c r="P90" s="28"/>
    </row>
    <row r="91" spans="1:16" s="1" customFormat="1" x14ac:dyDescent="0.25">
      <c r="A91" s="44"/>
      <c r="B91" s="44"/>
      <c r="C91" s="16" t="s">
        <v>112</v>
      </c>
      <c r="D91" s="50"/>
      <c r="E91" s="50"/>
      <c r="F91" s="4">
        <f>F67</f>
        <v>2022</v>
      </c>
      <c r="G91" s="4">
        <f>F91+1</f>
        <v>2023</v>
      </c>
      <c r="H91" s="4">
        <f>G91+1</f>
        <v>2024</v>
      </c>
      <c r="I91" s="4">
        <f>H91+1</f>
        <v>2025</v>
      </c>
      <c r="J91" s="209"/>
      <c r="K91" s="337"/>
      <c r="L91" s="337"/>
      <c r="M91" s="99"/>
      <c r="N91" s="99"/>
      <c r="O91" s="99"/>
      <c r="P91" s="29"/>
    </row>
    <row r="92" spans="1:16" s="38" customFormat="1" x14ac:dyDescent="0.25">
      <c r="A92" s="78" t="s">
        <v>81</v>
      </c>
      <c r="B92" s="78" t="str">
        <f t="shared" ref="B92:B102" si="9">IF(L92,K92&amp;L92,"")</f>
        <v>OV23</v>
      </c>
      <c r="C92" s="245" t="s">
        <v>675</v>
      </c>
      <c r="D92" s="72" t="s">
        <v>664</v>
      </c>
      <c r="E92" s="79" t="s">
        <v>84</v>
      </c>
      <c r="F92" s="418"/>
      <c r="G92" s="418"/>
      <c r="H92" s="418">
        <f>I92/12*5</f>
        <v>6666.6666666666661</v>
      </c>
      <c r="I92" s="418">
        <v>16000</v>
      </c>
      <c r="J92" s="257" t="s">
        <v>925</v>
      </c>
      <c r="K92" s="28" t="s">
        <v>663</v>
      </c>
      <c r="L92" s="28">
        <f>L89+1</f>
        <v>23</v>
      </c>
      <c r="M92" s="99" t="str">
        <f>IF(E92="VEDTATT","VEDTATT",0)</f>
        <v>VEDTATT</v>
      </c>
      <c r="N92" s="99">
        <f>IF(E92="MÅ","Nye tiltak",0)</f>
        <v>0</v>
      </c>
      <c r="O92" s="99"/>
      <c r="P92" s="28"/>
    </row>
    <row r="93" spans="1:16" s="38" customFormat="1" x14ac:dyDescent="0.25">
      <c r="A93" s="78" t="s">
        <v>81</v>
      </c>
      <c r="B93" s="78" t="str">
        <f t="shared" si="9"/>
        <v>OV24</v>
      </c>
      <c r="C93" s="245" t="s">
        <v>677</v>
      </c>
      <c r="D93" s="72" t="s">
        <v>664</v>
      </c>
      <c r="E93" s="79" t="s">
        <v>84</v>
      </c>
      <c r="F93" s="418"/>
      <c r="G93" s="418"/>
      <c r="H93" s="418">
        <f>I93/12*5</f>
        <v>-1332.0833333333335</v>
      </c>
      <c r="I93" s="418">
        <v>-3197</v>
      </c>
      <c r="J93" s="257" t="s">
        <v>926</v>
      </c>
      <c r="K93" s="28" t="s">
        <v>663</v>
      </c>
      <c r="L93" s="28">
        <f t="shared" ref="L93:L101" si="10">L92+1</f>
        <v>24</v>
      </c>
      <c r="M93" s="99" t="str">
        <f>IF(E93="VEDTATT","VEDTATT",0)</f>
        <v>VEDTATT</v>
      </c>
      <c r="N93" s="99">
        <f>IF(E93="MÅ","Nye tiltak",0)</f>
        <v>0</v>
      </c>
      <c r="O93" s="99"/>
      <c r="P93" s="28"/>
    </row>
    <row r="94" spans="1:16" s="38" customFormat="1" x14ac:dyDescent="0.25">
      <c r="A94" s="78" t="s">
        <v>81</v>
      </c>
      <c r="B94" s="78" t="str">
        <f t="shared" si="9"/>
        <v>OV25</v>
      </c>
      <c r="C94" s="245" t="s">
        <v>679</v>
      </c>
      <c r="D94" s="72" t="s">
        <v>664</v>
      </c>
      <c r="E94" s="79" t="s">
        <v>84</v>
      </c>
      <c r="F94" s="74">
        <v>-5390</v>
      </c>
      <c r="G94" s="74">
        <v>-5390</v>
      </c>
      <c r="H94" s="74">
        <v>-5390</v>
      </c>
      <c r="I94" s="74">
        <v>-5390</v>
      </c>
      <c r="J94" s="342"/>
      <c r="K94" s="28" t="s">
        <v>663</v>
      </c>
      <c r="L94" s="28">
        <f t="shared" si="10"/>
        <v>25</v>
      </c>
      <c r="M94" s="99" t="str">
        <f>IF(E94="VEDTATT","VEDTATT",0)</f>
        <v>VEDTATT</v>
      </c>
      <c r="N94" s="99">
        <f>IF(E94="MÅ","Nye tiltak",0)</f>
        <v>0</v>
      </c>
      <c r="O94" s="99"/>
      <c r="P94" s="28"/>
    </row>
    <row r="95" spans="1:16" s="38" customFormat="1" x14ac:dyDescent="0.25">
      <c r="A95" s="78" t="s">
        <v>81</v>
      </c>
      <c r="B95" s="78" t="str">
        <f t="shared" si="9"/>
        <v>OV26</v>
      </c>
      <c r="C95" s="245" t="s">
        <v>855</v>
      </c>
      <c r="D95" s="72" t="s">
        <v>664</v>
      </c>
      <c r="E95" s="79" t="s">
        <v>84</v>
      </c>
      <c r="F95" s="90"/>
      <c r="G95" s="90"/>
      <c r="H95" s="90"/>
      <c r="I95" s="90"/>
      <c r="J95" s="209"/>
      <c r="K95" s="28" t="s">
        <v>663</v>
      </c>
      <c r="L95" s="28">
        <f t="shared" si="10"/>
        <v>26</v>
      </c>
      <c r="M95" s="99" t="str">
        <f>IF(E95="VEDTATT","VEDTATT",0)</f>
        <v>VEDTATT</v>
      </c>
      <c r="N95" s="99">
        <f>IF(E95="MÅ","Nye tiltak",0)</f>
        <v>0</v>
      </c>
      <c r="O95" s="99"/>
      <c r="P95" s="28"/>
    </row>
    <row r="96" spans="1:16" s="38" customFormat="1" x14ac:dyDescent="0.25">
      <c r="A96" s="78" t="s">
        <v>81</v>
      </c>
      <c r="B96" s="78" t="str">
        <f t="shared" si="9"/>
        <v>OV27</v>
      </c>
      <c r="C96" s="245" t="s">
        <v>113</v>
      </c>
      <c r="D96" s="79" t="s">
        <v>661</v>
      </c>
      <c r="E96" s="79" t="s">
        <v>84</v>
      </c>
      <c r="F96" s="413">
        <v>19000</v>
      </c>
      <c r="G96" s="413">
        <v>19000</v>
      </c>
      <c r="H96" s="413">
        <v>19000</v>
      </c>
      <c r="I96" s="413">
        <v>19000</v>
      </c>
      <c r="J96" s="257" t="s">
        <v>927</v>
      </c>
      <c r="K96" s="28" t="s">
        <v>663</v>
      </c>
      <c r="L96" s="28">
        <f t="shared" si="10"/>
        <v>27</v>
      </c>
      <c r="M96" s="99"/>
      <c r="N96" s="99"/>
      <c r="O96" s="99"/>
      <c r="P96" s="28"/>
    </row>
    <row r="97" spans="1:21" s="38" customFormat="1" x14ac:dyDescent="0.25">
      <c r="A97" s="78" t="s">
        <v>81</v>
      </c>
      <c r="B97" s="78" t="str">
        <f t="shared" si="9"/>
        <v>OV28</v>
      </c>
      <c r="C97" s="343"/>
      <c r="D97" s="288"/>
      <c r="E97" s="288"/>
      <c r="F97" s="251"/>
      <c r="G97" s="251"/>
      <c r="H97" s="251"/>
      <c r="I97" s="251"/>
      <c r="J97" s="342"/>
      <c r="K97" s="28" t="s">
        <v>663</v>
      </c>
      <c r="L97" s="28">
        <f t="shared" si="10"/>
        <v>28</v>
      </c>
      <c r="M97" s="99"/>
      <c r="N97" s="99"/>
      <c r="O97" s="99"/>
      <c r="P97" s="28"/>
    </row>
    <row r="98" spans="1:21" s="38" customFormat="1" x14ac:dyDescent="0.25">
      <c r="A98" s="78" t="s">
        <v>81</v>
      </c>
      <c r="B98" s="78" t="str">
        <f t="shared" si="9"/>
        <v>OV29</v>
      </c>
      <c r="C98" s="343"/>
      <c r="D98" s="288"/>
      <c r="E98" s="288"/>
      <c r="F98" s="251"/>
      <c r="G98" s="251"/>
      <c r="H98" s="251"/>
      <c r="I98" s="251"/>
      <c r="J98" s="342"/>
      <c r="K98" s="28" t="s">
        <v>663</v>
      </c>
      <c r="L98" s="28">
        <f t="shared" si="10"/>
        <v>29</v>
      </c>
      <c r="M98" s="99"/>
      <c r="N98" s="99"/>
      <c r="O98" s="99"/>
      <c r="P98" s="28"/>
    </row>
    <row r="99" spans="1:21" s="38" customFormat="1" x14ac:dyDescent="0.25">
      <c r="A99" s="78" t="s">
        <v>81</v>
      </c>
      <c r="B99" s="78" t="str">
        <f t="shared" si="9"/>
        <v>OV30</v>
      </c>
      <c r="C99" s="343"/>
      <c r="D99" s="288"/>
      <c r="E99" s="288"/>
      <c r="F99" s="251"/>
      <c r="G99" s="251"/>
      <c r="H99" s="251"/>
      <c r="I99" s="251"/>
      <c r="J99" s="342"/>
      <c r="K99" s="28" t="s">
        <v>663</v>
      </c>
      <c r="L99" s="28">
        <f t="shared" si="10"/>
        <v>30</v>
      </c>
      <c r="M99" s="99"/>
      <c r="N99" s="99"/>
      <c r="O99" s="99"/>
      <c r="P99" s="28"/>
    </row>
    <row r="100" spans="1:21" s="38" customFormat="1" x14ac:dyDescent="0.25">
      <c r="A100" s="78" t="s">
        <v>81</v>
      </c>
      <c r="B100" s="78" t="str">
        <f t="shared" si="9"/>
        <v>OV31</v>
      </c>
      <c r="C100" s="343"/>
      <c r="D100" s="288"/>
      <c r="E100" s="288"/>
      <c r="F100" s="251"/>
      <c r="G100" s="251"/>
      <c r="H100" s="251"/>
      <c r="I100" s="251"/>
      <c r="J100" s="342"/>
      <c r="K100" s="28" t="s">
        <v>663</v>
      </c>
      <c r="L100" s="28">
        <f t="shared" si="10"/>
        <v>31</v>
      </c>
      <c r="M100" s="99"/>
      <c r="N100" s="99"/>
      <c r="O100" s="99"/>
      <c r="P100" s="28"/>
    </row>
    <row r="101" spans="1:21" s="38" customFormat="1" x14ac:dyDescent="0.25">
      <c r="A101" s="78" t="s">
        <v>81</v>
      </c>
      <c r="B101" s="78" t="str">
        <f t="shared" si="9"/>
        <v>OV32</v>
      </c>
      <c r="C101" s="343"/>
      <c r="D101" s="350"/>
      <c r="E101" s="350"/>
      <c r="F101" s="251"/>
      <c r="G101" s="251"/>
      <c r="H101" s="251"/>
      <c r="I101" s="251"/>
      <c r="J101" s="93"/>
      <c r="K101" s="28" t="s">
        <v>663</v>
      </c>
      <c r="L101" s="28">
        <f t="shared" si="10"/>
        <v>32</v>
      </c>
      <c r="M101" s="99">
        <f>IF(E101="VEDTATT","VEDTATT",0)</f>
        <v>0</v>
      </c>
      <c r="N101" s="99">
        <f>IF(E101="MÅ","Nye tiltak",0)</f>
        <v>0</v>
      </c>
      <c r="O101" s="99"/>
      <c r="P101" s="28"/>
    </row>
    <row r="102" spans="1:21" s="38" customFormat="1" x14ac:dyDescent="0.25">
      <c r="A102" s="78"/>
      <c r="B102" s="78" t="str">
        <f t="shared" si="9"/>
        <v/>
      </c>
      <c r="C102" s="245"/>
      <c r="J102" s="93"/>
      <c r="K102" s="28" t="s">
        <v>663</v>
      </c>
      <c r="L102" s="28"/>
      <c r="M102" s="99">
        <f>IF(E102="VEDTATT","VEDTATT",0)</f>
        <v>0</v>
      </c>
      <c r="N102" s="99">
        <f>IF(E102="MÅ","Nye tiltak",0)</f>
        <v>0</v>
      </c>
      <c r="O102" s="99"/>
      <c r="P102" s="28"/>
    </row>
    <row r="103" spans="1:21" s="38" customFormat="1" x14ac:dyDescent="0.25">
      <c r="A103" s="78"/>
      <c r="B103" s="78"/>
      <c r="C103" s="82" t="s">
        <v>117</v>
      </c>
      <c r="D103" s="96"/>
      <c r="E103" s="71"/>
      <c r="F103" s="4">
        <f>F91</f>
        <v>2022</v>
      </c>
      <c r="G103" s="4">
        <f>F103+1</f>
        <v>2023</v>
      </c>
      <c r="H103" s="4">
        <f>G103+1</f>
        <v>2024</v>
      </c>
      <c r="I103" s="4">
        <f>H103+1</f>
        <v>2025</v>
      </c>
      <c r="J103" s="209"/>
      <c r="K103" s="337"/>
      <c r="L103" s="337"/>
      <c r="M103" s="99"/>
      <c r="N103" s="99"/>
      <c r="O103" s="99"/>
      <c r="P103" s="28"/>
      <c r="Q103" s="2"/>
      <c r="R103" s="2"/>
      <c r="S103" s="2"/>
      <c r="T103" s="2"/>
      <c r="U103" s="2"/>
    </row>
    <row r="104" spans="1:21" s="38" customFormat="1" x14ac:dyDescent="0.25">
      <c r="A104" s="78" t="s">
        <v>81</v>
      </c>
      <c r="B104" s="78" t="str">
        <f t="shared" ref="B104:B125" si="11">IF(L104,K104&amp;L104,"")</f>
        <v>OV33</v>
      </c>
      <c r="C104" s="245" t="s">
        <v>822</v>
      </c>
      <c r="D104" s="72" t="s">
        <v>664</v>
      </c>
      <c r="E104" s="111" t="s">
        <v>84</v>
      </c>
      <c r="F104" s="74">
        <v>0</v>
      </c>
      <c r="G104" s="74">
        <v>990</v>
      </c>
      <c r="H104" s="74">
        <v>990</v>
      </c>
      <c r="I104" s="74">
        <v>990</v>
      </c>
      <c r="J104" s="209"/>
      <c r="K104" s="28" t="s">
        <v>663</v>
      </c>
      <c r="L104" s="28">
        <f>L101+1</f>
        <v>33</v>
      </c>
      <c r="M104" s="99" t="str">
        <f>IF(E104="VEDTATT","VEDTATT",0)</f>
        <v>VEDTATT</v>
      </c>
      <c r="N104" s="99">
        <f>IF(E104="MÅ","Nye tiltak",0)</f>
        <v>0</v>
      </c>
      <c r="O104" s="99"/>
      <c r="P104" s="28"/>
    </row>
    <row r="105" spans="1:21" s="38" customFormat="1" x14ac:dyDescent="0.25">
      <c r="A105" s="78" t="s">
        <v>81</v>
      </c>
      <c r="B105" s="78" t="str">
        <f t="shared" si="11"/>
        <v>OV34</v>
      </c>
      <c r="C105" s="245" t="s">
        <v>695</v>
      </c>
      <c r="D105" s="72" t="s">
        <v>661</v>
      </c>
      <c r="E105" s="79" t="s">
        <v>84</v>
      </c>
      <c r="F105" s="90">
        <v>1357</v>
      </c>
      <c r="G105" s="90">
        <v>1357</v>
      </c>
      <c r="H105" s="90">
        <v>1357</v>
      </c>
      <c r="I105" s="90">
        <v>1357</v>
      </c>
      <c r="J105" s="209"/>
      <c r="K105" s="28" t="s">
        <v>663</v>
      </c>
      <c r="L105" s="28">
        <f t="shared" ref="L105:L122" si="12">L104+1</f>
        <v>34</v>
      </c>
      <c r="M105" s="99" t="str">
        <f>IF(E105="VEDTATT","VEDTATT",0)</f>
        <v>VEDTATT</v>
      </c>
      <c r="N105" s="99">
        <f>IF(E105="MÅ","Nye tiltak",0)</f>
        <v>0</v>
      </c>
      <c r="O105" s="99"/>
      <c r="P105" s="28"/>
    </row>
    <row r="106" spans="1:21" s="38" customFormat="1" ht="25.5" x14ac:dyDescent="0.25">
      <c r="A106" s="78" t="s">
        <v>81</v>
      </c>
      <c r="B106" s="78" t="str">
        <f t="shared" si="11"/>
        <v>OV35</v>
      </c>
      <c r="C106" s="245" t="s">
        <v>697</v>
      </c>
      <c r="D106" s="72" t="s">
        <v>661</v>
      </c>
      <c r="E106" s="111" t="s">
        <v>84</v>
      </c>
      <c r="F106" s="90">
        <v>1160</v>
      </c>
      <c r="G106" s="90">
        <v>1160</v>
      </c>
      <c r="H106" s="90">
        <v>1160</v>
      </c>
      <c r="I106" s="90">
        <v>1160</v>
      </c>
      <c r="J106" s="209"/>
      <c r="K106" s="28" t="s">
        <v>663</v>
      </c>
      <c r="L106" s="28">
        <f t="shared" si="12"/>
        <v>35</v>
      </c>
      <c r="M106" s="99" t="str">
        <f>IF(E106="VEDTATT","VEDTATT",0)</f>
        <v>VEDTATT</v>
      </c>
      <c r="N106" s="99">
        <f>IF(E106="MÅ","Nye tiltak",0)</f>
        <v>0</v>
      </c>
      <c r="O106" s="99"/>
      <c r="P106" s="28"/>
    </row>
    <row r="107" spans="1:21" s="38" customFormat="1" x14ac:dyDescent="0.25">
      <c r="A107" s="78" t="s">
        <v>81</v>
      </c>
      <c r="B107" s="78" t="str">
        <f t="shared" si="11"/>
        <v>OV36</v>
      </c>
      <c r="C107" s="245" t="s">
        <v>857</v>
      </c>
      <c r="D107" s="72" t="s">
        <v>664</v>
      </c>
      <c r="E107" s="71" t="s">
        <v>84</v>
      </c>
      <c r="F107" s="191"/>
      <c r="G107" s="191">
        <v>-3040</v>
      </c>
      <c r="H107" s="191">
        <v>-3040</v>
      </c>
      <c r="I107" s="191">
        <v>-3040</v>
      </c>
      <c r="J107" s="209" t="s">
        <v>687</v>
      </c>
      <c r="K107" s="28" t="s">
        <v>663</v>
      </c>
      <c r="L107" s="28">
        <f t="shared" si="12"/>
        <v>36</v>
      </c>
      <c r="M107" s="99" t="str">
        <f>IF(E108="VEDTATT","VEDTATT",0)</f>
        <v>VEDTATT</v>
      </c>
      <c r="N107" s="99">
        <f>IF(E108="MÅ","Nye tiltak",0)</f>
        <v>0</v>
      </c>
      <c r="O107" s="99"/>
      <c r="P107" s="28"/>
    </row>
    <row r="108" spans="1:21" s="38" customFormat="1" x14ac:dyDescent="0.25">
      <c r="A108" s="78" t="s">
        <v>81</v>
      </c>
      <c r="B108" s="78" t="str">
        <f t="shared" si="11"/>
        <v>OV37</v>
      </c>
      <c r="C108" s="245" t="s">
        <v>824</v>
      </c>
      <c r="D108" s="72" t="s">
        <v>661</v>
      </c>
      <c r="E108" s="71" t="s">
        <v>84</v>
      </c>
      <c r="F108" s="191"/>
      <c r="G108" s="191"/>
      <c r="H108" s="191"/>
      <c r="I108" s="191"/>
      <c r="J108" s="209"/>
      <c r="K108" s="28" t="s">
        <v>663</v>
      </c>
      <c r="L108" s="28">
        <f t="shared" si="12"/>
        <v>37</v>
      </c>
      <c r="M108" s="99" t="str">
        <f>IF(E109="VEDTATT","VEDTATT",0)</f>
        <v>VEDTATT</v>
      </c>
      <c r="N108" s="99">
        <f>IF(E109="MÅ","Nye tiltak",0)</f>
        <v>0</v>
      </c>
      <c r="O108" s="99"/>
      <c r="P108" s="28"/>
    </row>
    <row r="109" spans="1:21" s="38" customFormat="1" x14ac:dyDescent="0.25">
      <c r="A109" s="78" t="s">
        <v>81</v>
      </c>
      <c r="B109" s="78" t="str">
        <f t="shared" si="11"/>
        <v>OV38</v>
      </c>
      <c r="C109" s="245" t="s">
        <v>826</v>
      </c>
      <c r="D109" s="394" t="s">
        <v>661</v>
      </c>
      <c r="E109" s="395" t="s">
        <v>84</v>
      </c>
      <c r="F109" s="397"/>
      <c r="G109" s="397"/>
      <c r="H109" s="397"/>
      <c r="I109" s="397"/>
      <c r="J109" s="209"/>
      <c r="K109" s="28" t="s">
        <v>663</v>
      </c>
      <c r="L109" s="28">
        <f t="shared" si="12"/>
        <v>38</v>
      </c>
      <c r="M109" s="99"/>
      <c r="N109" s="99"/>
      <c r="O109" s="99"/>
      <c r="P109" s="28"/>
    </row>
    <row r="110" spans="1:21" s="38" customFormat="1" x14ac:dyDescent="0.25">
      <c r="A110" s="78" t="s">
        <v>81</v>
      </c>
      <c r="B110" s="78" t="str">
        <f t="shared" ref="B110:B112" si="13">IF(L110,K110&amp;L110,"")</f>
        <v>OV39</v>
      </c>
      <c r="C110" s="245" t="s">
        <v>928</v>
      </c>
      <c r="D110" s="394" t="s">
        <v>91</v>
      </c>
      <c r="E110" s="401">
        <v>1</v>
      </c>
      <c r="F110" s="397">
        <v>1500</v>
      </c>
      <c r="G110" s="397">
        <f t="shared" ref="G110:I110" si="14">F110</f>
        <v>1500</v>
      </c>
      <c r="H110" s="397">
        <f t="shared" si="14"/>
        <v>1500</v>
      </c>
      <c r="I110" s="397">
        <f t="shared" si="14"/>
        <v>1500</v>
      </c>
      <c r="J110" s="422">
        <v>7</v>
      </c>
      <c r="K110" s="28" t="s">
        <v>663</v>
      </c>
      <c r="L110" s="28">
        <f>L109+1</f>
        <v>39</v>
      </c>
      <c r="M110" s="99"/>
      <c r="N110" s="99"/>
      <c r="O110" s="99"/>
      <c r="P110" s="28"/>
    </row>
    <row r="111" spans="1:21" s="38" customFormat="1" x14ac:dyDescent="0.25">
      <c r="A111" s="78" t="s">
        <v>81</v>
      </c>
      <c r="B111" s="78" t="str">
        <f t="shared" si="13"/>
        <v>OV40</v>
      </c>
      <c r="C111" s="245" t="s">
        <v>930</v>
      </c>
      <c r="D111" s="394" t="s">
        <v>91</v>
      </c>
      <c r="E111" s="401">
        <v>2</v>
      </c>
      <c r="F111" s="397">
        <v>1500</v>
      </c>
      <c r="G111" s="397">
        <f t="shared" ref="G111:I111" si="15">F111</f>
        <v>1500</v>
      </c>
      <c r="H111" s="397">
        <f t="shared" si="15"/>
        <v>1500</v>
      </c>
      <c r="I111" s="397">
        <f t="shared" si="15"/>
        <v>1500</v>
      </c>
      <c r="J111" s="422">
        <v>6</v>
      </c>
      <c r="K111" s="28" t="s">
        <v>663</v>
      </c>
      <c r="L111" s="28">
        <f t="shared" si="12"/>
        <v>40</v>
      </c>
      <c r="M111" s="99"/>
      <c r="N111" s="99"/>
      <c r="O111" s="99"/>
      <c r="P111" s="28"/>
    </row>
    <row r="112" spans="1:21" s="38" customFormat="1" x14ac:dyDescent="0.25">
      <c r="A112" s="78" t="s">
        <v>81</v>
      </c>
      <c r="B112" s="78" t="str">
        <f t="shared" si="13"/>
        <v>OV41</v>
      </c>
      <c r="C112" s="245" t="s">
        <v>827</v>
      </c>
      <c r="D112" s="394" t="s">
        <v>91</v>
      </c>
      <c r="E112" s="401" t="s">
        <v>24</v>
      </c>
      <c r="F112" s="397">
        <v>1800</v>
      </c>
      <c r="G112" s="397">
        <f>F112</f>
        <v>1800</v>
      </c>
      <c r="H112" s="397">
        <f t="shared" ref="H112:I112" si="16">G112</f>
        <v>1800</v>
      </c>
      <c r="I112" s="397">
        <f t="shared" si="16"/>
        <v>1800</v>
      </c>
      <c r="J112" s="422">
        <v>3</v>
      </c>
      <c r="K112" s="28" t="s">
        <v>663</v>
      </c>
      <c r="L112" s="28">
        <f t="shared" si="12"/>
        <v>41</v>
      </c>
      <c r="M112" s="99"/>
      <c r="N112" s="99"/>
      <c r="O112" s="99"/>
      <c r="P112" s="28"/>
    </row>
    <row r="113" spans="1:16" s="38" customFormat="1" x14ac:dyDescent="0.25">
      <c r="A113" s="78" t="s">
        <v>81</v>
      </c>
      <c r="B113" s="78" t="str">
        <f t="shared" si="11"/>
        <v>OV42</v>
      </c>
      <c r="C113" s="245" t="s">
        <v>828</v>
      </c>
      <c r="D113" s="394" t="s">
        <v>91</v>
      </c>
      <c r="E113" s="401" t="s">
        <v>24</v>
      </c>
      <c r="F113" s="397">
        <v>8000</v>
      </c>
      <c r="G113" s="397">
        <f t="shared" ref="G113:I113" si="17">F113</f>
        <v>8000</v>
      </c>
      <c r="H113" s="397">
        <f t="shared" si="17"/>
        <v>8000</v>
      </c>
      <c r="I113" s="397">
        <f t="shared" si="17"/>
        <v>8000</v>
      </c>
      <c r="J113" s="422">
        <v>2</v>
      </c>
      <c r="K113" s="28" t="s">
        <v>663</v>
      </c>
      <c r="L113" s="28">
        <f t="shared" si="12"/>
        <v>42</v>
      </c>
      <c r="M113" s="99"/>
      <c r="N113" s="99"/>
      <c r="O113" s="99"/>
      <c r="P113" s="28"/>
    </row>
    <row r="114" spans="1:16" s="38" customFormat="1" x14ac:dyDescent="0.25">
      <c r="A114" s="78" t="s">
        <v>81</v>
      </c>
      <c r="B114" s="78" t="str">
        <f t="shared" si="11"/>
        <v>OV43</v>
      </c>
      <c r="C114" s="245" t="s">
        <v>829</v>
      </c>
      <c r="D114" s="394" t="s">
        <v>91</v>
      </c>
      <c r="E114" s="401" t="s">
        <v>24</v>
      </c>
      <c r="F114" s="397">
        <v>34000</v>
      </c>
      <c r="G114" s="397">
        <f t="shared" ref="G114:I117" si="18">F114</f>
        <v>34000</v>
      </c>
      <c r="H114" s="397">
        <f t="shared" si="18"/>
        <v>34000</v>
      </c>
      <c r="I114" s="397">
        <f t="shared" si="18"/>
        <v>34000</v>
      </c>
      <c r="J114" s="422">
        <v>1</v>
      </c>
      <c r="K114" s="28" t="s">
        <v>663</v>
      </c>
      <c r="L114" s="28">
        <f t="shared" si="12"/>
        <v>43</v>
      </c>
      <c r="M114" s="99"/>
      <c r="N114" s="99"/>
      <c r="O114" s="99"/>
      <c r="P114" s="28"/>
    </row>
    <row r="115" spans="1:16" s="38" customFormat="1" x14ac:dyDescent="0.25">
      <c r="A115" s="78" t="s">
        <v>81</v>
      </c>
      <c r="B115" s="78" t="str">
        <f t="shared" ref="B115:B116" si="19">IF(L115,K115&amp;L115,"")</f>
        <v>OV44</v>
      </c>
      <c r="C115" s="245" t="s">
        <v>931</v>
      </c>
      <c r="D115" s="394" t="s">
        <v>91</v>
      </c>
      <c r="E115" s="401">
        <v>3</v>
      </c>
      <c r="F115" s="397">
        <v>2300</v>
      </c>
      <c r="G115" s="397">
        <f t="shared" ref="G115:I115" si="20">F115</f>
        <v>2300</v>
      </c>
      <c r="H115" s="397">
        <f t="shared" si="20"/>
        <v>2300</v>
      </c>
      <c r="I115" s="397">
        <f t="shared" si="20"/>
        <v>2300</v>
      </c>
      <c r="J115" s="422">
        <v>5</v>
      </c>
      <c r="K115" s="28" t="s">
        <v>663</v>
      </c>
      <c r="L115" s="28">
        <f t="shared" si="12"/>
        <v>44</v>
      </c>
      <c r="M115" s="99"/>
      <c r="N115" s="99"/>
      <c r="O115" s="99"/>
      <c r="P115" s="28"/>
    </row>
    <row r="116" spans="1:16" s="38" customFormat="1" x14ac:dyDescent="0.25">
      <c r="A116" s="78" t="s">
        <v>81</v>
      </c>
      <c r="B116" s="78" t="str">
        <f t="shared" si="19"/>
        <v>OV45</v>
      </c>
      <c r="C116" s="245" t="s">
        <v>933</v>
      </c>
      <c r="D116" s="394" t="s">
        <v>91</v>
      </c>
      <c r="E116" s="401">
        <v>4</v>
      </c>
      <c r="F116" s="397">
        <v>3800</v>
      </c>
      <c r="G116" s="397">
        <f t="shared" ref="G116:I116" si="21">F116</f>
        <v>3800</v>
      </c>
      <c r="H116" s="397">
        <f t="shared" si="21"/>
        <v>3800</v>
      </c>
      <c r="I116" s="397">
        <f t="shared" si="21"/>
        <v>3800</v>
      </c>
      <c r="J116" s="422">
        <v>4</v>
      </c>
      <c r="K116" s="28" t="s">
        <v>663</v>
      </c>
      <c r="L116" s="28">
        <f t="shared" si="12"/>
        <v>45</v>
      </c>
      <c r="M116" s="99"/>
      <c r="N116" s="99"/>
      <c r="O116" s="99"/>
      <c r="P116" s="28"/>
    </row>
    <row r="117" spans="1:16" s="38" customFormat="1" x14ac:dyDescent="0.25">
      <c r="A117" s="78" t="s">
        <v>81</v>
      </c>
      <c r="B117" s="78" t="str">
        <f t="shared" si="11"/>
        <v>OV46</v>
      </c>
      <c r="C117" s="245" t="s">
        <v>830</v>
      </c>
      <c r="D117" s="394" t="s">
        <v>91</v>
      </c>
      <c r="E117" s="401">
        <v>5</v>
      </c>
      <c r="F117" s="397">
        <v>1900</v>
      </c>
      <c r="G117" s="397">
        <f t="shared" si="18"/>
        <v>1900</v>
      </c>
      <c r="H117" s="397">
        <f t="shared" si="18"/>
        <v>1900</v>
      </c>
      <c r="I117" s="397">
        <f t="shared" si="18"/>
        <v>1900</v>
      </c>
      <c r="J117" s="422">
        <v>8</v>
      </c>
      <c r="K117" s="28" t="s">
        <v>663</v>
      </c>
      <c r="L117" s="28">
        <f t="shared" si="12"/>
        <v>46</v>
      </c>
      <c r="M117" s="99"/>
      <c r="N117" s="99"/>
      <c r="O117" s="99"/>
      <c r="P117" s="28"/>
    </row>
    <row r="118" spans="1:16" s="38" customFormat="1" ht="25.5" x14ac:dyDescent="0.25">
      <c r="A118" s="78" t="s">
        <v>81</v>
      </c>
      <c r="B118" s="78" t="str">
        <f t="shared" ref="B118" si="22">IF(L118,K118&amp;L118,"")</f>
        <v>OV47</v>
      </c>
      <c r="C118" s="245" t="s">
        <v>935</v>
      </c>
      <c r="D118" s="394" t="s">
        <v>91</v>
      </c>
      <c r="E118" s="401">
        <v>8</v>
      </c>
      <c r="F118" s="397"/>
      <c r="G118" s="397">
        <f t="shared" ref="G118:I118" si="23">F118</f>
        <v>0</v>
      </c>
      <c r="H118" s="397">
        <f t="shared" si="23"/>
        <v>0</v>
      </c>
      <c r="I118" s="397">
        <f t="shared" si="23"/>
        <v>0</v>
      </c>
      <c r="J118" s="422">
        <v>9</v>
      </c>
      <c r="K118" s="28" t="s">
        <v>663</v>
      </c>
      <c r="L118" s="28">
        <f t="shared" si="12"/>
        <v>47</v>
      </c>
      <c r="M118" s="99"/>
      <c r="N118" s="99"/>
      <c r="O118" s="99"/>
      <c r="P118" s="28"/>
    </row>
    <row r="119" spans="1:16" s="38" customFormat="1" x14ac:dyDescent="0.25">
      <c r="A119" s="78" t="s">
        <v>81</v>
      </c>
      <c r="B119" s="78" t="str">
        <f t="shared" ref="B119:B121" si="24">IF(L119,K119&amp;L119,"")</f>
        <v>OV48</v>
      </c>
      <c r="C119" s="245" t="s">
        <v>1010</v>
      </c>
      <c r="D119" s="394" t="s">
        <v>91</v>
      </c>
      <c r="E119" s="111" t="s">
        <v>488</v>
      </c>
      <c r="F119" s="397">
        <v>600</v>
      </c>
      <c r="G119" s="397">
        <f t="shared" ref="G119:I119" si="25">F119</f>
        <v>600</v>
      </c>
      <c r="H119" s="397">
        <f t="shared" si="25"/>
        <v>600</v>
      </c>
      <c r="I119" s="397">
        <f t="shared" si="25"/>
        <v>600</v>
      </c>
      <c r="J119" s="422"/>
      <c r="K119" s="28" t="s">
        <v>663</v>
      </c>
      <c r="L119" s="28">
        <f t="shared" si="12"/>
        <v>48</v>
      </c>
      <c r="M119" s="99"/>
      <c r="N119" s="99"/>
      <c r="O119" s="99"/>
      <c r="P119" s="28"/>
    </row>
    <row r="120" spans="1:16" s="38" customFormat="1" x14ac:dyDescent="0.25">
      <c r="A120" s="78" t="s">
        <v>81</v>
      </c>
      <c r="B120" s="78" t="str">
        <f>IF(L120,K120&amp;L120,"")</f>
        <v>OV49</v>
      </c>
      <c r="C120" s="245" t="s">
        <v>858</v>
      </c>
      <c r="D120" s="394" t="s">
        <v>91</v>
      </c>
      <c r="E120" s="401" t="s">
        <v>24</v>
      </c>
      <c r="F120" s="397">
        <v>950</v>
      </c>
      <c r="G120" s="397">
        <f t="shared" ref="G120:I121" si="26">F120</f>
        <v>950</v>
      </c>
      <c r="H120" s="397">
        <f t="shared" si="26"/>
        <v>950</v>
      </c>
      <c r="I120" s="397">
        <f t="shared" si="26"/>
        <v>950</v>
      </c>
      <c r="J120" s="422">
        <v>10</v>
      </c>
      <c r="K120" s="28" t="s">
        <v>663</v>
      </c>
      <c r="L120" s="28">
        <f>L119+1</f>
        <v>49</v>
      </c>
      <c r="M120" s="99"/>
      <c r="N120" s="99"/>
      <c r="O120" s="99"/>
      <c r="P120" s="28"/>
    </row>
    <row r="121" spans="1:16" s="38" customFormat="1" x14ac:dyDescent="0.25">
      <c r="A121" s="78" t="s">
        <v>81</v>
      </c>
      <c r="B121" s="78" t="str">
        <f t="shared" si="24"/>
        <v>OV50</v>
      </c>
      <c r="C121" s="245" t="s">
        <v>1011</v>
      </c>
      <c r="D121" s="394" t="s">
        <v>91</v>
      </c>
      <c r="E121" s="395" t="s">
        <v>488</v>
      </c>
      <c r="F121" s="397"/>
      <c r="G121" s="397">
        <f t="shared" si="26"/>
        <v>0</v>
      </c>
      <c r="H121" s="397">
        <f t="shared" si="26"/>
        <v>0</v>
      </c>
      <c r="I121" s="397">
        <f t="shared" si="26"/>
        <v>0</v>
      </c>
      <c r="J121" s="209"/>
      <c r="K121" s="28" t="s">
        <v>663</v>
      </c>
      <c r="L121" s="28">
        <f>L120+1</f>
        <v>50</v>
      </c>
      <c r="M121" s="99"/>
      <c r="N121" s="99"/>
      <c r="O121" s="99"/>
      <c r="P121" s="28"/>
    </row>
    <row r="122" spans="1:16" s="38" customFormat="1" x14ac:dyDescent="0.25">
      <c r="A122" s="78" t="s">
        <v>81</v>
      </c>
      <c r="B122" s="78" t="str">
        <f t="shared" si="11"/>
        <v>OV51</v>
      </c>
      <c r="C122" s="396" t="s">
        <v>1012</v>
      </c>
      <c r="D122" s="394" t="s">
        <v>91</v>
      </c>
      <c r="E122" s="401" t="s">
        <v>24</v>
      </c>
      <c r="F122" s="397">
        <v>550</v>
      </c>
      <c r="G122" s="397">
        <f>F122</f>
        <v>550</v>
      </c>
      <c r="H122" s="397">
        <f t="shared" ref="H122:I122" si="27">G122</f>
        <v>550</v>
      </c>
      <c r="I122" s="397">
        <f t="shared" si="27"/>
        <v>550</v>
      </c>
      <c r="J122" s="257" t="s">
        <v>1013</v>
      </c>
      <c r="K122" s="28" t="s">
        <v>663</v>
      </c>
      <c r="L122" s="28">
        <f t="shared" si="12"/>
        <v>51</v>
      </c>
      <c r="M122" s="99"/>
      <c r="N122" s="99"/>
      <c r="O122" s="99"/>
      <c r="P122" s="28"/>
    </row>
    <row r="123" spans="1:16" s="38" customFormat="1" x14ac:dyDescent="0.25">
      <c r="A123" s="78" t="s">
        <v>81</v>
      </c>
      <c r="B123" s="78" t="str">
        <f>IF(L123,K123&amp;L123,"")</f>
        <v>OV52</v>
      </c>
      <c r="C123" s="396" t="s">
        <v>936</v>
      </c>
      <c r="D123" s="111" t="s">
        <v>91</v>
      </c>
      <c r="E123" s="400">
        <v>6</v>
      </c>
      <c r="F123" s="390">
        <v>770</v>
      </c>
      <c r="G123" s="390">
        <v>770</v>
      </c>
      <c r="H123" s="390">
        <v>770</v>
      </c>
      <c r="I123" s="390">
        <v>770</v>
      </c>
      <c r="J123" s="404"/>
      <c r="K123" s="28" t="s">
        <v>663</v>
      </c>
      <c r="L123" s="28">
        <f t="shared" ref="L123:L129" si="28">L122+1</f>
        <v>52</v>
      </c>
      <c r="M123" s="99"/>
      <c r="N123" s="99"/>
      <c r="O123" s="99"/>
      <c r="P123" s="28"/>
    </row>
    <row r="124" spans="1:16" s="38" customFormat="1" x14ac:dyDescent="0.25">
      <c r="A124" s="78" t="s">
        <v>81</v>
      </c>
      <c r="B124" s="78" t="str">
        <f>IF(L124,K124&amp;L124,"")</f>
        <v>OV53</v>
      </c>
      <c r="C124" s="396" t="s">
        <v>1014</v>
      </c>
      <c r="D124" s="394" t="s">
        <v>91</v>
      </c>
      <c r="E124" s="111" t="s">
        <v>488</v>
      </c>
      <c r="F124" s="390">
        <v>20</v>
      </c>
      <c r="G124" s="390">
        <v>20</v>
      </c>
      <c r="H124" s="390">
        <v>20</v>
      </c>
      <c r="I124" s="390">
        <v>20</v>
      </c>
      <c r="J124" s="209" t="s">
        <v>1015</v>
      </c>
      <c r="K124" s="28" t="s">
        <v>663</v>
      </c>
      <c r="L124" s="28">
        <f t="shared" si="28"/>
        <v>53</v>
      </c>
      <c r="M124" s="99"/>
      <c r="N124" s="99"/>
      <c r="O124" s="99"/>
      <c r="P124" s="28"/>
    </row>
    <row r="125" spans="1:16" s="38" customFormat="1" x14ac:dyDescent="0.25">
      <c r="A125" s="78" t="s">
        <v>81</v>
      </c>
      <c r="B125" s="78" t="str">
        <f t="shared" si="11"/>
        <v>OV54</v>
      </c>
      <c r="C125" s="396" t="s">
        <v>1016</v>
      </c>
      <c r="D125" s="394" t="s">
        <v>91</v>
      </c>
      <c r="E125" s="400">
        <v>7</v>
      </c>
      <c r="F125" s="397">
        <v>2840</v>
      </c>
      <c r="G125" s="397">
        <v>3672</v>
      </c>
      <c r="H125" s="397">
        <v>3672</v>
      </c>
      <c r="I125" s="397">
        <v>3672</v>
      </c>
      <c r="J125" s="209" t="s">
        <v>1017</v>
      </c>
      <c r="K125" s="28" t="s">
        <v>663</v>
      </c>
      <c r="L125" s="28">
        <f t="shared" si="28"/>
        <v>54</v>
      </c>
      <c r="M125" s="99"/>
      <c r="N125" s="99"/>
      <c r="O125" s="99"/>
      <c r="P125" s="28"/>
    </row>
    <row r="126" spans="1:16" s="38" customFormat="1" x14ac:dyDescent="0.25">
      <c r="A126" s="244" t="s">
        <v>81</v>
      </c>
      <c r="B126" s="78" t="s">
        <v>1018</v>
      </c>
      <c r="C126" s="396" t="s">
        <v>1019</v>
      </c>
      <c r="D126" s="394" t="s">
        <v>91</v>
      </c>
      <c r="E126" s="400" t="s">
        <v>488</v>
      </c>
      <c r="F126" s="397">
        <v>100</v>
      </c>
      <c r="G126" s="397">
        <v>100</v>
      </c>
      <c r="H126" s="397">
        <v>100</v>
      </c>
      <c r="I126" s="397">
        <v>100</v>
      </c>
      <c r="J126" s="209"/>
      <c r="K126" s="28" t="s">
        <v>663</v>
      </c>
      <c r="L126" s="28">
        <f t="shared" si="28"/>
        <v>55</v>
      </c>
      <c r="M126" s="99"/>
      <c r="N126" s="99"/>
      <c r="O126" s="99"/>
      <c r="P126" s="28"/>
    </row>
    <row r="127" spans="1:16" s="38" customFormat="1" x14ac:dyDescent="0.25">
      <c r="A127" s="244" t="s">
        <v>81</v>
      </c>
      <c r="B127" s="78" t="s">
        <v>1020</v>
      </c>
      <c r="C127" s="396" t="s">
        <v>1021</v>
      </c>
      <c r="D127" s="111" t="s">
        <v>91</v>
      </c>
      <c r="E127" s="400" t="s">
        <v>488</v>
      </c>
      <c r="F127" s="397">
        <v>175</v>
      </c>
      <c r="G127" s="397">
        <v>175</v>
      </c>
      <c r="H127" s="397">
        <v>175</v>
      </c>
      <c r="I127" s="397">
        <v>175</v>
      </c>
      <c r="J127" s="209"/>
      <c r="K127" s="28" t="s">
        <v>663</v>
      </c>
      <c r="L127" s="28">
        <f t="shared" si="28"/>
        <v>56</v>
      </c>
      <c r="M127" s="99"/>
      <c r="N127" s="99"/>
      <c r="O127" s="99"/>
      <c r="P127" s="28"/>
    </row>
    <row r="128" spans="1:16" s="38" customFormat="1" x14ac:dyDescent="0.25">
      <c r="A128" s="244" t="s">
        <v>81</v>
      </c>
      <c r="B128" s="78" t="s">
        <v>1022</v>
      </c>
      <c r="C128" s="396" t="s">
        <v>1023</v>
      </c>
      <c r="D128" s="394" t="s">
        <v>91</v>
      </c>
      <c r="E128" s="400" t="s">
        <v>488</v>
      </c>
      <c r="F128" s="397">
        <v>220</v>
      </c>
      <c r="J128" s="209"/>
      <c r="K128" s="28" t="s">
        <v>663</v>
      </c>
      <c r="L128" s="28">
        <f t="shared" si="28"/>
        <v>57</v>
      </c>
      <c r="M128" s="99"/>
      <c r="N128" s="99"/>
      <c r="O128" s="99"/>
      <c r="P128" s="28"/>
    </row>
    <row r="129" spans="1:16" s="38" customFormat="1" x14ac:dyDescent="0.25">
      <c r="A129" s="244" t="s">
        <v>81</v>
      </c>
      <c r="B129" s="78" t="s">
        <v>1022</v>
      </c>
      <c r="C129" s="396" t="s">
        <v>118</v>
      </c>
      <c r="D129" s="394" t="s">
        <v>91</v>
      </c>
      <c r="E129" s="111" t="s">
        <v>24</v>
      </c>
      <c r="F129" s="397">
        <v>5500</v>
      </c>
      <c r="G129" s="397">
        <v>5500</v>
      </c>
      <c r="J129" s="209"/>
      <c r="K129" s="28" t="s">
        <v>663</v>
      </c>
      <c r="L129" s="28">
        <f t="shared" si="28"/>
        <v>58</v>
      </c>
      <c r="M129" s="99"/>
      <c r="N129" s="99"/>
      <c r="O129" s="99"/>
      <c r="P129" s="28"/>
    </row>
    <row r="130" spans="1:16" s="38" customFormat="1" x14ac:dyDescent="0.25">
      <c r="A130" s="244"/>
      <c r="B130" s="244"/>
      <c r="C130" s="396"/>
      <c r="J130" s="209"/>
      <c r="K130" s="28"/>
      <c r="L130" s="28"/>
      <c r="M130" s="99"/>
      <c r="N130" s="99"/>
      <c r="O130" s="99"/>
      <c r="P130" s="28"/>
    </row>
    <row r="131" spans="1:16" s="38" customFormat="1" x14ac:dyDescent="0.25">
      <c r="A131" s="244"/>
      <c r="B131" s="244"/>
      <c r="C131" s="396"/>
      <c r="J131" s="209"/>
      <c r="K131" s="28"/>
      <c r="L131" s="28"/>
      <c r="M131" s="99"/>
      <c r="N131" s="99"/>
      <c r="O131" s="99"/>
      <c r="P131" s="28"/>
    </row>
    <row r="132" spans="1:16" s="38" customFormat="1" x14ac:dyDescent="0.25">
      <c r="A132" s="244"/>
      <c r="B132" s="244"/>
      <c r="C132" s="396"/>
      <c r="J132" s="209"/>
      <c r="K132" s="28"/>
      <c r="L132" s="28"/>
      <c r="M132" s="99"/>
      <c r="N132" s="99"/>
      <c r="O132" s="99"/>
      <c r="P132" s="28"/>
    </row>
    <row r="133" spans="1:16" s="38" customFormat="1" x14ac:dyDescent="0.25">
      <c r="A133" s="244"/>
      <c r="B133" s="244"/>
      <c r="C133" s="396"/>
      <c r="J133" s="209"/>
      <c r="K133" s="28"/>
      <c r="L133" s="28"/>
      <c r="M133" s="99"/>
      <c r="N133" s="99"/>
      <c r="O133" s="99"/>
      <c r="P133" s="28"/>
    </row>
    <row r="134" spans="1:16" s="38" customFormat="1" x14ac:dyDescent="0.25">
      <c r="A134" s="43"/>
      <c r="B134" s="43" t="s">
        <v>127</v>
      </c>
      <c r="C134" s="3" t="s">
        <v>701</v>
      </c>
      <c r="D134" s="52"/>
      <c r="E134" s="52"/>
      <c r="F134" s="56">
        <f>SUMIF($A:$A,"OPP",F:F)</f>
        <v>126588</v>
      </c>
      <c r="G134" s="56">
        <f>SUMIF($A:$A,"OPP",G:G)</f>
        <v>136750</v>
      </c>
      <c r="H134" s="56">
        <f>SUMIF($A:$A,"OPP",H:H)</f>
        <v>143477.58333333334</v>
      </c>
      <c r="I134" s="56">
        <f>SUMIF($A:$A,"OPP",I:I)</f>
        <v>150946</v>
      </c>
      <c r="J134" s="209"/>
      <c r="K134" s="337"/>
      <c r="L134" s="337"/>
      <c r="M134" s="99"/>
      <c r="N134" s="99"/>
      <c r="O134" s="99"/>
      <c r="P134" s="28"/>
    </row>
    <row r="135" spans="1:16" s="38" customFormat="1" x14ac:dyDescent="0.25">
      <c r="A135" s="47"/>
      <c r="B135" s="47"/>
      <c r="C135" s="11"/>
      <c r="D135" s="49"/>
      <c r="E135" s="49"/>
      <c r="F135" s="57"/>
      <c r="G135" s="57"/>
      <c r="H135" s="57"/>
      <c r="I135" s="57"/>
      <c r="J135" s="209"/>
      <c r="K135" s="28"/>
      <c r="L135" s="28"/>
      <c r="M135" s="99"/>
      <c r="N135" s="99"/>
      <c r="O135" s="99"/>
      <c r="P135" s="28"/>
    </row>
    <row r="136" spans="1:16" s="38" customFormat="1" x14ac:dyDescent="0.25">
      <c r="A136" s="48"/>
      <c r="B136" s="48"/>
      <c r="C136" s="13" t="s">
        <v>129</v>
      </c>
      <c r="D136" s="50"/>
      <c r="E136" s="61"/>
      <c r="F136" s="58"/>
      <c r="G136" s="58"/>
      <c r="H136" s="58"/>
      <c r="I136" s="58"/>
      <c r="J136" s="209"/>
      <c r="M136" s="99"/>
      <c r="N136" s="99"/>
      <c r="O136" s="99"/>
      <c r="P136" s="28"/>
    </row>
    <row r="137" spans="1:16" s="38" customFormat="1" x14ac:dyDescent="0.25">
      <c r="A137" s="78"/>
      <c r="B137" s="78" t="str">
        <f t="shared" ref="B137:B147" si="29">IF(L137,K137&amp;L137,"")</f>
        <v/>
      </c>
      <c r="C137" s="82" t="s">
        <v>130</v>
      </c>
      <c r="D137" s="72"/>
      <c r="E137" s="71"/>
      <c r="F137" s="4">
        <f>F103</f>
        <v>2022</v>
      </c>
      <c r="G137" s="4">
        <f>F137+1</f>
        <v>2023</v>
      </c>
      <c r="H137" s="4">
        <f>G137+1</f>
        <v>2024</v>
      </c>
      <c r="I137" s="4">
        <f>H137+1</f>
        <v>2025</v>
      </c>
      <c r="J137" s="209"/>
      <c r="K137" s="337"/>
      <c r="L137" s="337"/>
      <c r="M137" s="99"/>
      <c r="N137" s="99"/>
      <c r="O137" s="99"/>
      <c r="P137" s="28"/>
    </row>
    <row r="138" spans="1:16" s="38" customFormat="1" x14ac:dyDescent="0.25">
      <c r="A138" s="78" t="s">
        <v>131</v>
      </c>
      <c r="B138" s="78" t="str">
        <f t="shared" si="29"/>
        <v>H1</v>
      </c>
      <c r="C138" s="245" t="s">
        <v>702</v>
      </c>
      <c r="D138" s="72" t="s">
        <v>664</v>
      </c>
      <c r="E138" s="71" t="s">
        <v>84</v>
      </c>
      <c r="F138" s="74">
        <v>5000</v>
      </c>
      <c r="G138" s="74">
        <v>5000</v>
      </c>
      <c r="H138" s="74">
        <v>5000</v>
      </c>
      <c r="I138" s="70">
        <v>5000</v>
      </c>
      <c r="J138" s="209"/>
      <c r="K138" s="28" t="s">
        <v>703</v>
      </c>
      <c r="L138" s="28">
        <v>1</v>
      </c>
      <c r="M138" s="99" t="str">
        <f>IF(E138="VEDTATT","VEDTATT",0)</f>
        <v>VEDTATT</v>
      </c>
      <c r="N138" s="99">
        <f>IF(E138="MÅ","Nye tiltak",0)</f>
        <v>0</v>
      </c>
      <c r="O138" s="99"/>
      <c r="P138" s="28"/>
    </row>
    <row r="139" spans="1:16" s="38" customFormat="1" x14ac:dyDescent="0.25">
      <c r="A139" s="78" t="s">
        <v>131</v>
      </c>
      <c r="B139" s="78" t="str">
        <f t="shared" si="29"/>
        <v>H2</v>
      </c>
      <c r="C139" s="245" t="s">
        <v>330</v>
      </c>
      <c r="D139" s="72" t="s">
        <v>664</v>
      </c>
      <c r="E139" s="71" t="s">
        <v>84</v>
      </c>
      <c r="F139" s="74"/>
      <c r="G139" s="74"/>
      <c r="H139" s="74">
        <v>1000</v>
      </c>
      <c r="I139" s="74">
        <v>10000</v>
      </c>
      <c r="J139" s="209"/>
      <c r="K139" s="28" t="s">
        <v>703</v>
      </c>
      <c r="L139" s="28">
        <f>L138+1</f>
        <v>2</v>
      </c>
      <c r="M139" s="99" t="str">
        <f>IF(E139="VEDTATT","VEDTATT",0)</f>
        <v>VEDTATT</v>
      </c>
      <c r="N139" s="99">
        <f>IF(E139="MÅ","Nye tiltak",0)</f>
        <v>0</v>
      </c>
      <c r="O139" s="99"/>
      <c r="P139" s="28"/>
    </row>
    <row r="140" spans="1:16" s="38" customFormat="1" x14ac:dyDescent="0.25">
      <c r="A140" s="78" t="s">
        <v>131</v>
      </c>
      <c r="B140" s="78" t="str">
        <f>IF(L140,K140&amp;L140,"")</f>
        <v>H3</v>
      </c>
      <c r="C140" s="245" t="s">
        <v>940</v>
      </c>
      <c r="D140" s="72" t="s">
        <v>91</v>
      </c>
      <c r="E140" s="231">
        <v>2</v>
      </c>
      <c r="F140" s="74">
        <v>1600</v>
      </c>
      <c r="G140" s="74">
        <v>1600</v>
      </c>
      <c r="H140" s="74">
        <v>1600</v>
      </c>
      <c r="I140" s="74">
        <v>1600</v>
      </c>
      <c r="J140" s="209">
        <v>7</v>
      </c>
      <c r="K140" s="28" t="s">
        <v>703</v>
      </c>
      <c r="L140" s="28">
        <f>L139+1</f>
        <v>3</v>
      </c>
      <c r="M140" s="99"/>
      <c r="N140" s="99"/>
      <c r="O140" s="99"/>
      <c r="P140" s="28"/>
    </row>
    <row r="141" spans="1:16" s="38" customFormat="1" x14ac:dyDescent="0.25">
      <c r="A141" s="78" t="s">
        <v>131</v>
      </c>
      <c r="B141" s="78" t="str">
        <f>IF(L141,K141&amp;L141,"")</f>
        <v>H4</v>
      </c>
      <c r="C141" s="245" t="s">
        <v>941</v>
      </c>
      <c r="D141" s="72" t="s">
        <v>91</v>
      </c>
      <c r="E141" s="231">
        <v>6</v>
      </c>
      <c r="F141" s="74">
        <f>2700+300</f>
        <v>3000</v>
      </c>
      <c r="G141" s="74">
        <f>3700+300</f>
        <v>4000</v>
      </c>
      <c r="H141" s="74">
        <f>4700+300</f>
        <v>5000</v>
      </c>
      <c r="I141" s="74">
        <f>H141</f>
        <v>5000</v>
      </c>
      <c r="J141" s="209">
        <v>8</v>
      </c>
      <c r="K141" s="28" t="s">
        <v>703</v>
      </c>
      <c r="L141" s="28">
        <f>L140+1</f>
        <v>4</v>
      </c>
      <c r="M141" s="99"/>
      <c r="N141" s="99"/>
      <c r="O141" s="99"/>
      <c r="P141" s="28"/>
    </row>
    <row r="142" spans="1:16" s="38" customFormat="1" x14ac:dyDescent="0.25">
      <c r="A142" s="78" t="s">
        <v>131</v>
      </c>
      <c r="B142" s="78" t="str">
        <f t="shared" si="29"/>
        <v>H5</v>
      </c>
      <c r="C142" s="245" t="s">
        <v>420</v>
      </c>
      <c r="D142" s="72" t="s">
        <v>664</v>
      </c>
      <c r="E142" s="71" t="s">
        <v>84</v>
      </c>
      <c r="F142" s="90">
        <v>900</v>
      </c>
      <c r="G142" s="90">
        <v>1800</v>
      </c>
      <c r="H142" s="90">
        <v>1800</v>
      </c>
      <c r="I142" s="90">
        <v>1800</v>
      </c>
      <c r="J142" s="209"/>
      <c r="K142" s="28" t="s">
        <v>703</v>
      </c>
      <c r="L142" s="28">
        <f>L141+1</f>
        <v>5</v>
      </c>
      <c r="M142" s="99" t="str">
        <f>IF(E142="VEDTATT","VEDTATT",0)</f>
        <v>VEDTATT</v>
      </c>
      <c r="N142" s="99">
        <f>IF(E142="MÅ","Nye tiltak",0)</f>
        <v>0</v>
      </c>
      <c r="O142" s="99"/>
      <c r="P142" s="28"/>
    </row>
    <row r="143" spans="1:16" s="38" customFormat="1" x14ac:dyDescent="0.25">
      <c r="A143" s="78"/>
      <c r="B143" s="78" t="str">
        <f t="shared" si="29"/>
        <v/>
      </c>
      <c r="C143" s="82" t="s">
        <v>136</v>
      </c>
      <c r="D143" s="72"/>
      <c r="E143" s="71"/>
      <c r="F143" s="4">
        <f>F137</f>
        <v>2022</v>
      </c>
      <c r="G143" s="4">
        <f>F143+1</f>
        <v>2023</v>
      </c>
      <c r="H143" s="4">
        <f>G143+1</f>
        <v>2024</v>
      </c>
      <c r="I143" s="4">
        <f>H143+1</f>
        <v>2025</v>
      </c>
      <c r="J143" s="209"/>
      <c r="K143" s="337"/>
      <c r="L143" s="337"/>
      <c r="M143" s="99"/>
      <c r="N143" s="99"/>
      <c r="O143" s="99"/>
      <c r="P143" s="28"/>
    </row>
    <row r="144" spans="1:16" s="38" customFormat="1" x14ac:dyDescent="0.25">
      <c r="A144" s="78" t="s">
        <v>131</v>
      </c>
      <c r="B144" s="78" t="str">
        <f t="shared" si="29"/>
        <v>H6</v>
      </c>
      <c r="C144" s="245" t="s">
        <v>137</v>
      </c>
      <c r="D144" s="72" t="s">
        <v>664</v>
      </c>
      <c r="E144" s="71" t="s">
        <v>84</v>
      </c>
      <c r="F144" s="70">
        <v>2500</v>
      </c>
      <c r="G144" s="70">
        <v>5000</v>
      </c>
      <c r="H144" s="70">
        <v>7500</v>
      </c>
      <c r="I144" s="70">
        <v>10000</v>
      </c>
      <c r="J144" s="209"/>
      <c r="K144" s="28" t="s">
        <v>703</v>
      </c>
      <c r="L144" s="28">
        <f>L142+1</f>
        <v>6</v>
      </c>
      <c r="M144" s="99" t="str">
        <f>IF(E144="VEDTATT","VEDTATT",0)</f>
        <v>VEDTATT</v>
      </c>
      <c r="N144" s="99">
        <f>IF(E144="MÅ","Nye tiltak",0)</f>
        <v>0</v>
      </c>
      <c r="O144" s="99"/>
      <c r="P144" s="28"/>
    </row>
    <row r="145" spans="1:17" s="38" customFormat="1" x14ac:dyDescent="0.25">
      <c r="A145" s="78" t="s">
        <v>131</v>
      </c>
      <c r="B145" s="78" t="str">
        <f t="shared" si="29"/>
        <v>H7</v>
      </c>
      <c r="C145" s="245" t="s">
        <v>705</v>
      </c>
      <c r="D145" s="72" t="s">
        <v>664</v>
      </c>
      <c r="E145" s="71" t="s">
        <v>84</v>
      </c>
      <c r="F145" s="217">
        <v>10000</v>
      </c>
      <c r="G145" s="217">
        <v>20000</v>
      </c>
      <c r="H145" s="217">
        <v>20000</v>
      </c>
      <c r="I145" s="217">
        <v>20000</v>
      </c>
      <c r="J145" s="209"/>
      <c r="K145" s="28" t="s">
        <v>703</v>
      </c>
      <c r="L145" s="28">
        <f>L144+1</f>
        <v>7</v>
      </c>
      <c r="M145" s="99" t="str">
        <f>IF(E145="VEDTATT","VEDTATT",0)</f>
        <v>VEDTATT</v>
      </c>
      <c r="N145" s="99">
        <f>IF(E145="MÅ","Nye tiltak",0)</f>
        <v>0</v>
      </c>
      <c r="O145" s="99"/>
      <c r="P145" s="28"/>
    </row>
    <row r="146" spans="1:17" s="38" customFormat="1" x14ac:dyDescent="0.25">
      <c r="A146" s="78" t="s">
        <v>131</v>
      </c>
      <c r="B146" s="78" t="str">
        <f>IF(L146,K146&amp;L146,"")</f>
        <v>H8</v>
      </c>
      <c r="C146" s="245" t="s">
        <v>1024</v>
      </c>
      <c r="D146" s="72" t="s">
        <v>91</v>
      </c>
      <c r="E146" s="231" t="s">
        <v>488</v>
      </c>
      <c r="F146" s="217">
        <v>7200</v>
      </c>
      <c r="G146" s="398"/>
      <c r="H146" s="398"/>
      <c r="I146" s="398"/>
      <c r="J146" s="257" t="s">
        <v>1025</v>
      </c>
      <c r="K146" s="28" t="s">
        <v>703</v>
      </c>
      <c r="L146" s="28">
        <f>L145+1</f>
        <v>8</v>
      </c>
      <c r="M146" s="99"/>
      <c r="N146" s="99"/>
      <c r="O146" s="99"/>
      <c r="P146" s="28"/>
    </row>
    <row r="147" spans="1:17" s="38" customFormat="1" x14ac:dyDescent="0.25">
      <c r="A147" s="78" t="s">
        <v>131</v>
      </c>
      <c r="B147" s="78" t="str">
        <f t="shared" si="29"/>
        <v>H9</v>
      </c>
      <c r="C147" s="245" t="s">
        <v>1026</v>
      </c>
      <c r="D147" s="72" t="s">
        <v>91</v>
      </c>
      <c r="E147" s="71" t="s">
        <v>488</v>
      </c>
      <c r="F147" s="217"/>
      <c r="G147" s="217"/>
      <c r="H147" s="217"/>
      <c r="I147" s="217"/>
      <c r="J147" s="209"/>
      <c r="K147" s="28" t="s">
        <v>703</v>
      </c>
      <c r="L147" s="28">
        <f>L146+1</f>
        <v>9</v>
      </c>
      <c r="M147" s="99">
        <f>IF(E147="VEDTATT","VEDTATT",0)</f>
        <v>0</v>
      </c>
      <c r="N147" s="99">
        <f>IF(E147="MÅ","Nye tiltak",0)</f>
        <v>0</v>
      </c>
      <c r="O147" s="99"/>
      <c r="P147" s="28"/>
    </row>
    <row r="148" spans="1:17" s="38" customFormat="1" x14ac:dyDescent="0.25">
      <c r="A148" s="341"/>
      <c r="B148" s="341"/>
      <c r="C148" s="82" t="s">
        <v>142</v>
      </c>
      <c r="D148" s="83"/>
      <c r="E148" s="71"/>
      <c r="F148" s="4">
        <f>F143</f>
        <v>2022</v>
      </c>
      <c r="G148" s="4">
        <f>F148+1</f>
        <v>2023</v>
      </c>
      <c r="H148" s="4">
        <f>G148+1</f>
        <v>2024</v>
      </c>
      <c r="I148" s="4">
        <f>H148+1</f>
        <v>2025</v>
      </c>
      <c r="J148" s="209"/>
      <c r="K148" s="337"/>
      <c r="L148" s="337"/>
      <c r="M148" s="99"/>
      <c r="N148" s="99"/>
      <c r="O148" s="99"/>
      <c r="P148" s="28"/>
    </row>
    <row r="149" spans="1:17" s="38" customFormat="1" x14ac:dyDescent="0.25">
      <c r="A149" s="78" t="s">
        <v>131</v>
      </c>
      <c r="B149" s="78" t="str">
        <f t="shared" ref="B149:B163" si="30">IF(L149,K149&amp;L149,"")</f>
        <v>H10</v>
      </c>
      <c r="C149" s="245" t="s">
        <v>143</v>
      </c>
      <c r="D149" s="72" t="s">
        <v>664</v>
      </c>
      <c r="E149" s="71" t="s">
        <v>84</v>
      </c>
      <c r="F149" s="70">
        <v>-300</v>
      </c>
      <c r="G149" s="70">
        <v>-900</v>
      </c>
      <c r="H149" s="70">
        <v>-1500</v>
      </c>
      <c r="I149" s="70">
        <v>-2100</v>
      </c>
      <c r="J149" s="209"/>
      <c r="K149" s="28" t="s">
        <v>703</v>
      </c>
      <c r="L149" s="28">
        <f>L147+1</f>
        <v>10</v>
      </c>
      <c r="M149" s="99" t="str">
        <f>IF(E149="VEDTATT","VEDTATT",0)</f>
        <v>VEDTATT</v>
      </c>
      <c r="N149" s="99">
        <f>IF(E149="MÅ","Nye tiltak",0)</f>
        <v>0</v>
      </c>
      <c r="O149" s="99"/>
      <c r="P149" s="28"/>
    </row>
    <row r="150" spans="1:17" s="38" customFormat="1" ht="30" customHeight="1" x14ac:dyDescent="0.25">
      <c r="A150" s="78" t="s">
        <v>131</v>
      </c>
      <c r="B150" s="78" t="str">
        <f t="shared" si="30"/>
        <v>H11</v>
      </c>
      <c r="C150" s="245" t="s">
        <v>1027</v>
      </c>
      <c r="D150" s="72" t="s">
        <v>91</v>
      </c>
      <c r="E150" s="71" t="s">
        <v>24</v>
      </c>
      <c r="F150" s="70"/>
      <c r="G150" s="70"/>
      <c r="H150" s="70"/>
      <c r="I150" s="70"/>
      <c r="J150" s="209" t="s">
        <v>861</v>
      </c>
      <c r="K150" s="28" t="s">
        <v>703</v>
      </c>
      <c r="L150" s="28">
        <f t="shared" ref="L150:L154" si="31">L149+1</f>
        <v>11</v>
      </c>
      <c r="M150" s="99">
        <f>IF(E150="VEDTATT","VEDTATT",0)</f>
        <v>0</v>
      </c>
      <c r="N150" s="99" t="str">
        <f>IF(E150="MÅ","Nye tiltak",0)</f>
        <v>Nye tiltak</v>
      </c>
      <c r="O150" s="99"/>
      <c r="P150" s="28"/>
      <c r="Q150" s="295"/>
    </row>
    <row r="151" spans="1:17" s="38" customFormat="1" ht="30" customHeight="1" x14ac:dyDescent="0.25">
      <c r="A151" s="78" t="s">
        <v>131</v>
      </c>
      <c r="B151" s="78" t="str">
        <f>IF(L151,K151&amp;L151,"")</f>
        <v>H12</v>
      </c>
      <c r="C151" s="245" t="s">
        <v>711</v>
      </c>
      <c r="D151" s="72" t="s">
        <v>91</v>
      </c>
      <c r="E151" s="231">
        <v>8</v>
      </c>
      <c r="F151" s="70">
        <v>1000</v>
      </c>
      <c r="G151" s="70">
        <v>1000</v>
      </c>
      <c r="H151" s="70">
        <v>1000</v>
      </c>
      <c r="I151" s="70">
        <v>1000</v>
      </c>
      <c r="J151" s="209"/>
      <c r="K151" s="28" t="s">
        <v>703</v>
      </c>
      <c r="L151" s="28">
        <f>L150+1</f>
        <v>12</v>
      </c>
      <c r="M151" s="99"/>
      <c r="N151" s="99"/>
      <c r="O151" s="99"/>
      <c r="P151" s="28"/>
      <c r="Q151" s="295"/>
    </row>
    <row r="152" spans="1:17" s="38" customFormat="1" x14ac:dyDescent="0.25">
      <c r="A152" s="78" t="s">
        <v>131</v>
      </c>
      <c r="B152" s="78" t="str">
        <f t="shared" si="30"/>
        <v>H13</v>
      </c>
      <c r="C152" s="245" t="s">
        <v>1028</v>
      </c>
      <c r="D152" s="72" t="s">
        <v>91</v>
      </c>
      <c r="E152" s="71" t="s">
        <v>488</v>
      </c>
      <c r="F152" s="70">
        <v>1000</v>
      </c>
      <c r="G152" s="70">
        <v>1000</v>
      </c>
      <c r="H152" s="70">
        <v>1000</v>
      </c>
      <c r="I152" s="70">
        <v>1000</v>
      </c>
      <c r="J152" s="403"/>
      <c r="K152" s="28" t="s">
        <v>703</v>
      </c>
      <c r="L152" s="28">
        <f>L151+1</f>
        <v>13</v>
      </c>
      <c r="M152" s="99">
        <f>IF(E152="VEDTATT","VEDTATT",0)</f>
        <v>0</v>
      </c>
      <c r="N152" s="99">
        <f>IF(E152="MÅ","Nye tiltak",0)</f>
        <v>0</v>
      </c>
      <c r="O152" s="99"/>
      <c r="Q152" s="295"/>
    </row>
    <row r="153" spans="1:17" s="38" customFormat="1" x14ac:dyDescent="0.25">
      <c r="A153" s="78" t="s">
        <v>131</v>
      </c>
      <c r="B153" s="78" t="str">
        <f t="shared" ref="B153" si="32">IF(L153,K153&amp;L153,"")</f>
        <v>H14</v>
      </c>
      <c r="C153" s="245" t="s">
        <v>832</v>
      </c>
      <c r="D153" s="72" t="s">
        <v>91</v>
      </c>
      <c r="E153" s="231">
        <v>3</v>
      </c>
      <c r="F153" s="70">
        <v>950</v>
      </c>
      <c r="G153" s="70">
        <v>950</v>
      </c>
      <c r="H153" s="70">
        <v>950</v>
      </c>
      <c r="I153" s="70">
        <v>950</v>
      </c>
      <c r="J153" s="403">
        <v>2</v>
      </c>
      <c r="K153" s="28" t="s">
        <v>703</v>
      </c>
      <c r="L153" s="28">
        <f t="shared" si="31"/>
        <v>14</v>
      </c>
      <c r="M153" s="99"/>
      <c r="N153" s="99"/>
      <c r="O153" s="99"/>
      <c r="Q153" s="295"/>
    </row>
    <row r="154" spans="1:17" s="38" customFormat="1" x14ac:dyDescent="0.25">
      <c r="A154" s="78" t="s">
        <v>131</v>
      </c>
      <c r="B154" s="78" t="str">
        <f t="shared" si="30"/>
        <v>H15</v>
      </c>
      <c r="C154" s="245" t="s">
        <v>144</v>
      </c>
      <c r="D154" s="72" t="s">
        <v>664</v>
      </c>
      <c r="E154" s="71" t="s">
        <v>84</v>
      </c>
      <c r="F154" s="70">
        <f>-11400-15856</f>
        <v>-27256</v>
      </c>
      <c r="G154" s="70">
        <f>-11400-15856</f>
        <v>-27256</v>
      </c>
      <c r="H154" s="70">
        <f>G154</f>
        <v>-27256</v>
      </c>
      <c r="I154" s="70">
        <f>H154</f>
        <v>-27256</v>
      </c>
      <c r="J154" s="209"/>
      <c r="K154" s="28" t="s">
        <v>703</v>
      </c>
      <c r="L154" s="28">
        <f t="shared" si="31"/>
        <v>15</v>
      </c>
      <c r="M154" s="99" t="str">
        <f>IF(E154="VEDTATT","VEDTATT",0)</f>
        <v>VEDTATT</v>
      </c>
      <c r="N154" s="99">
        <f>IF(E154="MÅ","Nye tiltak",0)</f>
        <v>0</v>
      </c>
      <c r="O154" s="99"/>
      <c r="Q154" s="295"/>
    </row>
    <row r="155" spans="1:17" s="38" customFormat="1" x14ac:dyDescent="0.25">
      <c r="A155" s="78"/>
      <c r="B155" s="78" t="str">
        <f t="shared" si="30"/>
        <v/>
      </c>
      <c r="C155" s="82" t="s">
        <v>156</v>
      </c>
      <c r="D155" s="72"/>
      <c r="E155" s="71"/>
      <c r="F155" s="4">
        <f>F148</f>
        <v>2022</v>
      </c>
      <c r="G155" s="4">
        <f>F155+1</f>
        <v>2023</v>
      </c>
      <c r="H155" s="4">
        <f>G155+1</f>
        <v>2024</v>
      </c>
      <c r="I155" s="4">
        <f>H155+1</f>
        <v>2025</v>
      </c>
      <c r="J155" s="209"/>
      <c r="K155" s="4"/>
      <c r="L155" s="4"/>
      <c r="M155" s="99"/>
      <c r="N155" s="99"/>
      <c r="O155" s="99"/>
    </row>
    <row r="156" spans="1:17" s="38" customFormat="1" x14ac:dyDescent="0.25">
      <c r="A156" s="426" t="s">
        <v>131</v>
      </c>
      <c r="B156" s="426" t="str">
        <f t="shared" si="30"/>
        <v>H16</v>
      </c>
      <c r="C156" s="424" t="s">
        <v>1029</v>
      </c>
      <c r="D156" s="425" t="s">
        <v>664</v>
      </c>
      <c r="E156" s="71" t="s">
        <v>84</v>
      </c>
      <c r="F156" s="427"/>
      <c r="G156" s="427"/>
      <c r="H156" s="427">
        <v>1000</v>
      </c>
      <c r="I156" s="427">
        <v>1000</v>
      </c>
      <c r="J156" s="209" t="s">
        <v>1030</v>
      </c>
      <c r="K156" s="28" t="s">
        <v>703</v>
      </c>
      <c r="L156" s="28">
        <f>L154+1</f>
        <v>16</v>
      </c>
      <c r="M156" s="99" t="str">
        <f>IF(E156="VEDTATT","VEDTATT",0)</f>
        <v>VEDTATT</v>
      </c>
      <c r="N156" s="99">
        <f>IF(E156="MÅ","Nye tiltak",0)</f>
        <v>0</v>
      </c>
      <c r="O156" s="99"/>
      <c r="P156" s="28"/>
    </row>
    <row r="157" spans="1:17" s="38" customFormat="1" x14ac:dyDescent="0.25">
      <c r="A157" s="78" t="s">
        <v>131</v>
      </c>
      <c r="B157" s="78" t="str">
        <f t="shared" si="30"/>
        <v>H17</v>
      </c>
      <c r="C157" s="245" t="s">
        <v>159</v>
      </c>
      <c r="D157" s="72" t="s">
        <v>91</v>
      </c>
      <c r="E157" s="71" t="s">
        <v>24</v>
      </c>
      <c r="F157" s="70">
        <v>600</v>
      </c>
      <c r="G157" s="70">
        <f>F157</f>
        <v>600</v>
      </c>
      <c r="H157" s="70">
        <f t="shared" ref="H157:I157" si="33">G157</f>
        <v>600</v>
      </c>
      <c r="I157" s="70">
        <f t="shared" si="33"/>
        <v>600</v>
      </c>
      <c r="J157" s="209"/>
      <c r="K157" s="28" t="s">
        <v>703</v>
      </c>
      <c r="L157" s="28">
        <f>L156+1</f>
        <v>17</v>
      </c>
      <c r="M157" s="99"/>
      <c r="N157" s="99"/>
      <c r="O157" s="99"/>
      <c r="P157" s="28"/>
    </row>
    <row r="158" spans="1:17" s="38" customFormat="1" ht="25.5" x14ac:dyDescent="0.25">
      <c r="A158" s="78" t="s">
        <v>131</v>
      </c>
      <c r="B158" s="78" t="str">
        <f t="shared" si="30"/>
        <v>H18</v>
      </c>
      <c r="C158" s="245" t="s">
        <v>943</v>
      </c>
      <c r="D158" s="72" t="s">
        <v>661</v>
      </c>
      <c r="E158" s="71" t="s">
        <v>84</v>
      </c>
      <c r="F158" s="70">
        <v>0</v>
      </c>
      <c r="G158" s="70">
        <v>50</v>
      </c>
      <c r="H158" s="70">
        <v>150</v>
      </c>
      <c r="I158" s="70">
        <v>150</v>
      </c>
      <c r="J158" s="403" t="s">
        <v>944</v>
      </c>
      <c r="K158" s="28" t="s">
        <v>703</v>
      </c>
      <c r="L158" s="28">
        <f t="shared" ref="L158:L164" si="34">L157+1</f>
        <v>18</v>
      </c>
      <c r="M158" s="99" t="str">
        <f t="shared" ref="M158:M163" si="35">IF(E158="VEDTATT","VEDTATT",0)</f>
        <v>VEDTATT</v>
      </c>
      <c r="N158" s="99">
        <f t="shared" ref="N158:N163" si="36">IF(E158="MÅ","Nye tiltak",0)</f>
        <v>0</v>
      </c>
      <c r="O158" s="99"/>
      <c r="P158" s="28"/>
    </row>
    <row r="159" spans="1:17" s="38" customFormat="1" ht="25.5" x14ac:dyDescent="0.25">
      <c r="A159" s="78" t="s">
        <v>131</v>
      </c>
      <c r="B159" s="78" t="str">
        <f t="shared" si="30"/>
        <v>H19</v>
      </c>
      <c r="C159" s="245" t="s">
        <v>713</v>
      </c>
      <c r="D159" s="72" t="s">
        <v>661</v>
      </c>
      <c r="E159" s="71" t="s">
        <v>84</v>
      </c>
      <c r="F159" s="90">
        <v>0</v>
      </c>
      <c r="G159" s="90">
        <v>0</v>
      </c>
      <c r="H159" s="90">
        <v>1100</v>
      </c>
      <c r="I159" s="90">
        <v>1100</v>
      </c>
      <c r="J159" s="403" t="s">
        <v>944</v>
      </c>
      <c r="K159" s="28" t="s">
        <v>703</v>
      </c>
      <c r="L159" s="28">
        <f t="shared" si="34"/>
        <v>19</v>
      </c>
      <c r="M159" s="99" t="str">
        <f t="shared" si="35"/>
        <v>VEDTATT</v>
      </c>
      <c r="N159" s="99">
        <f t="shared" si="36"/>
        <v>0</v>
      </c>
      <c r="O159" s="99"/>
      <c r="P159" s="28"/>
    </row>
    <row r="160" spans="1:17" s="38" customFormat="1" x14ac:dyDescent="0.25">
      <c r="A160" s="78" t="s">
        <v>131</v>
      </c>
      <c r="B160" s="78" t="str">
        <f t="shared" si="30"/>
        <v>H20</v>
      </c>
      <c r="C160" s="245" t="s">
        <v>945</v>
      </c>
      <c r="D160" s="72" t="s">
        <v>91</v>
      </c>
      <c r="E160" s="231">
        <v>4</v>
      </c>
      <c r="F160" s="70">
        <v>600</v>
      </c>
      <c r="G160" s="70">
        <v>600</v>
      </c>
      <c r="H160" s="70">
        <v>600</v>
      </c>
      <c r="I160" s="70">
        <v>600</v>
      </c>
      <c r="J160" s="257">
        <v>4</v>
      </c>
      <c r="K160" s="28" t="s">
        <v>703</v>
      </c>
      <c r="L160" s="28">
        <f t="shared" si="34"/>
        <v>20</v>
      </c>
      <c r="M160" s="99">
        <f t="shared" si="35"/>
        <v>0</v>
      </c>
      <c r="N160" s="99">
        <f t="shared" si="36"/>
        <v>0</v>
      </c>
      <c r="O160" s="99"/>
      <c r="P160" s="28"/>
    </row>
    <row r="161" spans="1:16" s="38" customFormat="1" x14ac:dyDescent="0.2">
      <c r="A161" s="78" t="s">
        <v>131</v>
      </c>
      <c r="B161" s="78" t="str">
        <f t="shared" si="30"/>
        <v>H21</v>
      </c>
      <c r="C161" s="245" t="s">
        <v>946</v>
      </c>
      <c r="D161" s="79" t="s">
        <v>91</v>
      </c>
      <c r="E161" s="231">
        <v>9</v>
      </c>
      <c r="F161" s="391"/>
      <c r="G161" s="391">
        <v>700</v>
      </c>
      <c r="H161" s="391">
        <v>700</v>
      </c>
      <c r="I161" s="391">
        <v>700</v>
      </c>
      <c r="J161" s="420">
        <v>9</v>
      </c>
      <c r="K161" s="28" t="s">
        <v>703</v>
      </c>
      <c r="L161" s="28">
        <f t="shared" si="34"/>
        <v>21</v>
      </c>
      <c r="M161" s="99">
        <f t="shared" si="35"/>
        <v>0</v>
      </c>
      <c r="N161" s="99">
        <f t="shared" si="36"/>
        <v>0</v>
      </c>
      <c r="O161" s="99"/>
      <c r="P161" s="28"/>
    </row>
    <row r="162" spans="1:16" s="38" customFormat="1" x14ac:dyDescent="0.25">
      <c r="A162" s="78" t="s">
        <v>131</v>
      </c>
      <c r="B162" s="78" t="str">
        <f t="shared" si="30"/>
        <v>H22</v>
      </c>
      <c r="C162" s="245" t="s">
        <v>1031</v>
      </c>
      <c r="D162" s="79" t="s">
        <v>91</v>
      </c>
      <c r="E162" s="71" t="s">
        <v>488</v>
      </c>
      <c r="F162" s="191">
        <v>300</v>
      </c>
      <c r="G162" s="191">
        <v>300</v>
      </c>
      <c r="H162" s="191">
        <v>300</v>
      </c>
      <c r="I162" s="191">
        <v>300</v>
      </c>
      <c r="J162" s="209" t="s">
        <v>1032</v>
      </c>
      <c r="K162" s="28" t="s">
        <v>703</v>
      </c>
      <c r="L162" s="28">
        <f t="shared" si="34"/>
        <v>22</v>
      </c>
      <c r="M162" s="99">
        <f t="shared" si="35"/>
        <v>0</v>
      </c>
      <c r="N162" s="99">
        <f t="shared" si="36"/>
        <v>0</v>
      </c>
      <c r="O162" s="99"/>
      <c r="P162" s="28"/>
    </row>
    <row r="163" spans="1:16" s="38" customFormat="1" x14ac:dyDescent="0.25">
      <c r="A163" s="78" t="s">
        <v>131</v>
      </c>
      <c r="B163" s="78" t="str">
        <f t="shared" si="30"/>
        <v>H23</v>
      </c>
      <c r="C163" s="245"/>
      <c r="D163" s="79"/>
      <c r="E163" s="71"/>
      <c r="F163" s="282"/>
      <c r="G163" s="282"/>
      <c r="H163" s="282"/>
      <c r="I163" s="282"/>
      <c r="J163" s="209"/>
      <c r="K163" s="28" t="s">
        <v>703</v>
      </c>
      <c r="L163" s="28">
        <f t="shared" si="34"/>
        <v>23</v>
      </c>
      <c r="M163" s="99">
        <f t="shared" si="35"/>
        <v>0</v>
      </c>
      <c r="N163" s="99">
        <f t="shared" si="36"/>
        <v>0</v>
      </c>
      <c r="O163" s="99"/>
      <c r="P163" s="28"/>
    </row>
    <row r="164" spans="1:16" s="38" customFormat="1" ht="25.5" x14ac:dyDescent="0.25">
      <c r="A164" s="78" t="s">
        <v>131</v>
      </c>
      <c r="B164" s="78" t="str">
        <f t="shared" ref="B164" si="37">IF(L164,K164&amp;L164,"")</f>
        <v>H24</v>
      </c>
      <c r="C164" s="245" t="s">
        <v>862</v>
      </c>
      <c r="D164" s="79" t="s">
        <v>91</v>
      </c>
      <c r="E164" s="71"/>
      <c r="F164" s="282"/>
      <c r="G164" s="282"/>
      <c r="H164" s="282"/>
      <c r="I164" s="282"/>
      <c r="J164" s="209" t="s">
        <v>863</v>
      </c>
      <c r="K164" s="28" t="s">
        <v>703</v>
      </c>
      <c r="L164" s="28">
        <f t="shared" si="34"/>
        <v>24</v>
      </c>
      <c r="M164" s="99">
        <f t="shared" ref="M164" si="38">IF(E164="VEDTATT","VEDTATT",0)</f>
        <v>0</v>
      </c>
      <c r="N164" s="99">
        <f t="shared" ref="N164" si="39">IF(E164="MÅ","Nye tiltak",0)</f>
        <v>0</v>
      </c>
      <c r="O164" s="99"/>
      <c r="P164" s="28"/>
    </row>
    <row r="165" spans="1:16" s="38" customFormat="1" x14ac:dyDescent="0.25">
      <c r="A165" s="78"/>
      <c r="B165" s="78"/>
      <c r="C165" s="82" t="s">
        <v>172</v>
      </c>
      <c r="D165" s="83"/>
      <c r="E165" s="71"/>
      <c r="F165" s="4">
        <f>F155</f>
        <v>2022</v>
      </c>
      <c r="G165" s="4">
        <f>F165+1</f>
        <v>2023</v>
      </c>
      <c r="H165" s="4">
        <f>G165+1</f>
        <v>2024</v>
      </c>
      <c r="I165" s="4">
        <f>H165+1</f>
        <v>2025</v>
      </c>
      <c r="J165" s="209"/>
      <c r="K165" s="337"/>
      <c r="L165" s="337"/>
      <c r="M165" s="99"/>
      <c r="N165" s="99"/>
      <c r="O165" s="99"/>
      <c r="P165" s="28"/>
    </row>
    <row r="166" spans="1:16" s="38" customFormat="1" x14ac:dyDescent="0.25">
      <c r="A166" s="78" t="s">
        <v>131</v>
      </c>
      <c r="B166" s="78" t="str">
        <f t="shared" ref="B166:B176" si="40">IF(L166,K166&amp;L166,"")</f>
        <v>H23</v>
      </c>
      <c r="C166" s="245" t="s">
        <v>947</v>
      </c>
      <c r="D166" s="72" t="s">
        <v>661</v>
      </c>
      <c r="E166" s="71" t="s">
        <v>84</v>
      </c>
      <c r="F166" s="287"/>
      <c r="G166" s="287">
        <v>-1100</v>
      </c>
      <c r="H166" s="287">
        <v>-2200</v>
      </c>
      <c r="I166" s="287">
        <v>-2200</v>
      </c>
      <c r="J166" s="403" t="s">
        <v>944</v>
      </c>
      <c r="K166" s="28" t="s">
        <v>703</v>
      </c>
      <c r="L166" s="28">
        <f>L162+1</f>
        <v>23</v>
      </c>
      <c r="M166" s="99" t="str">
        <f t="shared" ref="M166:M167" si="41">IF(E166="VEDTATT","VEDTATT",0)</f>
        <v>VEDTATT</v>
      </c>
      <c r="N166" s="99">
        <f t="shared" ref="N166:N167" si="42">IF(E166="MÅ","Nye tiltak",0)</f>
        <v>0</v>
      </c>
      <c r="O166" s="99"/>
      <c r="P166" s="28"/>
    </row>
    <row r="167" spans="1:16" s="38" customFormat="1" x14ac:dyDescent="0.25">
      <c r="A167" s="78" t="s">
        <v>131</v>
      </c>
      <c r="B167" s="78" t="str">
        <f t="shared" si="40"/>
        <v>H24</v>
      </c>
      <c r="C167" s="245" t="s">
        <v>948</v>
      </c>
      <c r="D167" s="72" t="s">
        <v>661</v>
      </c>
      <c r="E167" s="71" t="s">
        <v>84</v>
      </c>
      <c r="F167" s="70"/>
      <c r="G167" s="59">
        <v>728</v>
      </c>
      <c r="H167" s="59">
        <v>728</v>
      </c>
      <c r="I167" s="59">
        <v>728</v>
      </c>
      <c r="J167" s="403" t="s">
        <v>944</v>
      </c>
      <c r="K167" s="28" t="s">
        <v>703</v>
      </c>
      <c r="L167" s="28">
        <f t="shared" ref="L167:L171" si="43">L166+1</f>
        <v>24</v>
      </c>
      <c r="M167" s="99" t="str">
        <f t="shared" si="41"/>
        <v>VEDTATT</v>
      </c>
      <c r="N167" s="99">
        <f t="shared" si="42"/>
        <v>0</v>
      </c>
      <c r="O167" s="99"/>
      <c r="P167" s="28"/>
    </row>
    <row r="168" spans="1:16" s="38" customFormat="1" x14ac:dyDescent="0.25">
      <c r="A168" s="78" t="s">
        <v>131</v>
      </c>
      <c r="B168" s="78" t="str">
        <f t="shared" si="40"/>
        <v>H25</v>
      </c>
      <c r="C168" s="245" t="s">
        <v>174</v>
      </c>
      <c r="D168" s="72" t="s">
        <v>661</v>
      </c>
      <c r="E168" s="71" t="s">
        <v>84</v>
      </c>
      <c r="F168" s="421">
        <v>2000</v>
      </c>
      <c r="G168" s="421">
        <v>2000</v>
      </c>
      <c r="H168" s="421">
        <v>2000</v>
      </c>
      <c r="I168" s="421">
        <v>2000</v>
      </c>
      <c r="J168" s="403" t="s">
        <v>944</v>
      </c>
      <c r="K168" s="28" t="s">
        <v>703</v>
      </c>
      <c r="L168" s="28">
        <f t="shared" si="43"/>
        <v>25</v>
      </c>
      <c r="M168" s="99" t="str">
        <f>IF(E168="VEDTATT","VEDTATT",0)</f>
        <v>VEDTATT</v>
      </c>
      <c r="N168" s="99">
        <f>IF(E168="MÅ","Nye tiltak",0)</f>
        <v>0</v>
      </c>
      <c r="O168" s="99"/>
      <c r="P168" s="28"/>
    </row>
    <row r="169" spans="1:16" s="38" customFormat="1" x14ac:dyDescent="0.25">
      <c r="A169" s="78" t="s">
        <v>131</v>
      </c>
      <c r="B169" s="78" t="str">
        <f t="shared" si="40"/>
        <v>H26</v>
      </c>
      <c r="C169" s="245" t="s">
        <v>529</v>
      </c>
      <c r="D169" s="72" t="s">
        <v>661</v>
      </c>
      <c r="E169" s="71" t="s">
        <v>84</v>
      </c>
      <c r="F169" s="90">
        <v>5600</v>
      </c>
      <c r="G169" s="90">
        <v>9400</v>
      </c>
      <c r="H169" s="90">
        <v>11100</v>
      </c>
      <c r="I169" s="90">
        <v>11100</v>
      </c>
      <c r="J169" s="403" t="s">
        <v>944</v>
      </c>
      <c r="K169" s="28" t="s">
        <v>703</v>
      </c>
      <c r="L169" s="28">
        <f>L168+1</f>
        <v>26</v>
      </c>
      <c r="M169" s="99" t="str">
        <f>IF(E168="VEDTATT","VEDTATT",0)</f>
        <v>VEDTATT</v>
      </c>
      <c r="N169" s="99">
        <f>IF(E168="MÅ","Nye tiltak",0)</f>
        <v>0</v>
      </c>
      <c r="O169" s="99"/>
      <c r="P169" s="28"/>
    </row>
    <row r="170" spans="1:16" s="38" customFormat="1" x14ac:dyDescent="0.25">
      <c r="A170" s="78" t="s">
        <v>131</v>
      </c>
      <c r="B170" s="78" t="str">
        <f t="shared" si="40"/>
        <v>H27</v>
      </c>
      <c r="C170" s="245" t="s">
        <v>529</v>
      </c>
      <c r="D170" s="72" t="s">
        <v>661</v>
      </c>
      <c r="E170" s="71" t="s">
        <v>84</v>
      </c>
      <c r="F170" s="90">
        <v>300</v>
      </c>
      <c r="G170" s="90">
        <v>300</v>
      </c>
      <c r="H170" s="90">
        <v>1900</v>
      </c>
      <c r="I170" s="90">
        <v>1900</v>
      </c>
      <c r="J170" s="403" t="s">
        <v>944</v>
      </c>
      <c r="K170" s="28" t="s">
        <v>703</v>
      </c>
      <c r="L170" s="28">
        <f>L169+1</f>
        <v>27</v>
      </c>
      <c r="M170" s="99" t="str">
        <f>IF(E169="VEDTATT","VEDTATT",0)</f>
        <v>VEDTATT</v>
      </c>
      <c r="N170" s="99">
        <f>IF(E169="MÅ","Nye tiltak",0)</f>
        <v>0</v>
      </c>
      <c r="O170" s="99"/>
      <c r="P170" s="28"/>
    </row>
    <row r="171" spans="1:16" s="38" customFormat="1" x14ac:dyDescent="0.25">
      <c r="A171" s="78" t="s">
        <v>131</v>
      </c>
      <c r="B171" s="78" t="str">
        <f t="shared" si="40"/>
        <v>H28</v>
      </c>
      <c r="D171" s="72"/>
      <c r="J171" s="209"/>
      <c r="K171" s="28" t="s">
        <v>703</v>
      </c>
      <c r="L171" s="28">
        <f t="shared" si="43"/>
        <v>28</v>
      </c>
      <c r="M171" s="99" t="str">
        <f>IF(E170="VEDTATT","VEDTATT",0)</f>
        <v>VEDTATT</v>
      </c>
      <c r="N171" s="99">
        <f>IF(E170="MÅ","Nye tiltak",0)</f>
        <v>0</v>
      </c>
      <c r="O171" s="99"/>
      <c r="P171" s="28"/>
    </row>
    <row r="172" spans="1:16" s="38" customFormat="1" x14ac:dyDescent="0.25">
      <c r="A172" s="78"/>
      <c r="B172" s="78" t="str">
        <f t="shared" si="40"/>
        <v/>
      </c>
      <c r="C172" s="82" t="s">
        <v>179</v>
      </c>
      <c r="D172" s="83"/>
      <c r="E172" s="71"/>
      <c r="F172" s="4">
        <f>F165</f>
        <v>2022</v>
      </c>
      <c r="G172" s="4">
        <f>F172+1</f>
        <v>2023</v>
      </c>
      <c r="H172" s="4">
        <f>G172+1</f>
        <v>2024</v>
      </c>
      <c r="I172" s="4">
        <f>H172+1</f>
        <v>2025</v>
      </c>
      <c r="J172" s="209"/>
      <c r="K172" s="337"/>
      <c r="L172" s="337"/>
      <c r="M172" s="99"/>
      <c r="N172" s="99"/>
      <c r="O172" s="99"/>
      <c r="P172" s="28"/>
    </row>
    <row r="173" spans="1:16" s="38" customFormat="1" x14ac:dyDescent="0.25">
      <c r="A173" s="78" t="s">
        <v>131</v>
      </c>
      <c r="B173" s="78" t="str">
        <f t="shared" si="40"/>
        <v>H29</v>
      </c>
      <c r="C173" s="245" t="s">
        <v>180</v>
      </c>
      <c r="D173" s="72" t="s">
        <v>664</v>
      </c>
      <c r="E173" s="71" t="s">
        <v>84</v>
      </c>
      <c r="F173" s="70">
        <v>0</v>
      </c>
      <c r="G173" s="70"/>
      <c r="H173" s="70">
        <v>6000</v>
      </c>
      <c r="I173" s="191">
        <v>12000</v>
      </c>
      <c r="J173" s="209" t="s">
        <v>721</v>
      </c>
      <c r="K173" s="28" t="s">
        <v>703</v>
      </c>
      <c r="L173" s="28">
        <f>L171+1</f>
        <v>29</v>
      </c>
      <c r="M173" s="99" t="str">
        <f>IF(E173="VEDTATT","VEDTATT",0)</f>
        <v>VEDTATT</v>
      </c>
      <c r="N173" s="99">
        <f>IF(E173="MÅ","Nye tiltak",0)</f>
        <v>0</v>
      </c>
      <c r="O173" s="99"/>
      <c r="P173" s="28"/>
    </row>
    <row r="174" spans="1:16" s="38" customFormat="1" x14ac:dyDescent="0.25">
      <c r="A174" s="78" t="s">
        <v>131</v>
      </c>
      <c r="B174" s="78" t="str">
        <f>IF(L174,K174&amp;L174,"")</f>
        <v>H30</v>
      </c>
      <c r="C174" s="245" t="s">
        <v>722</v>
      </c>
      <c r="D174" s="72" t="s">
        <v>664</v>
      </c>
      <c r="E174" s="71" t="s">
        <v>84</v>
      </c>
      <c r="F174" s="191">
        <v>0</v>
      </c>
      <c r="G174" s="191">
        <v>-2500</v>
      </c>
      <c r="H174" s="191">
        <f t="shared" ref="H174:I176" si="44">G174</f>
        <v>-2500</v>
      </c>
      <c r="I174" s="191">
        <f t="shared" si="44"/>
        <v>-2500</v>
      </c>
      <c r="J174" s="209"/>
      <c r="K174" s="28" t="s">
        <v>703</v>
      </c>
      <c r="L174" s="28">
        <f>L173+1</f>
        <v>30</v>
      </c>
      <c r="M174" s="99"/>
      <c r="N174" s="99"/>
      <c r="O174" s="99"/>
      <c r="P174" s="28"/>
    </row>
    <row r="175" spans="1:16" s="38" customFormat="1" x14ac:dyDescent="0.25">
      <c r="A175" s="78" t="s">
        <v>131</v>
      </c>
      <c r="B175" s="78" t="str">
        <f t="shared" si="40"/>
        <v>H31</v>
      </c>
      <c r="C175" s="245" t="s">
        <v>723</v>
      </c>
      <c r="D175" s="72" t="s">
        <v>91</v>
      </c>
      <c r="E175" s="231">
        <v>1</v>
      </c>
      <c r="F175" s="191">
        <v>4000</v>
      </c>
      <c r="G175" s="191">
        <f>F175</f>
        <v>4000</v>
      </c>
      <c r="H175" s="191">
        <f t="shared" si="44"/>
        <v>4000</v>
      </c>
      <c r="I175" s="191">
        <f t="shared" si="44"/>
        <v>4000</v>
      </c>
      <c r="J175" s="257"/>
      <c r="K175" s="28" t="s">
        <v>703</v>
      </c>
      <c r="L175" s="28">
        <f>L174+1</f>
        <v>31</v>
      </c>
      <c r="M175" s="99">
        <f>IF(E175="VEDTATT","VEDTATT",0)</f>
        <v>0</v>
      </c>
      <c r="N175" s="99">
        <f>IF(E175="MÅ","Nye tiltak",0)</f>
        <v>0</v>
      </c>
      <c r="O175" s="99"/>
      <c r="P175" s="28"/>
    </row>
    <row r="176" spans="1:16" s="38" customFormat="1" ht="15.75" customHeight="1" x14ac:dyDescent="0.25">
      <c r="A176" s="78" t="s">
        <v>131</v>
      </c>
      <c r="B176" s="78" t="str">
        <f t="shared" si="40"/>
        <v>H32</v>
      </c>
      <c r="C176" s="245" t="s">
        <v>949</v>
      </c>
      <c r="D176" s="72" t="s">
        <v>91</v>
      </c>
      <c r="E176" s="231">
        <v>5</v>
      </c>
      <c r="F176" s="217">
        <v>600</v>
      </c>
      <c r="G176" s="217">
        <f>F176</f>
        <v>600</v>
      </c>
      <c r="H176" s="217">
        <f t="shared" si="44"/>
        <v>600</v>
      </c>
      <c r="I176" s="217">
        <f t="shared" si="44"/>
        <v>600</v>
      </c>
      <c r="J176" s="419">
        <v>6</v>
      </c>
      <c r="K176" s="28" t="s">
        <v>703</v>
      </c>
      <c r="L176" s="28">
        <f>L175+1</f>
        <v>32</v>
      </c>
      <c r="M176" s="99">
        <f>IF(E176="VEDTATT","VEDTATT",0)</f>
        <v>0</v>
      </c>
      <c r="N176" s="99">
        <f>IF(E176="MÅ","Nye tiltak",0)</f>
        <v>0</v>
      </c>
      <c r="O176" s="99"/>
      <c r="P176" s="28"/>
    </row>
    <row r="177" spans="1:16" s="38" customFormat="1" x14ac:dyDescent="0.25">
      <c r="A177" s="244" t="s">
        <v>131</v>
      </c>
      <c r="B177" s="78" t="str">
        <f>IF(L177,K177&amp;L177,"")</f>
        <v>H33</v>
      </c>
      <c r="C177" s="245" t="s">
        <v>950</v>
      </c>
      <c r="D177" s="214" t="s">
        <v>91</v>
      </c>
      <c r="E177" s="400">
        <v>7</v>
      </c>
      <c r="F177" s="217">
        <v>150</v>
      </c>
      <c r="G177" s="217">
        <v>150</v>
      </c>
      <c r="H177" s="217">
        <v>150</v>
      </c>
      <c r="I177" s="217">
        <v>150</v>
      </c>
      <c r="J177" s="419">
        <v>3</v>
      </c>
      <c r="K177" s="28" t="s">
        <v>703</v>
      </c>
      <c r="L177" s="28">
        <f>L176+1</f>
        <v>33</v>
      </c>
      <c r="M177" s="99">
        <f>IF(E177="VEDTATT","VEDTATT",0)</f>
        <v>0</v>
      </c>
      <c r="N177" s="99">
        <f>IF(E177="MÅ","Nye tiltak",0)</f>
        <v>0</v>
      </c>
      <c r="O177" s="99"/>
      <c r="P177" s="28"/>
    </row>
    <row r="178" spans="1:16" s="38" customFormat="1" x14ac:dyDescent="0.25">
      <c r="A178" s="43"/>
      <c r="B178" s="43" t="s">
        <v>127</v>
      </c>
      <c r="C178" s="3" t="s">
        <v>182</v>
      </c>
      <c r="D178" s="52"/>
      <c r="E178" s="52"/>
      <c r="F178" s="56">
        <f>SUMIF($A:$A,"H&amp;V",F:F)</f>
        <v>19744</v>
      </c>
      <c r="G178" s="56">
        <f>SUMIF($A:$A,"H&amp;V",G:G)</f>
        <v>28022</v>
      </c>
      <c r="H178" s="56">
        <f>SUMIF($A:$A,"H&amp;V",H:H)</f>
        <v>42322</v>
      </c>
      <c r="I178" s="56">
        <f>SUMIF($A:$A,"H&amp;V",I:I)</f>
        <v>59222</v>
      </c>
      <c r="J178" s="209"/>
      <c r="K178" s="337"/>
      <c r="L178" s="337"/>
      <c r="M178" s="99"/>
      <c r="N178" s="99"/>
      <c r="O178" s="99"/>
    </row>
    <row r="179" spans="1:16" s="38" customFormat="1" x14ac:dyDescent="0.25">
      <c r="A179" s="47"/>
      <c r="B179" s="47"/>
      <c r="C179" s="11"/>
      <c r="D179" s="49"/>
      <c r="E179" s="49"/>
      <c r="F179" s="57"/>
      <c r="G179" s="57"/>
      <c r="H179" s="57"/>
      <c r="I179" s="57"/>
      <c r="J179" s="209"/>
      <c r="K179" s="28"/>
      <c r="L179" s="28"/>
      <c r="M179" s="99"/>
      <c r="N179" s="99"/>
      <c r="O179" s="99"/>
    </row>
    <row r="180" spans="1:16" s="38" customFormat="1" x14ac:dyDescent="0.25">
      <c r="A180" s="48"/>
      <c r="B180" s="48"/>
      <c r="C180" s="13" t="s">
        <v>183</v>
      </c>
      <c r="D180" s="50"/>
      <c r="E180" s="61"/>
      <c r="F180" s="58"/>
      <c r="G180" s="58"/>
      <c r="H180" s="58"/>
      <c r="I180" s="58"/>
      <c r="J180" s="209"/>
      <c r="M180" s="99"/>
      <c r="N180" s="99"/>
      <c r="O180" s="99"/>
    </row>
    <row r="181" spans="1:16" s="38" customFormat="1" x14ac:dyDescent="0.25">
      <c r="A181" s="341"/>
      <c r="B181" s="341"/>
      <c r="C181" s="82" t="s">
        <v>184</v>
      </c>
      <c r="D181" s="83"/>
      <c r="E181" s="71"/>
      <c r="F181" s="4">
        <f>F172</f>
        <v>2022</v>
      </c>
      <c r="G181" s="4">
        <f>F181+1</f>
        <v>2023</v>
      </c>
      <c r="H181" s="4">
        <f>G181+1</f>
        <v>2024</v>
      </c>
      <c r="I181" s="4">
        <f>H181+1</f>
        <v>2025</v>
      </c>
      <c r="J181" s="405"/>
      <c r="K181" s="337"/>
      <c r="L181" s="337"/>
      <c r="M181" s="99"/>
      <c r="N181" s="99"/>
      <c r="O181" s="99"/>
    </row>
    <row r="182" spans="1:16" s="38" customFormat="1" x14ac:dyDescent="0.25">
      <c r="A182" s="78" t="s">
        <v>186</v>
      </c>
      <c r="B182" s="78" t="str">
        <f t="shared" ref="B182:B190" si="45">IF(L182,K182&amp;L182,"")</f>
        <v>K1</v>
      </c>
      <c r="C182" s="212" t="s">
        <v>187</v>
      </c>
      <c r="D182" s="79" t="s">
        <v>664</v>
      </c>
      <c r="E182" s="71" t="s">
        <v>84</v>
      </c>
      <c r="F182" s="191">
        <v>-400</v>
      </c>
      <c r="G182" s="191">
        <v>-500</v>
      </c>
      <c r="H182" s="191">
        <v>-600</v>
      </c>
      <c r="I182" s="191">
        <v>-600</v>
      </c>
      <c r="J182" s="209"/>
      <c r="K182" s="28" t="s">
        <v>724</v>
      </c>
      <c r="L182" s="28">
        <v>1</v>
      </c>
      <c r="M182" s="99" t="str">
        <f>IF(E182="VEDTATT","VEDTATT",0)</f>
        <v>VEDTATT</v>
      </c>
      <c r="N182" s="99">
        <f>IF(E182="MÅ","Nye tiltak",0)</f>
        <v>0</v>
      </c>
      <c r="O182" s="99"/>
    </row>
    <row r="183" spans="1:16" s="38" customFormat="1" x14ac:dyDescent="0.25">
      <c r="A183" s="78" t="s">
        <v>186</v>
      </c>
      <c r="B183" s="78" t="str">
        <f>IF(L183,K183&amp;L183,"")</f>
        <v>K2</v>
      </c>
      <c r="C183" s="212" t="s">
        <v>951</v>
      </c>
      <c r="D183" s="79" t="s">
        <v>91</v>
      </c>
      <c r="E183" s="231">
        <v>1</v>
      </c>
      <c r="F183" s="415">
        <v>400</v>
      </c>
      <c r="G183" s="415">
        <v>100</v>
      </c>
      <c r="H183" s="415">
        <v>100</v>
      </c>
      <c r="I183" s="415"/>
      <c r="J183" s="209"/>
      <c r="K183" s="28" t="s">
        <v>724</v>
      </c>
      <c r="L183" s="28">
        <v>2</v>
      </c>
      <c r="M183" s="99"/>
      <c r="N183" s="99"/>
      <c r="O183" s="99"/>
    </row>
    <row r="184" spans="1:16" s="38" customFormat="1" x14ac:dyDescent="0.25">
      <c r="A184" s="78" t="s">
        <v>186</v>
      </c>
      <c r="B184" s="78" t="str">
        <f t="shared" si="45"/>
        <v>K3</v>
      </c>
      <c r="C184" s="344" t="s">
        <v>1033</v>
      </c>
      <c r="D184" s="79" t="s">
        <v>91</v>
      </c>
      <c r="E184" s="414" t="s">
        <v>488</v>
      </c>
      <c r="F184" s="287">
        <v>350</v>
      </c>
      <c r="G184" s="287">
        <v>350</v>
      </c>
      <c r="H184" s="287">
        <v>350</v>
      </c>
      <c r="I184" s="287">
        <v>350</v>
      </c>
      <c r="J184" s="209"/>
      <c r="K184" s="28" t="s">
        <v>724</v>
      </c>
      <c r="L184" s="28">
        <v>3</v>
      </c>
      <c r="M184" s="99"/>
      <c r="N184" s="99"/>
      <c r="O184" s="99"/>
    </row>
    <row r="185" spans="1:16" s="38" customFormat="1" x14ac:dyDescent="0.25">
      <c r="A185" s="78" t="s">
        <v>186</v>
      </c>
      <c r="B185" s="78" t="str">
        <f t="shared" ref="B185" si="46">IF(L185,K185&amp;L185,"")</f>
        <v>K4</v>
      </c>
      <c r="C185" s="344" t="s">
        <v>952</v>
      </c>
      <c r="D185" s="79" t="s">
        <v>91</v>
      </c>
      <c r="E185" s="231">
        <v>2</v>
      </c>
      <c r="F185" s="287">
        <v>300</v>
      </c>
      <c r="G185" s="287">
        <v>400</v>
      </c>
      <c r="H185" s="287">
        <v>500</v>
      </c>
      <c r="I185" s="287">
        <v>600</v>
      </c>
      <c r="J185" s="209"/>
      <c r="K185" s="28" t="s">
        <v>724</v>
      </c>
      <c r="L185" s="28">
        <v>4</v>
      </c>
      <c r="M185" s="99"/>
      <c r="N185" s="99"/>
      <c r="O185" s="99"/>
    </row>
    <row r="186" spans="1:16" s="38" customFormat="1" x14ac:dyDescent="0.25">
      <c r="A186" s="78" t="s">
        <v>186</v>
      </c>
      <c r="B186" s="78" t="str">
        <f t="shared" si="45"/>
        <v>K5</v>
      </c>
      <c r="C186" s="344" t="s">
        <v>954</v>
      </c>
      <c r="D186" s="79" t="s">
        <v>91</v>
      </c>
      <c r="E186" s="231">
        <v>1</v>
      </c>
      <c r="F186" s="287">
        <v>138</v>
      </c>
      <c r="G186" s="287">
        <v>138</v>
      </c>
      <c r="H186" s="287">
        <v>138</v>
      </c>
      <c r="I186" s="287">
        <v>138</v>
      </c>
      <c r="J186" s="209"/>
      <c r="K186" s="28" t="s">
        <v>724</v>
      </c>
      <c r="L186" s="28">
        <v>5</v>
      </c>
      <c r="M186" s="99">
        <f t="shared" ref="M186:M198" si="47">IF(E186="VEDTATT","VEDTATT",0)</f>
        <v>0</v>
      </c>
      <c r="N186" s="99">
        <f t="shared" ref="N186:N198" si="48">IF(E186="MÅ","Nye tiltak",0)</f>
        <v>0</v>
      </c>
      <c r="O186" s="99"/>
    </row>
    <row r="187" spans="1:16" s="38" customFormat="1" ht="30.75" customHeight="1" x14ac:dyDescent="0.25">
      <c r="A187" s="78" t="s">
        <v>186</v>
      </c>
      <c r="B187" s="78" t="str">
        <f t="shared" si="45"/>
        <v>K6</v>
      </c>
      <c r="C187" s="344" t="s">
        <v>956</v>
      </c>
      <c r="D187" s="79" t="s">
        <v>91</v>
      </c>
      <c r="E187" s="231">
        <v>1</v>
      </c>
      <c r="F187" s="287">
        <v>235</v>
      </c>
      <c r="G187" s="287">
        <v>235</v>
      </c>
      <c r="H187" s="287">
        <v>235</v>
      </c>
      <c r="I187" s="287">
        <v>235</v>
      </c>
      <c r="J187" s="209"/>
      <c r="K187" s="28" t="s">
        <v>724</v>
      </c>
      <c r="L187" s="28">
        <v>6</v>
      </c>
      <c r="M187" s="99">
        <f t="shared" si="47"/>
        <v>0</v>
      </c>
      <c r="N187" s="99">
        <f t="shared" si="48"/>
        <v>0</v>
      </c>
      <c r="O187" s="99"/>
    </row>
    <row r="188" spans="1:16" s="38" customFormat="1" ht="26.25" customHeight="1" x14ac:dyDescent="0.25">
      <c r="A188" s="78" t="s">
        <v>186</v>
      </c>
      <c r="B188" s="78" t="str">
        <f t="shared" si="45"/>
        <v>K7</v>
      </c>
      <c r="C188" s="212" t="s">
        <v>1034</v>
      </c>
      <c r="D188" s="79" t="s">
        <v>91</v>
      </c>
      <c r="E188" s="414" t="s">
        <v>488</v>
      </c>
      <c r="F188" s="415">
        <v>100</v>
      </c>
      <c r="G188" s="415">
        <v>200</v>
      </c>
      <c r="H188" s="415">
        <v>500</v>
      </c>
      <c r="I188" s="415">
        <v>500</v>
      </c>
      <c r="J188" s="209"/>
      <c r="K188" s="28" t="s">
        <v>724</v>
      </c>
      <c r="L188" s="28">
        <v>7</v>
      </c>
      <c r="M188" s="99">
        <f t="shared" si="47"/>
        <v>0</v>
      </c>
      <c r="N188" s="99">
        <f t="shared" si="48"/>
        <v>0</v>
      </c>
      <c r="O188" s="99"/>
    </row>
    <row r="189" spans="1:16" s="38" customFormat="1" ht="25.5" x14ac:dyDescent="0.25">
      <c r="A189" s="78" t="s">
        <v>186</v>
      </c>
      <c r="B189" s="78" t="str">
        <f t="shared" si="45"/>
        <v>K8</v>
      </c>
      <c r="C189" s="212" t="s">
        <v>1035</v>
      </c>
      <c r="D189" s="79" t="s">
        <v>91</v>
      </c>
      <c r="E189" s="414" t="s">
        <v>488</v>
      </c>
      <c r="F189" s="415">
        <v>794</v>
      </c>
      <c r="G189" s="415">
        <v>794</v>
      </c>
      <c r="H189" s="415">
        <v>794</v>
      </c>
      <c r="I189" s="415">
        <v>794</v>
      </c>
      <c r="J189" s="209"/>
      <c r="K189" s="28" t="s">
        <v>724</v>
      </c>
      <c r="L189" s="28">
        <v>8</v>
      </c>
      <c r="M189" s="99">
        <f t="shared" si="47"/>
        <v>0</v>
      </c>
      <c r="N189" s="99">
        <f t="shared" si="48"/>
        <v>0</v>
      </c>
      <c r="O189" s="99"/>
    </row>
    <row r="190" spans="1:16" s="38" customFormat="1" x14ac:dyDescent="0.25">
      <c r="A190" s="78" t="s">
        <v>186</v>
      </c>
      <c r="B190" s="78" t="str">
        <f t="shared" si="45"/>
        <v>K9</v>
      </c>
      <c r="C190" s="212" t="s">
        <v>958</v>
      </c>
      <c r="D190" s="79" t="s">
        <v>91</v>
      </c>
      <c r="E190" s="231">
        <v>2</v>
      </c>
      <c r="F190" s="415">
        <v>200</v>
      </c>
      <c r="G190" s="415">
        <v>200</v>
      </c>
      <c r="H190" s="415">
        <v>200</v>
      </c>
      <c r="I190" s="415">
        <v>200</v>
      </c>
      <c r="J190" s="257"/>
      <c r="K190" s="28" t="s">
        <v>724</v>
      </c>
      <c r="L190" s="28">
        <v>9</v>
      </c>
      <c r="M190" s="99">
        <f t="shared" si="47"/>
        <v>0</v>
      </c>
      <c r="N190" s="99">
        <f t="shared" si="48"/>
        <v>0</v>
      </c>
      <c r="O190" s="99"/>
    </row>
    <row r="191" spans="1:16" s="38" customFormat="1" ht="25.5" x14ac:dyDescent="0.25">
      <c r="A191" s="78" t="s">
        <v>186</v>
      </c>
      <c r="B191" s="78" t="str">
        <f t="shared" ref="B191:B199" si="49">IF(L191,K191&amp;L191,"")</f>
        <v>K10</v>
      </c>
      <c r="C191" s="212" t="s">
        <v>959</v>
      </c>
      <c r="D191" s="79" t="s">
        <v>91</v>
      </c>
      <c r="E191" s="231">
        <v>2</v>
      </c>
      <c r="F191" s="415">
        <v>375</v>
      </c>
      <c r="G191" s="415">
        <v>375</v>
      </c>
      <c r="H191" s="415">
        <v>375</v>
      </c>
      <c r="I191" s="415">
        <v>375</v>
      </c>
      <c r="J191" s="209"/>
      <c r="K191" s="28" t="s">
        <v>724</v>
      </c>
      <c r="L191" s="28">
        <v>10</v>
      </c>
      <c r="M191" s="99">
        <f t="shared" si="47"/>
        <v>0</v>
      </c>
      <c r="N191" s="99">
        <f t="shared" si="48"/>
        <v>0</v>
      </c>
      <c r="O191" s="99"/>
    </row>
    <row r="192" spans="1:16" s="38" customFormat="1" ht="23.25" customHeight="1" x14ac:dyDescent="0.25">
      <c r="A192" s="78" t="s">
        <v>186</v>
      </c>
      <c r="B192" s="78" t="str">
        <f t="shared" si="49"/>
        <v>K11</v>
      </c>
      <c r="C192" s="212" t="s">
        <v>1036</v>
      </c>
      <c r="D192" s="79" t="s">
        <v>91</v>
      </c>
      <c r="E192" s="414" t="s">
        <v>488</v>
      </c>
      <c r="F192" s="415">
        <v>150</v>
      </c>
      <c r="G192" s="415">
        <v>150</v>
      </c>
      <c r="H192" s="415">
        <v>150</v>
      </c>
      <c r="I192" s="415">
        <v>150</v>
      </c>
      <c r="J192" s="209"/>
      <c r="K192" s="28" t="s">
        <v>724</v>
      </c>
      <c r="L192" s="28">
        <v>11</v>
      </c>
      <c r="M192" s="99">
        <f t="shared" si="47"/>
        <v>0</v>
      </c>
      <c r="N192" s="99">
        <f t="shared" si="48"/>
        <v>0</v>
      </c>
      <c r="O192" s="99"/>
    </row>
    <row r="193" spans="1:15" s="38" customFormat="1" ht="25.5" x14ac:dyDescent="0.25">
      <c r="A193" s="78" t="s">
        <v>186</v>
      </c>
      <c r="B193" s="78" t="str">
        <f t="shared" si="49"/>
        <v>K12</v>
      </c>
      <c r="C193" s="212" t="s">
        <v>1037</v>
      </c>
      <c r="D193" s="79" t="s">
        <v>91</v>
      </c>
      <c r="E193" s="414" t="s">
        <v>488</v>
      </c>
      <c r="F193" s="415">
        <v>750</v>
      </c>
      <c r="G193" s="415"/>
      <c r="H193" s="415"/>
      <c r="I193" s="415"/>
      <c r="J193" s="209"/>
      <c r="K193" s="28" t="s">
        <v>724</v>
      </c>
      <c r="L193" s="28">
        <v>12</v>
      </c>
      <c r="M193" s="99">
        <f t="shared" si="47"/>
        <v>0</v>
      </c>
      <c r="N193" s="99">
        <f t="shared" si="48"/>
        <v>0</v>
      </c>
      <c r="O193" s="99"/>
    </row>
    <row r="194" spans="1:15" s="38" customFormat="1" x14ac:dyDescent="0.25">
      <c r="A194" s="78" t="s">
        <v>186</v>
      </c>
      <c r="B194" s="78" t="str">
        <f t="shared" si="49"/>
        <v>K13</v>
      </c>
      <c r="C194" s="212" t="s">
        <v>865</v>
      </c>
      <c r="D194" s="79" t="s">
        <v>91</v>
      </c>
      <c r="E194" s="231">
        <v>1</v>
      </c>
      <c r="F194" s="415">
        <v>300</v>
      </c>
      <c r="G194" s="415">
        <v>300</v>
      </c>
      <c r="H194" s="415">
        <v>300</v>
      </c>
      <c r="I194" s="415">
        <v>300</v>
      </c>
      <c r="J194" s="209"/>
      <c r="K194" s="28" t="s">
        <v>724</v>
      </c>
      <c r="L194" s="28">
        <v>13</v>
      </c>
      <c r="M194" s="99">
        <f t="shared" si="47"/>
        <v>0</v>
      </c>
      <c r="N194" s="99">
        <f t="shared" si="48"/>
        <v>0</v>
      </c>
      <c r="O194" s="99"/>
    </row>
    <row r="195" spans="1:15" s="38" customFormat="1" x14ac:dyDescent="0.25">
      <c r="A195" s="78" t="s">
        <v>186</v>
      </c>
      <c r="B195" s="78" t="str">
        <f t="shared" si="49"/>
        <v>K14</v>
      </c>
      <c r="C195" s="291"/>
      <c r="D195" s="79"/>
      <c r="E195" s="414"/>
      <c r="F195" s="415"/>
      <c r="G195" s="415"/>
      <c r="H195" s="415"/>
      <c r="I195" s="415"/>
      <c r="J195" s="209"/>
      <c r="K195" s="28" t="s">
        <v>724</v>
      </c>
      <c r="L195" s="28">
        <v>14</v>
      </c>
      <c r="M195" s="99">
        <f t="shared" si="47"/>
        <v>0</v>
      </c>
      <c r="N195" s="99">
        <f t="shared" si="48"/>
        <v>0</v>
      </c>
      <c r="O195" s="99"/>
    </row>
    <row r="196" spans="1:15" s="38" customFormat="1" x14ac:dyDescent="0.25">
      <c r="A196" s="78" t="s">
        <v>186</v>
      </c>
      <c r="B196" s="78" t="str">
        <f t="shared" si="49"/>
        <v>K15</v>
      </c>
      <c r="C196" s="387" t="s">
        <v>185</v>
      </c>
      <c r="D196" s="79"/>
      <c r="E196" s="71"/>
      <c r="F196" s="191"/>
      <c r="G196" s="191"/>
      <c r="H196" s="191"/>
      <c r="I196" s="191"/>
      <c r="J196" s="209"/>
      <c r="K196" s="28" t="s">
        <v>724</v>
      </c>
      <c r="L196" s="28">
        <v>15</v>
      </c>
      <c r="M196" s="99">
        <f t="shared" si="47"/>
        <v>0</v>
      </c>
      <c r="N196" s="99">
        <f t="shared" si="48"/>
        <v>0</v>
      </c>
      <c r="O196" s="99"/>
    </row>
    <row r="197" spans="1:15" s="38" customFormat="1" x14ac:dyDescent="0.25">
      <c r="A197" s="78" t="s">
        <v>186</v>
      </c>
      <c r="B197" s="78" t="str">
        <f t="shared" si="49"/>
        <v>K16</v>
      </c>
      <c r="C197" s="213" t="s">
        <v>728</v>
      </c>
      <c r="D197" s="72" t="s">
        <v>664</v>
      </c>
      <c r="E197" s="71" t="s">
        <v>84</v>
      </c>
      <c r="F197" s="70">
        <v>0</v>
      </c>
      <c r="G197" s="70">
        <v>50</v>
      </c>
      <c r="H197" s="70">
        <v>50</v>
      </c>
      <c r="I197" s="70">
        <v>50</v>
      </c>
      <c r="J197" s="406"/>
      <c r="K197" s="28" t="s">
        <v>724</v>
      </c>
      <c r="L197" s="28">
        <v>16</v>
      </c>
      <c r="M197" s="99" t="str">
        <f t="shared" si="47"/>
        <v>VEDTATT</v>
      </c>
      <c r="N197" s="99">
        <f t="shared" si="48"/>
        <v>0</v>
      </c>
      <c r="O197" s="99"/>
    </row>
    <row r="198" spans="1:15" s="38" customFormat="1" x14ac:dyDescent="0.25">
      <c r="A198" s="78" t="s">
        <v>186</v>
      </c>
      <c r="B198" s="78" t="str">
        <f t="shared" si="49"/>
        <v>K17</v>
      </c>
      <c r="C198" s="213" t="s">
        <v>730</v>
      </c>
      <c r="D198" s="72" t="s">
        <v>664</v>
      </c>
      <c r="E198" s="71" t="s">
        <v>84</v>
      </c>
      <c r="F198" s="90">
        <v>360</v>
      </c>
      <c r="G198" s="90">
        <v>360</v>
      </c>
      <c r="H198" s="90">
        <v>360</v>
      </c>
      <c r="I198" s="90">
        <v>360</v>
      </c>
      <c r="J198" s="406" t="s">
        <v>1038</v>
      </c>
      <c r="K198" s="28" t="s">
        <v>724</v>
      </c>
      <c r="L198" s="28">
        <v>17</v>
      </c>
      <c r="M198" s="99" t="str">
        <f t="shared" si="47"/>
        <v>VEDTATT</v>
      </c>
      <c r="N198" s="99">
        <f t="shared" si="48"/>
        <v>0</v>
      </c>
      <c r="O198" s="99"/>
    </row>
    <row r="199" spans="1:15" s="38" customFormat="1" x14ac:dyDescent="0.25">
      <c r="A199" s="78" t="s">
        <v>186</v>
      </c>
      <c r="B199" s="78" t="str">
        <f t="shared" si="49"/>
        <v>K18</v>
      </c>
      <c r="C199" s="213" t="s">
        <v>730</v>
      </c>
      <c r="D199" s="72" t="s">
        <v>664</v>
      </c>
      <c r="E199" s="71" t="s">
        <v>84</v>
      </c>
      <c r="F199" s="90">
        <v>0</v>
      </c>
      <c r="G199" s="90">
        <v>1500</v>
      </c>
      <c r="H199" s="90">
        <v>3000</v>
      </c>
      <c r="I199" s="90">
        <v>3000</v>
      </c>
      <c r="J199" s="406" t="s">
        <v>1038</v>
      </c>
      <c r="K199" s="28" t="s">
        <v>724</v>
      </c>
      <c r="L199" s="28">
        <v>18</v>
      </c>
      <c r="M199" s="99"/>
      <c r="N199" s="99"/>
      <c r="O199" s="99"/>
    </row>
    <row r="200" spans="1:15" s="38" customFormat="1" x14ac:dyDescent="0.25">
      <c r="A200" s="78"/>
      <c r="B200" s="78"/>
      <c r="C200" s="82"/>
      <c r="D200" s="72"/>
      <c r="E200" s="71"/>
      <c r="F200" s="70"/>
      <c r="G200" s="70"/>
      <c r="H200" s="70"/>
      <c r="I200" s="70"/>
      <c r="J200" s="209"/>
      <c r="K200" s="28" t="s">
        <v>724</v>
      </c>
      <c r="L200" s="28">
        <v>19</v>
      </c>
      <c r="M200" s="99"/>
      <c r="N200" s="99"/>
      <c r="O200" s="99"/>
    </row>
    <row r="201" spans="1:15" s="38" customFormat="1" x14ac:dyDescent="0.25">
      <c r="A201" s="43"/>
      <c r="B201" s="43" t="s">
        <v>127</v>
      </c>
      <c r="C201" s="3" t="s">
        <v>203</v>
      </c>
      <c r="D201" s="52"/>
      <c r="E201" s="52"/>
      <c r="F201" s="56">
        <f>SUMIF($A:$A,"KuN",F:F)</f>
        <v>4052</v>
      </c>
      <c r="G201" s="56">
        <f>SUMIF($A:$A,"KuN",G:G)</f>
        <v>4652</v>
      </c>
      <c r="H201" s="56">
        <f>SUMIF($A:$A,"KuN",H:H)</f>
        <v>6452</v>
      </c>
      <c r="I201" s="56">
        <f>SUMIF($A:$A,"KuN",I:I)</f>
        <v>6452</v>
      </c>
      <c r="J201" s="407"/>
      <c r="K201" s="337"/>
      <c r="L201" s="337"/>
      <c r="M201" s="99"/>
      <c r="N201" s="99"/>
      <c r="O201" s="99"/>
    </row>
    <row r="202" spans="1:15" s="38" customFormat="1" x14ac:dyDescent="0.25">
      <c r="A202" s="47"/>
      <c r="B202" s="47"/>
      <c r="C202" s="11"/>
      <c r="D202" s="49"/>
      <c r="E202" s="49"/>
      <c r="F202" s="57"/>
      <c r="G202" s="57"/>
      <c r="H202" s="57"/>
      <c r="I202" s="57"/>
      <c r="J202" s="407"/>
      <c r="K202" s="28"/>
      <c r="L202" s="28"/>
      <c r="M202" s="99"/>
      <c r="N202" s="99"/>
      <c r="O202" s="99"/>
    </row>
    <row r="203" spans="1:15" s="38" customFormat="1" x14ac:dyDescent="0.25">
      <c r="A203" s="48"/>
      <c r="B203" s="48"/>
      <c r="C203" s="248" t="s">
        <v>204</v>
      </c>
      <c r="D203" s="83"/>
      <c r="E203" s="71"/>
      <c r="F203" s="4">
        <f>F181</f>
        <v>2022</v>
      </c>
      <c r="G203" s="4">
        <f>F203+1</f>
        <v>2023</v>
      </c>
      <c r="H203" s="4">
        <f>G203+1</f>
        <v>2024</v>
      </c>
      <c r="I203" s="4">
        <f>H203+1</f>
        <v>2025</v>
      </c>
      <c r="J203" s="407"/>
      <c r="K203" s="337"/>
      <c r="L203" s="337"/>
      <c r="M203" s="99"/>
      <c r="N203" s="99"/>
      <c r="O203" s="99"/>
    </row>
    <row r="204" spans="1:15" s="38" customFormat="1" x14ac:dyDescent="0.25">
      <c r="A204" s="78"/>
      <c r="B204" s="78"/>
      <c r="C204" s="344"/>
      <c r="D204" s="72"/>
      <c r="E204" s="71"/>
      <c r="F204" s="217"/>
      <c r="G204" s="217"/>
      <c r="H204" s="217"/>
      <c r="I204" s="217"/>
      <c r="J204" s="407"/>
      <c r="K204" s="28"/>
      <c r="L204" s="28"/>
      <c r="M204" s="99"/>
      <c r="N204" s="99"/>
      <c r="O204" s="99"/>
    </row>
    <row r="205" spans="1:15" s="38" customFormat="1" x14ac:dyDescent="0.25">
      <c r="A205" s="78"/>
      <c r="B205" s="78"/>
      <c r="C205" s="343"/>
      <c r="D205" s="288"/>
      <c r="E205" s="289"/>
      <c r="F205" s="345"/>
      <c r="G205" s="345"/>
      <c r="H205" s="345"/>
      <c r="I205" s="345"/>
      <c r="J205" s="407"/>
      <c r="K205" s="28"/>
      <c r="L205" s="28"/>
      <c r="M205" s="99"/>
      <c r="N205" s="99"/>
      <c r="O205" s="99"/>
    </row>
    <row r="206" spans="1:15" s="38" customFormat="1" x14ac:dyDescent="0.25">
      <c r="A206" s="78" t="s">
        <v>206</v>
      </c>
      <c r="B206" s="78" t="str">
        <f t="shared" ref="B206:B232" si="50">IF(L206,K206&amp;L206,"")</f>
        <v/>
      </c>
      <c r="C206" s="343"/>
      <c r="D206" s="288"/>
      <c r="E206" s="289"/>
      <c r="F206" s="345"/>
      <c r="G206" s="345"/>
      <c r="H206" s="345"/>
      <c r="I206" s="345"/>
      <c r="J206" s="407"/>
      <c r="K206" s="28" t="s">
        <v>735</v>
      </c>
      <c r="L206" s="28"/>
      <c r="M206" s="99"/>
      <c r="N206" s="99"/>
      <c r="O206" s="99"/>
    </row>
    <row r="207" spans="1:15" s="38" customFormat="1" x14ac:dyDescent="0.25">
      <c r="A207" s="48"/>
      <c r="B207" s="78" t="str">
        <f t="shared" si="50"/>
        <v/>
      </c>
      <c r="C207" s="208" t="s">
        <v>205</v>
      </c>
      <c r="D207" s="83"/>
      <c r="E207" s="71"/>
      <c r="F207" s="4">
        <f>F203</f>
        <v>2022</v>
      </c>
      <c r="G207" s="4">
        <f>F207+1</f>
        <v>2023</v>
      </c>
      <c r="H207" s="4">
        <f>G207+1</f>
        <v>2024</v>
      </c>
      <c r="I207" s="4">
        <f>H207+1</f>
        <v>2025</v>
      </c>
      <c r="J207" s="407"/>
      <c r="K207" s="337"/>
      <c r="L207" s="337"/>
      <c r="M207" s="99"/>
      <c r="N207" s="99"/>
      <c r="O207" s="99"/>
    </row>
    <row r="208" spans="1:15" s="38" customFormat="1" x14ac:dyDescent="0.25">
      <c r="A208" s="78" t="s">
        <v>206</v>
      </c>
      <c r="B208" s="78" t="str">
        <f t="shared" si="50"/>
        <v>T1</v>
      </c>
      <c r="C208" s="212" t="s">
        <v>734</v>
      </c>
      <c r="D208" s="72" t="s">
        <v>91</v>
      </c>
      <c r="E208" s="71" t="s">
        <v>24</v>
      </c>
      <c r="F208" s="373">
        <v>500</v>
      </c>
      <c r="G208" s="373">
        <v>500</v>
      </c>
      <c r="H208" s="373">
        <v>500</v>
      </c>
      <c r="I208" s="398">
        <v>500</v>
      </c>
      <c r="J208" s="93" t="s">
        <v>691</v>
      </c>
      <c r="K208" s="28" t="s">
        <v>735</v>
      </c>
      <c r="L208" s="28">
        <f>L205+1</f>
        <v>1</v>
      </c>
      <c r="M208" s="99"/>
      <c r="N208" s="99"/>
      <c r="O208" s="99"/>
    </row>
    <row r="209" spans="1:15" s="38" customFormat="1" ht="25.5" x14ac:dyDescent="0.25">
      <c r="A209" s="78" t="s">
        <v>206</v>
      </c>
      <c r="B209" s="78" t="str">
        <f t="shared" si="50"/>
        <v>T2</v>
      </c>
      <c r="C209" s="212" t="s">
        <v>736</v>
      </c>
      <c r="D209" s="72" t="s">
        <v>91</v>
      </c>
      <c r="E209" s="231">
        <v>1</v>
      </c>
      <c r="F209" s="373">
        <v>700</v>
      </c>
      <c r="G209" s="373">
        <v>700</v>
      </c>
      <c r="H209" s="373">
        <v>700</v>
      </c>
      <c r="I209" s="398">
        <v>700</v>
      </c>
      <c r="J209" s="93" t="s">
        <v>737</v>
      </c>
      <c r="K209" s="28" t="s">
        <v>735</v>
      </c>
      <c r="L209" s="28">
        <f t="shared" ref="L209:L213" si="51">L208+1</f>
        <v>2</v>
      </c>
      <c r="M209" s="99"/>
      <c r="N209" s="99"/>
      <c r="O209" s="99"/>
    </row>
    <row r="210" spans="1:15" s="38" customFormat="1" x14ac:dyDescent="0.25">
      <c r="A210" s="78" t="s">
        <v>206</v>
      </c>
      <c r="B210" s="78" t="str">
        <f t="shared" si="50"/>
        <v>T3</v>
      </c>
      <c r="C210" s="212" t="s">
        <v>207</v>
      </c>
      <c r="D210" s="72" t="s">
        <v>91</v>
      </c>
      <c r="E210" s="231">
        <v>1</v>
      </c>
      <c r="F210" s="398">
        <v>6500</v>
      </c>
      <c r="G210" s="398">
        <v>8000</v>
      </c>
      <c r="H210" s="398">
        <v>9000</v>
      </c>
      <c r="I210" s="398">
        <v>9000</v>
      </c>
      <c r="J210" s="93" t="s">
        <v>738</v>
      </c>
      <c r="K210" s="28" t="s">
        <v>735</v>
      </c>
      <c r="L210" s="28">
        <f t="shared" si="51"/>
        <v>3</v>
      </c>
      <c r="M210" s="99"/>
      <c r="N210" s="99"/>
      <c r="O210" s="99"/>
    </row>
    <row r="211" spans="1:15" s="38" customFormat="1" x14ac:dyDescent="0.25">
      <c r="A211" s="78" t="s">
        <v>206</v>
      </c>
      <c r="B211" s="78" t="str">
        <f t="shared" si="50"/>
        <v>T4</v>
      </c>
      <c r="C211" s="212" t="s">
        <v>1039</v>
      </c>
      <c r="D211" s="72" t="s">
        <v>91</v>
      </c>
      <c r="E211" s="231" t="s">
        <v>488</v>
      </c>
      <c r="F211" s="398">
        <v>500</v>
      </c>
      <c r="G211" s="398">
        <v>500</v>
      </c>
      <c r="H211" s="398">
        <v>500</v>
      </c>
      <c r="I211" s="398">
        <v>500</v>
      </c>
      <c r="J211" s="93" t="s">
        <v>1040</v>
      </c>
      <c r="K211" s="28" t="s">
        <v>735</v>
      </c>
      <c r="L211" s="28">
        <f t="shared" si="51"/>
        <v>4</v>
      </c>
      <c r="M211" s="99"/>
      <c r="N211" s="99"/>
      <c r="O211" s="99"/>
    </row>
    <row r="212" spans="1:15" s="38" customFormat="1" ht="25.5" x14ac:dyDescent="0.25">
      <c r="A212" s="78" t="s">
        <v>206</v>
      </c>
      <c r="B212" s="78" t="str">
        <f t="shared" si="50"/>
        <v>T5</v>
      </c>
      <c r="C212" s="212" t="s">
        <v>564</v>
      </c>
      <c r="D212" s="72" t="s">
        <v>91</v>
      </c>
      <c r="E212" s="231" t="s">
        <v>24</v>
      </c>
      <c r="F212" s="398">
        <v>250</v>
      </c>
      <c r="G212" s="398">
        <v>300</v>
      </c>
      <c r="H212" s="398">
        <v>350</v>
      </c>
      <c r="I212" s="398">
        <v>400</v>
      </c>
      <c r="J212" s="93" t="s">
        <v>739</v>
      </c>
      <c r="K212" s="28" t="s">
        <v>735</v>
      </c>
      <c r="L212" s="28">
        <f t="shared" si="51"/>
        <v>5</v>
      </c>
      <c r="M212" s="99"/>
      <c r="N212" s="99"/>
      <c r="O212" s="99"/>
    </row>
    <row r="213" spans="1:15" s="38" customFormat="1" x14ac:dyDescent="0.25">
      <c r="A213" s="78" t="s">
        <v>206</v>
      </c>
      <c r="B213" s="78" t="str">
        <f t="shared" si="50"/>
        <v>T6</v>
      </c>
      <c r="C213" s="212" t="s">
        <v>962</v>
      </c>
      <c r="D213" s="72" t="s">
        <v>91</v>
      </c>
      <c r="E213" s="231">
        <v>1</v>
      </c>
      <c r="F213" s="398">
        <v>2500</v>
      </c>
      <c r="G213" s="398">
        <v>2500</v>
      </c>
      <c r="H213" s="398">
        <v>2500</v>
      </c>
      <c r="I213" s="398">
        <v>2500</v>
      </c>
      <c r="J213" s="93"/>
      <c r="K213" s="28" t="s">
        <v>735</v>
      </c>
      <c r="L213" s="28">
        <f t="shared" si="51"/>
        <v>6</v>
      </c>
      <c r="M213" s="99"/>
      <c r="N213" s="99"/>
      <c r="O213" s="99"/>
    </row>
    <row r="214" spans="1:15" s="38" customFormat="1" x14ac:dyDescent="0.25">
      <c r="A214" s="78"/>
      <c r="B214" s="78" t="str">
        <f t="shared" si="50"/>
        <v/>
      </c>
      <c r="C214" s="212"/>
      <c r="D214" s="72"/>
      <c r="E214" s="71"/>
      <c r="F214" s="217"/>
      <c r="G214" s="217"/>
      <c r="H214" s="217"/>
      <c r="I214" s="217"/>
      <c r="J214" s="93"/>
      <c r="K214" s="28"/>
      <c r="L214" s="28"/>
      <c r="M214" s="99"/>
      <c r="N214" s="99"/>
      <c r="O214" s="99"/>
    </row>
    <row r="215" spans="1:15" s="38" customFormat="1" x14ac:dyDescent="0.25">
      <c r="A215" s="78"/>
      <c r="B215" s="78" t="str">
        <f t="shared" si="50"/>
        <v/>
      </c>
      <c r="C215" s="208" t="s">
        <v>209</v>
      </c>
      <c r="D215" s="72"/>
      <c r="E215" s="71"/>
      <c r="F215" s="4">
        <f>F207</f>
        <v>2022</v>
      </c>
      <c r="G215" s="4">
        <f>F215+1</f>
        <v>2023</v>
      </c>
      <c r="H215" s="4">
        <f>G215+1</f>
        <v>2024</v>
      </c>
      <c r="I215" s="4">
        <f>H215+1</f>
        <v>2025</v>
      </c>
      <c r="J215" s="407"/>
      <c r="K215" s="337"/>
      <c r="L215" s="337"/>
      <c r="M215" s="99"/>
      <c r="N215" s="99"/>
      <c r="O215" s="99"/>
    </row>
    <row r="216" spans="1:15" s="38" customFormat="1" x14ac:dyDescent="0.25">
      <c r="A216" s="78" t="s">
        <v>206</v>
      </c>
      <c r="B216" s="78" t="str">
        <f t="shared" si="50"/>
        <v>T7</v>
      </c>
      <c r="C216" s="344" t="s">
        <v>211</v>
      </c>
      <c r="D216" s="72" t="s">
        <v>664</v>
      </c>
      <c r="E216" s="71" t="s">
        <v>84</v>
      </c>
      <c r="F216" s="217"/>
      <c r="G216" s="217">
        <v>-450</v>
      </c>
      <c r="H216" s="217">
        <v>-450</v>
      </c>
      <c r="I216" s="217">
        <v>-450</v>
      </c>
      <c r="J216" s="407" t="s">
        <v>742</v>
      </c>
      <c r="K216" s="28" t="s">
        <v>735</v>
      </c>
      <c r="L216" s="28">
        <f>L213+1</f>
        <v>7</v>
      </c>
      <c r="M216" s="99" t="str">
        <f>IF(E216="VEDTATT","VEDTATT",0)</f>
        <v>VEDTATT</v>
      </c>
      <c r="N216" s="99">
        <f>IF(E216="MÅ","Nye tiltak",0)</f>
        <v>0</v>
      </c>
      <c r="O216" s="99"/>
    </row>
    <row r="217" spans="1:15" s="38" customFormat="1" x14ac:dyDescent="0.25">
      <c r="A217" s="78"/>
      <c r="B217" s="78" t="str">
        <f t="shared" si="50"/>
        <v/>
      </c>
      <c r="C217" s="344"/>
      <c r="D217" s="72"/>
      <c r="E217" s="71"/>
      <c r="F217" s="217"/>
      <c r="G217" s="217"/>
      <c r="H217" s="217"/>
      <c r="I217" s="217"/>
      <c r="J217" s="407"/>
      <c r="K217" s="28"/>
      <c r="L217" s="28"/>
      <c r="M217" s="99"/>
      <c r="N217" s="99"/>
      <c r="O217" s="99"/>
    </row>
    <row r="218" spans="1:15" s="38" customFormat="1" x14ac:dyDescent="0.25">
      <c r="A218" s="78"/>
      <c r="B218" s="78" t="str">
        <f t="shared" si="50"/>
        <v/>
      </c>
      <c r="C218" s="208" t="s">
        <v>213</v>
      </c>
      <c r="D218" s="72"/>
      <c r="E218" s="71"/>
      <c r="F218" s="4">
        <f>F215</f>
        <v>2022</v>
      </c>
      <c r="G218" s="4">
        <f>F218+1</f>
        <v>2023</v>
      </c>
      <c r="H218" s="4">
        <f>G218+1</f>
        <v>2024</v>
      </c>
      <c r="I218" s="4">
        <f>H218+1</f>
        <v>2025</v>
      </c>
      <c r="J218" s="407"/>
      <c r="K218" s="337"/>
      <c r="L218" s="337"/>
      <c r="M218" s="99"/>
      <c r="N218" s="99"/>
      <c r="O218" s="99"/>
    </row>
    <row r="219" spans="1:15" s="38" customFormat="1" x14ac:dyDescent="0.25">
      <c r="A219" s="45" t="s">
        <v>206</v>
      </c>
      <c r="B219" s="78" t="str">
        <f t="shared" ref="B219:B220" si="52">IF(L219,K219&amp;L219,"")</f>
        <v>T8</v>
      </c>
      <c r="C219" s="212" t="s">
        <v>743</v>
      </c>
      <c r="D219" s="72" t="s">
        <v>664</v>
      </c>
      <c r="E219" s="71" t="s">
        <v>84</v>
      </c>
      <c r="F219" s="217">
        <v>0</v>
      </c>
      <c r="G219" s="217">
        <v>-350</v>
      </c>
      <c r="H219" s="217">
        <v>-350</v>
      </c>
      <c r="I219" s="217">
        <v>-350</v>
      </c>
      <c r="J219" s="407"/>
      <c r="K219" s="28" t="s">
        <v>735</v>
      </c>
      <c r="L219" s="28">
        <f>+L216+1</f>
        <v>8</v>
      </c>
      <c r="M219" s="99" t="str">
        <f t="shared" ref="M219:M249" si="53">IF(E219="VEDTATT","VEDTATT",0)</f>
        <v>VEDTATT</v>
      </c>
      <c r="N219" s="99"/>
      <c r="O219" s="99"/>
    </row>
    <row r="220" spans="1:15" s="38" customFormat="1" x14ac:dyDescent="0.25">
      <c r="A220" s="45" t="s">
        <v>206</v>
      </c>
      <c r="B220" s="78" t="str">
        <f t="shared" si="52"/>
        <v>T9</v>
      </c>
      <c r="C220" s="212" t="s">
        <v>871</v>
      </c>
      <c r="D220" s="72" t="s">
        <v>664</v>
      </c>
      <c r="E220" s="71" t="s">
        <v>84</v>
      </c>
      <c r="F220" s="217">
        <v>0</v>
      </c>
      <c r="G220" s="217">
        <v>2500</v>
      </c>
      <c r="H220" s="217">
        <v>2500</v>
      </c>
      <c r="I220" s="217">
        <v>2500</v>
      </c>
      <c r="J220" s="407"/>
      <c r="K220" s="28" t="s">
        <v>735</v>
      </c>
      <c r="L220" s="28">
        <f>+L219+1</f>
        <v>9</v>
      </c>
      <c r="M220" s="99" t="str">
        <f t="shared" si="53"/>
        <v>VEDTATT</v>
      </c>
      <c r="N220" s="99"/>
      <c r="O220" s="99"/>
    </row>
    <row r="221" spans="1:15" s="38" customFormat="1" x14ac:dyDescent="0.25">
      <c r="A221" s="45" t="s">
        <v>206</v>
      </c>
      <c r="B221" s="78" t="str">
        <f t="shared" si="50"/>
        <v>T10</v>
      </c>
      <c r="C221" s="212" t="s">
        <v>745</v>
      </c>
      <c r="D221" s="72" t="s">
        <v>664</v>
      </c>
      <c r="E221" s="71" t="s">
        <v>84</v>
      </c>
      <c r="F221" s="217">
        <v>0</v>
      </c>
      <c r="G221" s="217">
        <v>-350</v>
      </c>
      <c r="H221" s="217">
        <v>-350</v>
      </c>
      <c r="I221" s="217">
        <v>-350</v>
      </c>
      <c r="J221" s="407"/>
      <c r="K221" s="28" t="s">
        <v>735</v>
      </c>
      <c r="L221" s="28">
        <f t="shared" ref="L221:L228" si="54">+L220+1</f>
        <v>10</v>
      </c>
      <c r="M221" s="99" t="str">
        <f t="shared" si="53"/>
        <v>VEDTATT</v>
      </c>
      <c r="N221" s="99">
        <f t="shared" ref="N221:N249" si="55">IF(E221="MÅ","Nye tiltak",0)</f>
        <v>0</v>
      </c>
      <c r="O221" s="99"/>
    </row>
    <row r="222" spans="1:15" s="38" customFormat="1" x14ac:dyDescent="0.25">
      <c r="A222" s="45" t="s">
        <v>206</v>
      </c>
      <c r="B222" s="78" t="str">
        <f t="shared" si="50"/>
        <v>T11</v>
      </c>
      <c r="C222" s="212" t="s">
        <v>566</v>
      </c>
      <c r="D222" s="72" t="s">
        <v>661</v>
      </c>
      <c r="E222" s="71" t="s">
        <v>84</v>
      </c>
      <c r="F222" s="90">
        <v>2000</v>
      </c>
      <c r="G222" s="90">
        <f>+F222</f>
        <v>2000</v>
      </c>
      <c r="H222" s="90">
        <f t="shared" ref="H222:I222" si="56">+G222</f>
        <v>2000</v>
      </c>
      <c r="I222" s="90">
        <f t="shared" si="56"/>
        <v>2000</v>
      </c>
      <c r="J222" s="209" t="s">
        <v>1041</v>
      </c>
      <c r="K222" s="28" t="s">
        <v>735</v>
      </c>
      <c r="L222" s="28">
        <f t="shared" si="54"/>
        <v>11</v>
      </c>
      <c r="M222" s="99" t="str">
        <f t="shared" si="53"/>
        <v>VEDTATT</v>
      </c>
      <c r="N222" s="99">
        <f t="shared" si="55"/>
        <v>0</v>
      </c>
      <c r="O222" s="99"/>
    </row>
    <row r="223" spans="1:15" s="38" customFormat="1" x14ac:dyDescent="0.25">
      <c r="A223" s="45" t="s">
        <v>206</v>
      </c>
      <c r="B223" s="78" t="str">
        <f t="shared" si="50"/>
        <v>T12</v>
      </c>
      <c r="C223" s="212" t="s">
        <v>746</v>
      </c>
      <c r="D223" s="72" t="s">
        <v>91</v>
      </c>
      <c r="E223" s="231" t="s">
        <v>24</v>
      </c>
      <c r="F223" s="399">
        <v>10</v>
      </c>
      <c r="G223" s="399">
        <v>20</v>
      </c>
      <c r="H223" s="399">
        <v>30</v>
      </c>
      <c r="I223" s="399">
        <v>40</v>
      </c>
      <c r="J223" s="209" t="s">
        <v>747</v>
      </c>
      <c r="K223" s="28" t="s">
        <v>735</v>
      </c>
      <c r="L223" s="28">
        <f t="shared" si="54"/>
        <v>12</v>
      </c>
      <c r="M223" s="99">
        <f t="shared" si="53"/>
        <v>0</v>
      </c>
      <c r="N223" s="99" t="str">
        <f t="shared" si="55"/>
        <v>Nye tiltak</v>
      </c>
      <c r="O223" s="99"/>
    </row>
    <row r="224" spans="1:15" s="38" customFormat="1" x14ac:dyDescent="0.25">
      <c r="A224" s="45" t="s">
        <v>206</v>
      </c>
      <c r="B224" s="78" t="str">
        <f t="shared" si="50"/>
        <v>T13</v>
      </c>
      <c r="C224" s="212" t="s">
        <v>965</v>
      </c>
      <c r="D224" s="72" t="s">
        <v>91</v>
      </c>
      <c r="E224" s="231">
        <v>2</v>
      </c>
      <c r="F224" s="399">
        <v>200</v>
      </c>
      <c r="G224" s="399">
        <v>500</v>
      </c>
      <c r="H224" s="399">
        <v>500</v>
      </c>
      <c r="I224" s="399">
        <v>500</v>
      </c>
      <c r="J224" s="209"/>
      <c r="K224" s="28" t="s">
        <v>735</v>
      </c>
      <c r="L224" s="28">
        <f t="shared" si="54"/>
        <v>13</v>
      </c>
      <c r="M224" s="99">
        <f t="shared" si="53"/>
        <v>0</v>
      </c>
      <c r="N224" s="99">
        <f t="shared" si="55"/>
        <v>0</v>
      </c>
      <c r="O224" s="99"/>
    </row>
    <row r="225" spans="1:15" s="38" customFormat="1" x14ac:dyDescent="0.25">
      <c r="A225" s="45" t="s">
        <v>206</v>
      </c>
      <c r="B225" s="78" t="str">
        <f t="shared" si="50"/>
        <v>T14</v>
      </c>
      <c r="C225" s="212" t="s">
        <v>872</v>
      </c>
      <c r="D225" s="72" t="s">
        <v>91</v>
      </c>
      <c r="E225" s="71" t="s">
        <v>24</v>
      </c>
      <c r="F225" s="399">
        <v>1300</v>
      </c>
      <c r="G225" s="399">
        <v>1300</v>
      </c>
      <c r="H225" s="399">
        <v>1300</v>
      </c>
      <c r="I225" s="399">
        <v>1300</v>
      </c>
      <c r="J225" s="93" t="s">
        <v>691</v>
      </c>
      <c r="K225" s="28" t="s">
        <v>735</v>
      </c>
      <c r="L225" s="28">
        <f t="shared" si="54"/>
        <v>14</v>
      </c>
      <c r="M225" s="99">
        <f t="shared" si="53"/>
        <v>0</v>
      </c>
      <c r="N225" s="99" t="str">
        <f t="shared" si="55"/>
        <v>Nye tiltak</v>
      </c>
      <c r="O225" s="99"/>
    </row>
    <row r="226" spans="1:15" s="38" customFormat="1" x14ac:dyDescent="0.25">
      <c r="A226" s="45" t="s">
        <v>206</v>
      </c>
      <c r="B226" s="78" t="str">
        <f t="shared" si="50"/>
        <v>T15</v>
      </c>
      <c r="C226" s="212" t="s">
        <v>749</v>
      </c>
      <c r="D226" s="72" t="s">
        <v>91</v>
      </c>
      <c r="E226" s="71" t="s">
        <v>24</v>
      </c>
      <c r="F226" s="399">
        <v>400</v>
      </c>
      <c r="G226" s="399">
        <v>400</v>
      </c>
      <c r="H226" s="399">
        <v>400</v>
      </c>
      <c r="I226" s="399">
        <v>400</v>
      </c>
      <c r="J226" s="93" t="s">
        <v>691</v>
      </c>
      <c r="K226" s="28" t="s">
        <v>735</v>
      </c>
      <c r="L226" s="28">
        <f t="shared" si="54"/>
        <v>15</v>
      </c>
      <c r="M226" s="99">
        <f t="shared" si="53"/>
        <v>0</v>
      </c>
      <c r="N226" s="99" t="str">
        <f t="shared" si="55"/>
        <v>Nye tiltak</v>
      </c>
      <c r="O226" s="99"/>
    </row>
    <row r="227" spans="1:15" s="38" customFormat="1" x14ac:dyDescent="0.25">
      <c r="A227" s="45" t="s">
        <v>206</v>
      </c>
      <c r="B227" s="78" t="str">
        <f t="shared" si="50"/>
        <v>T16</v>
      </c>
      <c r="C227" s="212" t="s">
        <v>873</v>
      </c>
      <c r="D227" s="72" t="s">
        <v>91</v>
      </c>
      <c r="E227" s="71" t="s">
        <v>24</v>
      </c>
      <c r="F227" s="399">
        <v>585</v>
      </c>
      <c r="G227" s="399">
        <v>585</v>
      </c>
      <c r="H227" s="399">
        <v>585</v>
      </c>
      <c r="I227" s="399">
        <v>585</v>
      </c>
      <c r="J227" s="93" t="s">
        <v>691</v>
      </c>
      <c r="K227" s="28" t="s">
        <v>735</v>
      </c>
      <c r="L227" s="28">
        <f>+L226+1</f>
        <v>16</v>
      </c>
      <c r="M227" s="99">
        <f t="shared" si="53"/>
        <v>0</v>
      </c>
      <c r="N227" s="99" t="str">
        <f t="shared" si="55"/>
        <v>Nye tiltak</v>
      </c>
      <c r="O227" s="99"/>
    </row>
    <row r="228" spans="1:15" s="38" customFormat="1" ht="45" x14ac:dyDescent="0.25">
      <c r="A228" s="45" t="s">
        <v>206</v>
      </c>
      <c r="B228" s="78" t="str">
        <f t="shared" si="50"/>
        <v>T17</v>
      </c>
      <c r="C228" s="212" t="s">
        <v>751</v>
      </c>
      <c r="D228" s="72" t="s">
        <v>91</v>
      </c>
      <c r="E228" s="231" t="s">
        <v>24</v>
      </c>
      <c r="F228" s="399">
        <v>700</v>
      </c>
      <c r="G228" s="399">
        <v>700</v>
      </c>
      <c r="H228" s="399">
        <v>700</v>
      </c>
      <c r="I228" s="399">
        <v>700</v>
      </c>
      <c r="J228" s="406" t="s">
        <v>752</v>
      </c>
      <c r="K228" s="28" t="s">
        <v>735</v>
      </c>
      <c r="L228" s="28">
        <f t="shared" si="54"/>
        <v>17</v>
      </c>
      <c r="M228" s="99">
        <f t="shared" si="53"/>
        <v>0</v>
      </c>
      <c r="N228" s="99" t="str">
        <f t="shared" si="55"/>
        <v>Nye tiltak</v>
      </c>
      <c r="O228" s="99"/>
    </row>
    <row r="229" spans="1:15" s="38" customFormat="1" x14ac:dyDescent="0.25">
      <c r="A229" s="45"/>
      <c r="B229" s="78"/>
      <c r="C229" s="212"/>
      <c r="D229" s="72"/>
      <c r="E229" s="71"/>
      <c r="F229" s="390"/>
      <c r="G229" s="390"/>
      <c r="H229" s="390"/>
      <c r="I229" s="390"/>
      <c r="J229" s="209"/>
      <c r="K229" s="28"/>
      <c r="L229" s="28"/>
      <c r="M229" s="99">
        <f t="shared" si="53"/>
        <v>0</v>
      </c>
      <c r="N229" s="99">
        <f t="shared" si="55"/>
        <v>0</v>
      </c>
      <c r="O229" s="99"/>
    </row>
    <row r="230" spans="1:15" s="38" customFormat="1" x14ac:dyDescent="0.25">
      <c r="A230" s="45"/>
      <c r="B230" s="78" t="str">
        <f t="shared" si="50"/>
        <v/>
      </c>
      <c r="C230" s="208" t="s">
        <v>966</v>
      </c>
      <c r="D230" s="72"/>
      <c r="E230" s="71"/>
      <c r="F230" s="4">
        <f>F218</f>
        <v>2022</v>
      </c>
      <c r="G230" s="4">
        <f>F230+1</f>
        <v>2023</v>
      </c>
      <c r="H230" s="4">
        <f>G230+1</f>
        <v>2024</v>
      </c>
      <c r="I230" s="4">
        <f>H230+1</f>
        <v>2025</v>
      </c>
      <c r="J230" s="407"/>
      <c r="K230" s="337"/>
      <c r="L230" s="337"/>
      <c r="M230" s="99">
        <f t="shared" si="53"/>
        <v>0</v>
      </c>
      <c r="N230" s="99">
        <f t="shared" si="55"/>
        <v>0</v>
      </c>
      <c r="O230" s="99"/>
    </row>
    <row r="231" spans="1:15" s="38" customFormat="1" x14ac:dyDescent="0.2">
      <c r="A231" s="45" t="s">
        <v>206</v>
      </c>
      <c r="B231" s="78" t="str">
        <f>IF(L231,K231&amp;L231,"")</f>
        <v>T18</v>
      </c>
      <c r="C231" s="384"/>
      <c r="D231" s="72"/>
      <c r="E231" s="71"/>
      <c r="F231" s="217"/>
      <c r="G231" s="217"/>
      <c r="H231" s="217"/>
      <c r="I231" s="217"/>
      <c r="J231" s="407"/>
      <c r="K231" s="28" t="s">
        <v>735</v>
      </c>
      <c r="L231" s="28">
        <f>L228+1</f>
        <v>18</v>
      </c>
      <c r="M231" s="99">
        <f t="shared" si="53"/>
        <v>0</v>
      </c>
      <c r="N231" s="99">
        <f t="shared" si="55"/>
        <v>0</v>
      </c>
      <c r="O231" s="99"/>
    </row>
    <row r="232" spans="1:15" s="38" customFormat="1" x14ac:dyDescent="0.2">
      <c r="A232" s="45" t="s">
        <v>206</v>
      </c>
      <c r="B232" s="78" t="str">
        <f t="shared" si="50"/>
        <v>T19</v>
      </c>
      <c r="C232" s="384"/>
      <c r="D232" s="72"/>
      <c r="E232" s="71"/>
      <c r="F232" s="217"/>
      <c r="G232" s="217"/>
      <c r="H232" s="217"/>
      <c r="I232" s="217"/>
      <c r="J232" s="407"/>
      <c r="K232" s="28" t="s">
        <v>735</v>
      </c>
      <c r="L232" s="28">
        <f>L231+1</f>
        <v>19</v>
      </c>
      <c r="M232" s="99">
        <f t="shared" si="53"/>
        <v>0</v>
      </c>
      <c r="N232" s="99">
        <f t="shared" si="55"/>
        <v>0</v>
      </c>
      <c r="O232" s="99"/>
    </row>
    <row r="233" spans="1:15" s="38" customFormat="1" x14ac:dyDescent="0.25">
      <c r="A233" s="45"/>
      <c r="B233" s="78" t="str">
        <f t="shared" ref="B233:B265" si="57">IF(L233,K233&amp;L233,"")</f>
        <v/>
      </c>
      <c r="C233" s="208"/>
      <c r="D233" s="72"/>
      <c r="E233" s="71"/>
      <c r="F233" s="217"/>
      <c r="G233" s="217"/>
      <c r="H233" s="217"/>
      <c r="I233" s="217"/>
      <c r="J233" s="407"/>
      <c r="K233" s="28"/>
      <c r="L233" s="28"/>
      <c r="M233" s="99">
        <f t="shared" si="53"/>
        <v>0</v>
      </c>
      <c r="N233" s="99">
        <f t="shared" si="55"/>
        <v>0</v>
      </c>
      <c r="O233" s="99"/>
    </row>
    <row r="234" spans="1:15" s="38" customFormat="1" x14ac:dyDescent="0.25">
      <c r="A234" s="45"/>
      <c r="B234" s="78" t="str">
        <f t="shared" si="57"/>
        <v/>
      </c>
      <c r="C234" s="208" t="s">
        <v>967</v>
      </c>
      <c r="D234" s="72"/>
      <c r="E234" s="71"/>
      <c r="F234" s="4">
        <f>F230</f>
        <v>2022</v>
      </c>
      <c r="G234" s="4">
        <f>F234+1</f>
        <v>2023</v>
      </c>
      <c r="H234" s="4">
        <f>G234+1</f>
        <v>2024</v>
      </c>
      <c r="I234" s="4">
        <f>H234+1</f>
        <v>2025</v>
      </c>
      <c r="J234" s="407"/>
      <c r="K234" s="337"/>
      <c r="L234" s="337"/>
      <c r="M234" s="99">
        <f t="shared" si="53"/>
        <v>0</v>
      </c>
      <c r="N234" s="99">
        <f t="shared" si="55"/>
        <v>0</v>
      </c>
      <c r="O234" s="99"/>
    </row>
    <row r="235" spans="1:15" s="38" customFormat="1" x14ac:dyDescent="0.2">
      <c r="A235" s="45" t="s">
        <v>206</v>
      </c>
      <c r="B235" s="78" t="str">
        <f t="shared" si="57"/>
        <v>T20</v>
      </c>
      <c r="C235" s="384"/>
      <c r="D235" s="72"/>
      <c r="E235" s="71"/>
      <c r="F235" s="217"/>
      <c r="G235" s="217"/>
      <c r="H235" s="217"/>
      <c r="I235" s="217"/>
      <c r="J235" s="407"/>
      <c r="K235" s="28" t="s">
        <v>735</v>
      </c>
      <c r="L235" s="28">
        <f>L232+1</f>
        <v>20</v>
      </c>
      <c r="M235" s="99">
        <f t="shared" si="53"/>
        <v>0</v>
      </c>
      <c r="N235" s="99">
        <f t="shared" si="55"/>
        <v>0</v>
      </c>
      <c r="O235" s="99"/>
    </row>
    <row r="236" spans="1:15" s="38" customFormat="1" x14ac:dyDescent="0.2">
      <c r="A236" s="45" t="s">
        <v>206</v>
      </c>
      <c r="B236" s="78" t="str">
        <f t="shared" si="57"/>
        <v>T21</v>
      </c>
      <c r="C236" s="384"/>
      <c r="D236" s="72"/>
      <c r="E236" s="71"/>
      <c r="F236" s="217"/>
      <c r="G236" s="217"/>
      <c r="H236" s="217"/>
      <c r="I236" s="217"/>
      <c r="J236" s="407"/>
      <c r="K236" s="28" t="s">
        <v>735</v>
      </c>
      <c r="L236" s="28">
        <f>L235+1</f>
        <v>21</v>
      </c>
      <c r="M236" s="99">
        <f t="shared" si="53"/>
        <v>0</v>
      </c>
      <c r="N236" s="99">
        <f t="shared" si="55"/>
        <v>0</v>
      </c>
      <c r="O236" s="99"/>
    </row>
    <row r="237" spans="1:15" s="38" customFormat="1" x14ac:dyDescent="0.2">
      <c r="A237" s="45"/>
      <c r="B237" s="78" t="str">
        <f t="shared" si="57"/>
        <v/>
      </c>
      <c r="C237" s="384"/>
      <c r="D237" s="72"/>
      <c r="E237" s="71"/>
      <c r="F237" s="217"/>
      <c r="G237" s="217"/>
      <c r="H237" s="217"/>
      <c r="I237" s="217"/>
      <c r="J237" s="407"/>
      <c r="K237" s="28"/>
      <c r="L237" s="28"/>
      <c r="M237" s="99">
        <f t="shared" si="53"/>
        <v>0</v>
      </c>
      <c r="N237" s="99">
        <f t="shared" si="55"/>
        <v>0</v>
      </c>
      <c r="O237" s="99"/>
    </row>
    <row r="238" spans="1:15" s="38" customFormat="1" x14ac:dyDescent="0.25">
      <c r="A238" s="45"/>
      <c r="B238" s="78" t="str">
        <f t="shared" si="57"/>
        <v/>
      </c>
      <c r="C238" s="208" t="s">
        <v>968</v>
      </c>
      <c r="D238" s="72"/>
      <c r="E238" s="71"/>
      <c r="F238" s="4">
        <f>F230</f>
        <v>2022</v>
      </c>
      <c r="G238" s="4">
        <f>F238+1</f>
        <v>2023</v>
      </c>
      <c r="H238" s="4">
        <f>G238+1</f>
        <v>2024</v>
      </c>
      <c r="I238" s="4">
        <f>H238+1</f>
        <v>2025</v>
      </c>
      <c r="J238" s="407"/>
      <c r="K238" s="337"/>
      <c r="L238" s="337"/>
      <c r="M238" s="99">
        <f t="shared" si="53"/>
        <v>0</v>
      </c>
      <c r="N238" s="99">
        <f t="shared" si="55"/>
        <v>0</v>
      </c>
      <c r="O238" s="99"/>
    </row>
    <row r="239" spans="1:15" s="38" customFormat="1" x14ac:dyDescent="0.2">
      <c r="A239" s="45" t="s">
        <v>206</v>
      </c>
      <c r="B239" s="78" t="str">
        <f t="shared" si="57"/>
        <v>T22</v>
      </c>
      <c r="C239" s="384"/>
      <c r="D239" s="72"/>
      <c r="E239" s="71"/>
      <c r="F239" s="70"/>
      <c r="G239" s="70"/>
      <c r="H239" s="70"/>
      <c r="I239" s="217"/>
      <c r="J239" s="407"/>
      <c r="K239" s="28" t="s">
        <v>735</v>
      </c>
      <c r="L239" s="28">
        <f>L236+1</f>
        <v>22</v>
      </c>
      <c r="M239" s="99">
        <f t="shared" si="53"/>
        <v>0</v>
      </c>
      <c r="N239" s="99">
        <f t="shared" si="55"/>
        <v>0</v>
      </c>
      <c r="O239" s="99"/>
    </row>
    <row r="240" spans="1:15" s="38" customFormat="1" x14ac:dyDescent="0.25">
      <c r="A240" s="45" t="s">
        <v>206</v>
      </c>
      <c r="B240" s="78" t="str">
        <f t="shared" si="57"/>
        <v>T23</v>
      </c>
      <c r="C240" s="213"/>
      <c r="D240" s="72"/>
      <c r="E240" s="71"/>
      <c r="F240" s="70"/>
      <c r="G240" s="70"/>
      <c r="H240" s="70"/>
      <c r="I240" s="217"/>
      <c r="J240" s="407"/>
      <c r="K240" s="28" t="s">
        <v>735</v>
      </c>
      <c r="L240" s="28">
        <f>L239+1</f>
        <v>23</v>
      </c>
      <c r="M240" s="99">
        <f t="shared" si="53"/>
        <v>0</v>
      </c>
      <c r="N240" s="99">
        <f t="shared" si="55"/>
        <v>0</v>
      </c>
      <c r="O240" s="99"/>
    </row>
    <row r="241" spans="1:16" s="38" customFormat="1" x14ac:dyDescent="0.25">
      <c r="A241" s="45"/>
      <c r="B241" s="78" t="str">
        <f t="shared" si="57"/>
        <v/>
      </c>
      <c r="C241" s="212"/>
      <c r="D241" s="72"/>
      <c r="E241" s="71"/>
      <c r="F241" s="217"/>
      <c r="G241" s="217"/>
      <c r="H241" s="217"/>
      <c r="I241" s="217"/>
      <c r="J241" s="407"/>
      <c r="K241" s="28"/>
      <c r="L241" s="28"/>
      <c r="M241" s="99">
        <f t="shared" si="53"/>
        <v>0</v>
      </c>
      <c r="N241" s="99">
        <f t="shared" si="55"/>
        <v>0</v>
      </c>
      <c r="O241" s="99"/>
    </row>
    <row r="242" spans="1:16" s="38" customFormat="1" x14ac:dyDescent="0.25">
      <c r="A242" s="45"/>
      <c r="B242" s="78" t="str">
        <f t="shared" si="57"/>
        <v/>
      </c>
      <c r="C242" s="208" t="s">
        <v>969</v>
      </c>
      <c r="D242" s="72"/>
      <c r="E242" s="71"/>
      <c r="F242" s="4">
        <f>F238</f>
        <v>2022</v>
      </c>
      <c r="G242" s="4">
        <f>F242+1</f>
        <v>2023</v>
      </c>
      <c r="H242" s="4">
        <f>G242+1</f>
        <v>2024</v>
      </c>
      <c r="I242" s="4">
        <f>H242+1</f>
        <v>2025</v>
      </c>
      <c r="J242" s="407"/>
      <c r="K242" s="28"/>
      <c r="L242" s="28"/>
      <c r="M242" s="99">
        <f t="shared" si="53"/>
        <v>0</v>
      </c>
      <c r="N242" s="99">
        <f t="shared" si="55"/>
        <v>0</v>
      </c>
      <c r="O242" s="99"/>
    </row>
    <row r="243" spans="1:16" s="38" customFormat="1" x14ac:dyDescent="0.2">
      <c r="A243" s="45" t="s">
        <v>206</v>
      </c>
      <c r="B243" s="78" t="str">
        <f t="shared" si="57"/>
        <v>T24</v>
      </c>
      <c r="C243" s="385"/>
      <c r="D243" s="72"/>
      <c r="E243" s="71"/>
      <c r="F243" s="217"/>
      <c r="G243" s="217"/>
      <c r="H243" s="217"/>
      <c r="I243" s="217"/>
      <c r="J243" s="407"/>
      <c r="K243" s="28" t="s">
        <v>735</v>
      </c>
      <c r="L243" s="28">
        <f>L240+1</f>
        <v>24</v>
      </c>
      <c r="M243" s="99">
        <f t="shared" si="53"/>
        <v>0</v>
      </c>
      <c r="N243" s="99">
        <f t="shared" si="55"/>
        <v>0</v>
      </c>
      <c r="O243" s="99"/>
    </row>
    <row r="244" spans="1:16" s="38" customFormat="1" x14ac:dyDescent="0.2">
      <c r="A244" s="45"/>
      <c r="B244" s="78" t="str">
        <f t="shared" si="57"/>
        <v/>
      </c>
      <c r="C244" s="385"/>
      <c r="D244" s="72"/>
      <c r="E244" s="71"/>
      <c r="F244" s="217"/>
      <c r="G244" s="217"/>
      <c r="H244" s="217"/>
      <c r="I244" s="217"/>
      <c r="J244" s="407"/>
      <c r="K244" s="28"/>
      <c r="L244" s="28"/>
      <c r="M244" s="99">
        <f t="shared" si="53"/>
        <v>0</v>
      </c>
      <c r="N244" s="99">
        <f t="shared" si="55"/>
        <v>0</v>
      </c>
      <c r="O244" s="99"/>
    </row>
    <row r="245" spans="1:16" s="38" customFormat="1" x14ac:dyDescent="0.25">
      <c r="A245" s="45"/>
      <c r="B245" s="78" t="str">
        <f t="shared" si="57"/>
        <v/>
      </c>
      <c r="C245" s="208" t="s">
        <v>756</v>
      </c>
      <c r="D245" s="72"/>
      <c r="E245" s="71"/>
      <c r="F245" s="217"/>
      <c r="G245" s="217"/>
      <c r="H245" s="217"/>
      <c r="I245" s="217"/>
      <c r="J245" s="407"/>
      <c r="K245" s="28"/>
      <c r="L245" s="28"/>
      <c r="M245" s="99">
        <f t="shared" si="53"/>
        <v>0</v>
      </c>
      <c r="N245" s="99">
        <f t="shared" si="55"/>
        <v>0</v>
      </c>
      <c r="O245" s="99"/>
    </row>
    <row r="246" spans="1:16" s="38" customFormat="1" x14ac:dyDescent="0.25">
      <c r="A246" s="45" t="s">
        <v>206</v>
      </c>
      <c r="B246" s="78" t="str">
        <f t="shared" si="57"/>
        <v>T25</v>
      </c>
      <c r="C246" s="84" t="s">
        <v>757</v>
      </c>
      <c r="D246" s="72" t="s">
        <v>91</v>
      </c>
      <c r="E246" s="71" t="s">
        <v>24</v>
      </c>
      <c r="F246" s="217">
        <v>60</v>
      </c>
      <c r="G246" s="217">
        <v>60</v>
      </c>
      <c r="H246" s="217">
        <v>60</v>
      </c>
      <c r="I246" s="217">
        <v>60</v>
      </c>
      <c r="J246" s="93" t="s">
        <v>691</v>
      </c>
      <c r="K246" s="28" t="s">
        <v>735</v>
      </c>
      <c r="L246" s="28">
        <f>L243+1</f>
        <v>25</v>
      </c>
      <c r="M246" s="99">
        <f t="shared" si="53"/>
        <v>0</v>
      </c>
      <c r="N246" s="99" t="str">
        <f t="shared" si="55"/>
        <v>Nye tiltak</v>
      </c>
      <c r="O246" s="99"/>
    </row>
    <row r="247" spans="1:16" s="38" customFormat="1" x14ac:dyDescent="0.25">
      <c r="A247" s="45" t="s">
        <v>206</v>
      </c>
      <c r="B247" s="78" t="str">
        <f t="shared" si="57"/>
        <v>T26</v>
      </c>
      <c r="C247" s="212"/>
      <c r="D247" s="72" t="s">
        <v>91</v>
      </c>
      <c r="E247" s="289"/>
      <c r="F247" s="217"/>
      <c r="G247" s="217"/>
      <c r="H247" s="217"/>
      <c r="I247" s="217"/>
      <c r="J247" s="407"/>
      <c r="K247" s="28" t="s">
        <v>735</v>
      </c>
      <c r="L247" s="28">
        <f>L246+1</f>
        <v>26</v>
      </c>
      <c r="M247" s="99">
        <f t="shared" si="53"/>
        <v>0</v>
      </c>
      <c r="N247" s="99">
        <f t="shared" si="55"/>
        <v>0</v>
      </c>
      <c r="O247" s="99"/>
    </row>
    <row r="248" spans="1:16" s="38" customFormat="1" x14ac:dyDescent="0.25">
      <c r="A248" s="45" t="s">
        <v>206</v>
      </c>
      <c r="B248" s="78" t="str">
        <f t="shared" si="57"/>
        <v>T27</v>
      </c>
      <c r="C248" s="212"/>
      <c r="D248" s="72" t="s">
        <v>91</v>
      </c>
      <c r="E248" s="289"/>
      <c r="F248" s="217"/>
      <c r="G248" s="217"/>
      <c r="H248" s="217"/>
      <c r="I248" s="217"/>
      <c r="J248" s="407"/>
      <c r="K248" s="28" t="s">
        <v>735</v>
      </c>
      <c r="L248" s="28">
        <f>L247+1</f>
        <v>27</v>
      </c>
      <c r="M248" s="99">
        <f t="shared" si="53"/>
        <v>0</v>
      </c>
      <c r="N248" s="99">
        <f t="shared" si="55"/>
        <v>0</v>
      </c>
      <c r="O248" s="99"/>
    </row>
    <row r="249" spans="1:16" s="38" customFormat="1" x14ac:dyDescent="0.25">
      <c r="A249" s="45"/>
      <c r="B249" s="78" t="str">
        <f t="shared" si="57"/>
        <v/>
      </c>
      <c r="C249" s="212"/>
      <c r="D249" s="72"/>
      <c r="E249" s="289"/>
      <c r="F249" s="217"/>
      <c r="G249" s="217"/>
      <c r="H249" s="217"/>
      <c r="I249" s="217"/>
      <c r="J249" s="407"/>
      <c r="K249" s="28"/>
      <c r="L249" s="28"/>
      <c r="M249" s="99">
        <f t="shared" si="53"/>
        <v>0</v>
      </c>
      <c r="N249" s="99">
        <f t="shared" si="55"/>
        <v>0</v>
      </c>
      <c r="O249" s="99"/>
    </row>
    <row r="250" spans="1:16" s="38" customFormat="1" x14ac:dyDescent="0.25">
      <c r="A250" s="45"/>
      <c r="B250" s="78" t="str">
        <f t="shared" si="57"/>
        <v/>
      </c>
      <c r="C250" s="208" t="s">
        <v>970</v>
      </c>
      <c r="D250" s="72"/>
      <c r="E250" s="71"/>
      <c r="F250" s="4">
        <f>F238</f>
        <v>2022</v>
      </c>
      <c r="G250" s="4">
        <f>F250+1</f>
        <v>2023</v>
      </c>
      <c r="H250" s="4">
        <f>G250+1</f>
        <v>2024</v>
      </c>
      <c r="I250" s="4">
        <f>H250+1</f>
        <v>2025</v>
      </c>
      <c r="J250" s="407"/>
      <c r="K250" s="337"/>
      <c r="L250" s="337"/>
      <c r="M250" s="99"/>
      <c r="N250" s="99"/>
      <c r="O250" s="99"/>
    </row>
    <row r="251" spans="1:16" s="291" customFormat="1" x14ac:dyDescent="0.25">
      <c r="A251" s="338" t="s">
        <v>206</v>
      </c>
      <c r="B251" s="78" t="str">
        <f t="shared" si="57"/>
        <v>T28</v>
      </c>
      <c r="C251" s="213" t="s">
        <v>971</v>
      </c>
      <c r="D251" s="72" t="s">
        <v>664</v>
      </c>
      <c r="E251" s="71" t="s">
        <v>84</v>
      </c>
      <c r="F251" s="217">
        <v>0</v>
      </c>
      <c r="G251" s="217">
        <v>0</v>
      </c>
      <c r="H251" s="217">
        <v>0</v>
      </c>
      <c r="I251" s="217">
        <v>0</v>
      </c>
      <c r="J251" s="408"/>
      <c r="K251" s="293" t="s">
        <v>735</v>
      </c>
      <c r="L251" s="293">
        <f>L248+1</f>
        <v>28</v>
      </c>
      <c r="M251" s="99" t="str">
        <f>IF(E251="VEDTATT","VEDTATT",0)</f>
        <v>VEDTATT</v>
      </c>
      <c r="N251" s="99">
        <f>IF(E251="MÅ","Nye tiltak",0)</f>
        <v>0</v>
      </c>
      <c r="O251" s="99"/>
      <c r="P251" s="293"/>
    </row>
    <row r="252" spans="1:16" s="291" customFormat="1" x14ac:dyDescent="0.25">
      <c r="A252" s="338" t="s">
        <v>206</v>
      </c>
      <c r="B252" s="78" t="str">
        <f t="shared" si="57"/>
        <v>T29</v>
      </c>
      <c r="C252" s="213" t="s">
        <v>972</v>
      </c>
      <c r="D252" s="72" t="s">
        <v>664</v>
      </c>
      <c r="E252" s="71" t="s">
        <v>84</v>
      </c>
      <c r="F252" s="217">
        <v>0</v>
      </c>
      <c r="G252" s="217">
        <v>0</v>
      </c>
      <c r="H252" s="217">
        <v>0</v>
      </c>
      <c r="I252" s="217">
        <v>0</v>
      </c>
      <c r="J252" s="408"/>
      <c r="K252" s="293" t="s">
        <v>735</v>
      </c>
      <c r="L252" s="293">
        <f>+L251+1</f>
        <v>29</v>
      </c>
      <c r="M252" s="99" t="str">
        <f>IF(E252="VEDTATT","VEDTATT",0)</f>
        <v>VEDTATT</v>
      </c>
      <c r="N252" s="99">
        <f>IF(E252="MÅ","Nye tiltak",0)</f>
        <v>0</v>
      </c>
      <c r="O252" s="99"/>
      <c r="P252" s="293"/>
    </row>
    <row r="253" spans="1:16" s="291" customFormat="1" x14ac:dyDescent="0.25">
      <c r="A253" s="338" t="s">
        <v>206</v>
      </c>
      <c r="B253" s="78" t="str">
        <f t="shared" si="57"/>
        <v>T30</v>
      </c>
      <c r="C253" s="213" t="s">
        <v>1042</v>
      </c>
      <c r="D253" s="72" t="s">
        <v>91</v>
      </c>
      <c r="E253" s="231" t="s">
        <v>488</v>
      </c>
      <c r="F253" s="217">
        <v>750</v>
      </c>
      <c r="G253" s="217">
        <v>750</v>
      </c>
      <c r="H253" s="217">
        <v>750</v>
      </c>
      <c r="I253" s="217">
        <v>750</v>
      </c>
      <c r="J253" s="408" t="s">
        <v>1043</v>
      </c>
      <c r="K253" s="293" t="s">
        <v>735</v>
      </c>
      <c r="L253" s="293">
        <f t="shared" ref="L253:L254" si="58">+L252+1</f>
        <v>30</v>
      </c>
      <c r="M253" s="99"/>
      <c r="N253" s="99"/>
      <c r="O253" s="99"/>
      <c r="P253" s="293"/>
    </row>
    <row r="254" spans="1:16" s="291" customFormat="1" x14ac:dyDescent="0.25">
      <c r="A254" s="338" t="s">
        <v>206</v>
      </c>
      <c r="B254" s="78" t="str">
        <f t="shared" si="57"/>
        <v>T31</v>
      </c>
      <c r="C254" s="213" t="s">
        <v>973</v>
      </c>
      <c r="D254" s="72" t="s">
        <v>664</v>
      </c>
      <c r="E254" s="71" t="s">
        <v>84</v>
      </c>
      <c r="F254" s="217">
        <v>0</v>
      </c>
      <c r="G254" s="217">
        <v>0</v>
      </c>
      <c r="H254" s="217">
        <v>0</v>
      </c>
      <c r="I254" s="217">
        <v>0</v>
      </c>
      <c r="J254" s="408"/>
      <c r="K254" s="293" t="s">
        <v>735</v>
      </c>
      <c r="L254" s="293">
        <f t="shared" si="58"/>
        <v>31</v>
      </c>
      <c r="M254" s="99" t="str">
        <f>IF(E254="VEDTATT","VEDTATT",0)</f>
        <v>VEDTATT</v>
      </c>
      <c r="N254" s="99">
        <f>IF(E254="MÅ","Nye tiltak",0)</f>
        <v>0</v>
      </c>
      <c r="O254" s="99"/>
      <c r="P254" s="293"/>
    </row>
    <row r="255" spans="1:16" s="291" customFormat="1" x14ac:dyDescent="0.25">
      <c r="A255" s="338"/>
      <c r="B255" s="78"/>
      <c r="C255" s="213"/>
      <c r="D255" s="72"/>
      <c r="E255" s="289"/>
      <c r="F255" s="70"/>
      <c r="G255" s="70"/>
      <c r="H255" s="70"/>
      <c r="I255" s="70"/>
      <c r="J255" s="408"/>
      <c r="K255" s="293"/>
      <c r="L255" s="293"/>
      <c r="M255" s="99"/>
      <c r="N255" s="99"/>
      <c r="O255" s="99"/>
      <c r="P255" s="293"/>
    </row>
    <row r="256" spans="1:16" s="291" customFormat="1" x14ac:dyDescent="0.25">
      <c r="A256" s="338"/>
      <c r="B256" s="78"/>
      <c r="C256" s="213"/>
      <c r="D256" s="72"/>
      <c r="E256" s="289"/>
      <c r="F256" s="70"/>
      <c r="G256" s="70"/>
      <c r="H256" s="70"/>
      <c r="I256" s="70"/>
      <c r="J256" s="408"/>
      <c r="K256" s="293"/>
      <c r="L256" s="293"/>
      <c r="M256" s="99"/>
      <c r="N256" s="99"/>
      <c r="O256" s="99"/>
      <c r="P256" s="293"/>
    </row>
    <row r="257" spans="1:16" s="291" customFormat="1" x14ac:dyDescent="0.25">
      <c r="A257" s="338"/>
      <c r="B257" s="78"/>
      <c r="C257" s="213"/>
      <c r="D257" s="72"/>
      <c r="E257" s="71"/>
      <c r="F257" s="217"/>
      <c r="G257" s="217"/>
      <c r="H257" s="217"/>
      <c r="I257" s="217"/>
      <c r="J257" s="408"/>
      <c r="K257" s="293"/>
      <c r="L257" s="293"/>
      <c r="M257" s="99"/>
      <c r="N257" s="99"/>
      <c r="O257" s="99"/>
      <c r="P257" s="293"/>
    </row>
    <row r="258" spans="1:16" s="291" customFormat="1" x14ac:dyDescent="0.25">
      <c r="A258" s="338" t="s">
        <v>206</v>
      </c>
      <c r="B258" s="78" t="str">
        <f t="shared" si="57"/>
        <v/>
      </c>
      <c r="C258" s="213" t="s">
        <v>974</v>
      </c>
      <c r="D258" s="72" t="s">
        <v>664</v>
      </c>
      <c r="E258" s="71" t="s">
        <v>84</v>
      </c>
      <c r="F258" s="217">
        <v>0</v>
      </c>
      <c r="G258" s="217">
        <v>0</v>
      </c>
      <c r="H258" s="217">
        <v>0</v>
      </c>
      <c r="I258" s="217">
        <v>0</v>
      </c>
      <c r="J258" s="408"/>
      <c r="K258" s="293" t="s">
        <v>735</v>
      </c>
      <c r="L258" s="293"/>
      <c r="M258" s="99" t="str">
        <f>IF(E258="VEDTATT","VEDTATT",0)</f>
        <v>VEDTATT</v>
      </c>
      <c r="N258" s="99">
        <f>IF(E258="MÅ","Nye tiltak",0)</f>
        <v>0</v>
      </c>
      <c r="O258" s="99"/>
      <c r="P258" s="293"/>
    </row>
    <row r="259" spans="1:16" s="291" customFormat="1" x14ac:dyDescent="0.25">
      <c r="A259" s="338" t="s">
        <v>206</v>
      </c>
      <c r="B259" s="78" t="str">
        <f t="shared" si="57"/>
        <v/>
      </c>
      <c r="C259" s="213" t="s">
        <v>975</v>
      </c>
      <c r="D259" s="72" t="s">
        <v>664</v>
      </c>
      <c r="E259" s="71" t="s">
        <v>84</v>
      </c>
      <c r="F259" s="217">
        <v>0</v>
      </c>
      <c r="G259" s="217">
        <v>0</v>
      </c>
      <c r="H259" s="217">
        <v>0</v>
      </c>
      <c r="I259" s="217">
        <v>0</v>
      </c>
      <c r="J259" s="408"/>
      <c r="K259" s="293" t="s">
        <v>735</v>
      </c>
      <c r="L259" s="293"/>
      <c r="M259" s="99" t="str">
        <f>IF(E259="VEDTATT","VEDTATT",0)</f>
        <v>VEDTATT</v>
      </c>
      <c r="N259" s="99">
        <f>IF(E259="MÅ","Nye tiltak",0)</f>
        <v>0</v>
      </c>
      <c r="O259" s="99"/>
      <c r="P259" s="293"/>
    </row>
    <row r="260" spans="1:16" s="293" customFormat="1" x14ac:dyDescent="0.25">
      <c r="A260" s="338" t="s">
        <v>206</v>
      </c>
      <c r="B260" s="78" t="str">
        <f t="shared" si="57"/>
        <v/>
      </c>
      <c r="C260" s="213" t="s">
        <v>969</v>
      </c>
      <c r="D260" s="72" t="s">
        <v>664</v>
      </c>
      <c r="E260" s="71" t="s">
        <v>84</v>
      </c>
      <c r="F260" s="217">
        <v>0</v>
      </c>
      <c r="G260" s="217">
        <v>0</v>
      </c>
      <c r="H260" s="217">
        <v>0</v>
      </c>
      <c r="I260" s="217">
        <v>0</v>
      </c>
      <c r="J260" s="402"/>
      <c r="K260" s="293" t="s">
        <v>735</v>
      </c>
      <c r="M260" s="99" t="str">
        <f>IF(E260="VEDTATT","VEDTATT",0)</f>
        <v>VEDTATT</v>
      </c>
      <c r="N260" s="99">
        <f>IF(E260="MÅ","Nye tiltak",0)</f>
        <v>0</v>
      </c>
      <c r="O260" s="99"/>
    </row>
    <row r="261" spans="1:16" s="293" customFormat="1" x14ac:dyDescent="0.25">
      <c r="A261" s="338"/>
      <c r="B261" s="78" t="str">
        <f t="shared" si="57"/>
        <v/>
      </c>
      <c r="C261" s="208" t="s">
        <v>976</v>
      </c>
      <c r="D261" s="72"/>
      <c r="E261" s="71"/>
      <c r="F261" s="217">
        <v>0</v>
      </c>
      <c r="G261" s="217">
        <v>0</v>
      </c>
      <c r="H261" s="217">
        <v>0</v>
      </c>
      <c r="I261" s="217">
        <v>0</v>
      </c>
      <c r="J261" s="402"/>
      <c r="K261" s="293" t="s">
        <v>735</v>
      </c>
      <c r="M261" s="99">
        <f>IF(E261="VEDTATT","VEDTATT",0)</f>
        <v>0</v>
      </c>
      <c r="N261" s="99">
        <f>IF(E261="MÅ","Nye tiltak",0)</f>
        <v>0</v>
      </c>
      <c r="O261" s="99"/>
    </row>
    <row r="262" spans="1:16" s="293" customFormat="1" x14ac:dyDescent="0.25">
      <c r="A262" s="338"/>
      <c r="B262" s="78"/>
      <c r="C262" s="84"/>
      <c r="D262" s="72"/>
      <c r="E262" s="289"/>
      <c r="F262" s="217"/>
      <c r="G262" s="217"/>
      <c r="H262" s="217"/>
      <c r="I262" s="217"/>
      <c r="J262" s="402"/>
      <c r="M262" s="99"/>
      <c r="N262" s="99"/>
      <c r="O262" s="99"/>
    </row>
    <row r="263" spans="1:16" s="293" customFormat="1" x14ac:dyDescent="0.25">
      <c r="A263" s="338"/>
      <c r="B263" s="78"/>
      <c r="C263" s="344"/>
      <c r="D263" s="72"/>
      <c r="E263" s="289"/>
      <c r="F263" s="217"/>
      <c r="G263" s="217"/>
      <c r="H263" s="217"/>
      <c r="I263" s="217"/>
      <c r="J263" s="402"/>
      <c r="M263" s="99"/>
      <c r="N263" s="99"/>
      <c r="O263" s="99"/>
    </row>
    <row r="264" spans="1:16" s="293" customFormat="1" x14ac:dyDescent="0.25">
      <c r="A264" s="338"/>
      <c r="B264" s="78"/>
      <c r="C264" s="291"/>
      <c r="D264" s="72"/>
      <c r="E264" s="289"/>
      <c r="F264" s="217"/>
      <c r="G264" s="217"/>
      <c r="H264" s="217"/>
      <c r="I264" s="217"/>
      <c r="J264" s="402"/>
      <c r="M264" s="99"/>
      <c r="N264" s="99"/>
      <c r="O264" s="99"/>
    </row>
    <row r="265" spans="1:16" s="293" customFormat="1" x14ac:dyDescent="0.25">
      <c r="A265" s="338"/>
      <c r="B265" s="78" t="str">
        <f t="shared" si="57"/>
        <v/>
      </c>
      <c r="C265" s="208" t="s">
        <v>756</v>
      </c>
      <c r="D265" s="72"/>
      <c r="E265" s="289"/>
      <c r="F265" s="217"/>
      <c r="G265" s="217"/>
      <c r="H265" s="217"/>
      <c r="I265" s="217"/>
      <c r="J265" s="402"/>
      <c r="K265" s="293" t="s">
        <v>735</v>
      </c>
      <c r="M265" s="99"/>
      <c r="N265" s="99"/>
      <c r="O265" s="99"/>
    </row>
    <row r="266" spans="1:16" s="293" customFormat="1" x14ac:dyDescent="0.25">
      <c r="A266" s="338"/>
      <c r="B266" s="78"/>
      <c r="C266" s="84"/>
      <c r="D266" s="72"/>
      <c r="E266" s="289"/>
      <c r="F266" s="217"/>
      <c r="G266" s="217"/>
      <c r="H266" s="217"/>
      <c r="I266" s="217"/>
      <c r="J266" s="402"/>
      <c r="M266" s="99"/>
      <c r="N266" s="99"/>
      <c r="O266" s="99"/>
    </row>
    <row r="267" spans="1:16" s="293" customFormat="1" x14ac:dyDescent="0.25">
      <c r="A267" s="338"/>
      <c r="B267" s="78"/>
      <c r="C267" s="212"/>
      <c r="D267" s="72"/>
      <c r="E267" s="289"/>
      <c r="F267" s="217"/>
      <c r="G267" s="217"/>
      <c r="H267" s="217"/>
      <c r="I267" s="217"/>
      <c r="J267" s="402"/>
      <c r="M267" s="99"/>
      <c r="N267" s="99"/>
      <c r="O267" s="99"/>
    </row>
    <row r="268" spans="1:16" x14ac:dyDescent="0.25">
      <c r="A268" s="338"/>
      <c r="B268" s="78"/>
      <c r="C268" s="291"/>
      <c r="D268" s="72"/>
      <c r="E268" s="289"/>
      <c r="F268" s="217"/>
      <c r="G268" s="217"/>
      <c r="H268" s="217"/>
      <c r="I268" s="217"/>
      <c r="J268" s="94"/>
      <c r="K268" s="293"/>
      <c r="L268" s="293"/>
      <c r="M268" s="99"/>
      <c r="N268" s="99"/>
      <c r="O268" s="99"/>
      <c r="P268" s="38"/>
    </row>
    <row r="269" spans="1:16" s="38" customFormat="1" x14ac:dyDescent="0.25">
      <c r="A269" s="43"/>
      <c r="B269" s="43" t="s">
        <v>127</v>
      </c>
      <c r="C269" s="3" t="s">
        <v>230</v>
      </c>
      <c r="D269" s="52"/>
      <c r="E269" s="52"/>
      <c r="F269" s="56">
        <f>SUMIF($A:$A,"byte",F:F)</f>
        <v>16955</v>
      </c>
      <c r="G269" s="56">
        <f>SUMIF($A:$A,"byte",G:G)</f>
        <v>20165</v>
      </c>
      <c r="H269" s="56">
        <f>SUMIF($A:$A,"byte",H:H)</f>
        <v>21225</v>
      </c>
      <c r="I269" s="56">
        <f>SUMIF($A:$A,"byte",I:I)</f>
        <v>21285</v>
      </c>
      <c r="J269" s="407"/>
      <c r="K269" s="337"/>
      <c r="L269" s="337"/>
      <c r="M269" s="99"/>
      <c r="N269" s="99"/>
      <c r="O269" s="99"/>
    </row>
    <row r="270" spans="1:16" s="38" customFormat="1" ht="13.9" customHeight="1" x14ac:dyDescent="0.25">
      <c r="A270"/>
      <c r="B270"/>
      <c r="C270"/>
      <c r="D270"/>
      <c r="E270"/>
      <c r="F270"/>
      <c r="G270"/>
      <c r="H270"/>
      <c r="I270"/>
      <c r="J270" s="407"/>
      <c r="K270" s="28"/>
      <c r="L270" s="28"/>
      <c r="M270" s="99"/>
      <c r="N270" s="99"/>
      <c r="O270" s="99"/>
      <c r="P270" s="28"/>
    </row>
    <row r="271" spans="1:16" s="38" customFormat="1" x14ac:dyDescent="0.25">
      <c r="A271" s="78"/>
      <c r="B271" s="78"/>
      <c r="C271" s="208" t="s">
        <v>231</v>
      </c>
      <c r="D271" s="72"/>
      <c r="E271" s="71"/>
      <c r="F271" s="4">
        <f>F250</f>
        <v>2022</v>
      </c>
      <c r="G271" s="4">
        <f>F271+1</f>
        <v>2023</v>
      </c>
      <c r="H271" s="4">
        <f>G271+1</f>
        <v>2024</v>
      </c>
      <c r="I271" s="4">
        <f>H271+1</f>
        <v>2025</v>
      </c>
      <c r="J271" s="407"/>
      <c r="K271" s="337"/>
      <c r="L271" s="337"/>
      <c r="M271" s="99"/>
      <c r="N271" s="99"/>
      <c r="O271" s="99"/>
      <c r="P271" s="28"/>
    </row>
    <row r="272" spans="1:16" s="38" customFormat="1" x14ac:dyDescent="0.25">
      <c r="A272" s="78" t="s">
        <v>232</v>
      </c>
      <c r="B272" s="78" t="str">
        <f t="shared" ref="B272:B278" si="59">IF(L272,K272&amp;L272,"")</f>
        <v>O1</v>
      </c>
      <c r="C272" s="84" t="s">
        <v>758</v>
      </c>
      <c r="D272" s="72" t="s">
        <v>664</v>
      </c>
      <c r="E272" s="71" t="s">
        <v>84</v>
      </c>
      <c r="F272" s="70">
        <v>0</v>
      </c>
      <c r="G272" s="70">
        <v>-800</v>
      </c>
      <c r="H272" s="70">
        <v>-800</v>
      </c>
      <c r="I272" s="70">
        <v>-800</v>
      </c>
      <c r="J272" s="407"/>
      <c r="K272" s="28" t="s">
        <v>759</v>
      </c>
      <c r="L272" s="28">
        <v>1</v>
      </c>
      <c r="M272" s="99" t="str">
        <f>IF(E272="VEDTATT","VEDTATT",0)</f>
        <v>VEDTATT</v>
      </c>
      <c r="N272" s="99">
        <f>IF(E272="MÅ","Nye tiltak",0)</f>
        <v>0</v>
      </c>
      <c r="O272" s="99"/>
    </row>
    <row r="273" spans="1:16" s="38" customFormat="1" x14ac:dyDescent="0.25">
      <c r="A273" s="78" t="s">
        <v>232</v>
      </c>
      <c r="B273" s="78" t="str">
        <f t="shared" si="59"/>
        <v>O2</v>
      </c>
      <c r="C273" s="84" t="s">
        <v>977</v>
      </c>
      <c r="D273" s="72" t="s">
        <v>91</v>
      </c>
      <c r="E273" s="231">
        <v>2</v>
      </c>
      <c r="F273" s="287">
        <v>750</v>
      </c>
      <c r="G273" s="287">
        <v>750</v>
      </c>
      <c r="H273" s="287">
        <v>750</v>
      </c>
      <c r="I273" s="287">
        <v>750</v>
      </c>
      <c r="J273" s="409" t="s">
        <v>1044</v>
      </c>
      <c r="K273" s="28" t="s">
        <v>759</v>
      </c>
      <c r="L273" s="28">
        <f t="shared" ref="L273:L274" si="60">L272+1</f>
        <v>2</v>
      </c>
      <c r="M273" s="99">
        <f>IF(E273="VEDTATT","VEDTATT",0)</f>
        <v>0</v>
      </c>
      <c r="N273" s="99">
        <f>IF(E273="MÅ","Nye tiltak",0)</f>
        <v>0</v>
      </c>
      <c r="O273" s="99"/>
      <c r="P273" s="28"/>
    </row>
    <row r="274" spans="1:16" s="38" customFormat="1" x14ac:dyDescent="0.25">
      <c r="A274" s="78" t="s">
        <v>232</v>
      </c>
      <c r="B274" s="78" t="str">
        <f t="shared" si="59"/>
        <v>O3</v>
      </c>
      <c r="C274" s="84" t="s">
        <v>979</v>
      </c>
      <c r="D274" s="72" t="s">
        <v>91</v>
      </c>
      <c r="E274" s="231">
        <v>5</v>
      </c>
      <c r="F274" s="287">
        <v>650</v>
      </c>
      <c r="G274" s="287">
        <v>650</v>
      </c>
      <c r="H274" s="287">
        <v>650</v>
      </c>
      <c r="I274" s="287">
        <v>650</v>
      </c>
      <c r="J274" s="407" t="s">
        <v>978</v>
      </c>
      <c r="K274" s="28" t="s">
        <v>759</v>
      </c>
      <c r="L274" s="28">
        <f t="shared" si="60"/>
        <v>3</v>
      </c>
      <c r="M274" s="99">
        <f>IF(E274="VEDTATT","VEDTATT",0)</f>
        <v>0</v>
      </c>
      <c r="N274" s="99">
        <f>IF(E274="MÅ","Nye tiltak",0)</f>
        <v>0</v>
      </c>
      <c r="O274" s="99"/>
      <c r="P274" s="28"/>
    </row>
    <row r="275" spans="1:16" s="38" customFormat="1" x14ac:dyDescent="0.25">
      <c r="A275" s="78" t="s">
        <v>232</v>
      </c>
      <c r="B275" s="78" t="str">
        <f>IF(L275,K275&amp;L275,"")</f>
        <v>O4</v>
      </c>
      <c r="C275" s="84" t="s">
        <v>881</v>
      </c>
      <c r="D275" s="72" t="s">
        <v>91</v>
      </c>
      <c r="E275" s="231">
        <v>5</v>
      </c>
      <c r="F275" s="287">
        <v>15000</v>
      </c>
      <c r="G275" s="287">
        <v>15000</v>
      </c>
      <c r="H275" s="287">
        <v>15000</v>
      </c>
      <c r="I275" s="287">
        <v>15000</v>
      </c>
      <c r="J275" s="407" t="s">
        <v>1045</v>
      </c>
      <c r="K275" s="28" t="s">
        <v>759</v>
      </c>
      <c r="L275" s="28">
        <f t="shared" ref="L275:L289" si="61">L274+1</f>
        <v>4</v>
      </c>
      <c r="M275" s="99"/>
      <c r="N275" s="99"/>
      <c r="O275" s="99"/>
      <c r="P275" s="28"/>
    </row>
    <row r="276" spans="1:16" s="38" customFormat="1" x14ac:dyDescent="0.25">
      <c r="A276" s="78" t="s">
        <v>232</v>
      </c>
      <c r="B276" s="78" t="str">
        <f>IF(L276,K276&amp;L276,"")</f>
        <v>O5</v>
      </c>
      <c r="C276" s="84" t="s">
        <v>761</v>
      </c>
      <c r="D276" s="72" t="s">
        <v>91</v>
      </c>
      <c r="E276" s="61" t="s">
        <v>24</v>
      </c>
      <c r="F276" s="287">
        <v>220</v>
      </c>
      <c r="G276" s="287">
        <v>220</v>
      </c>
      <c r="H276" s="287">
        <v>220</v>
      </c>
      <c r="I276" s="287">
        <v>220</v>
      </c>
      <c r="J276" s="407"/>
      <c r="K276" s="28" t="s">
        <v>759</v>
      </c>
      <c r="L276" s="28">
        <f t="shared" si="61"/>
        <v>5</v>
      </c>
      <c r="M276" s="99"/>
      <c r="N276" s="99"/>
      <c r="O276" s="99"/>
      <c r="P276" s="28"/>
    </row>
    <row r="277" spans="1:16" s="38" customFormat="1" x14ac:dyDescent="0.25">
      <c r="A277" s="78" t="s">
        <v>232</v>
      </c>
      <c r="B277" s="78" t="str">
        <f>IF(L277,K277&amp;L277,"")</f>
        <v>O6</v>
      </c>
      <c r="C277" s="84" t="s">
        <v>981</v>
      </c>
      <c r="D277" s="72" t="s">
        <v>91</v>
      </c>
      <c r="E277" s="231">
        <v>8</v>
      </c>
      <c r="F277" s="287">
        <v>750</v>
      </c>
      <c r="G277" s="287">
        <v>750</v>
      </c>
      <c r="H277" s="287">
        <v>750</v>
      </c>
      <c r="I277" s="287">
        <v>750</v>
      </c>
      <c r="J277" s="407"/>
      <c r="K277" s="28" t="s">
        <v>759</v>
      </c>
      <c r="L277" s="28">
        <f t="shared" si="61"/>
        <v>6</v>
      </c>
      <c r="M277" s="99"/>
      <c r="N277" s="99"/>
      <c r="O277" s="99"/>
      <c r="P277" s="28"/>
    </row>
    <row r="278" spans="1:16" s="38" customFormat="1" x14ac:dyDescent="0.25">
      <c r="A278" s="78" t="s">
        <v>232</v>
      </c>
      <c r="B278" s="78" t="str">
        <f t="shared" si="59"/>
        <v>O7</v>
      </c>
      <c r="C278" s="84" t="s">
        <v>982</v>
      </c>
      <c r="D278" s="72" t="s">
        <v>91</v>
      </c>
      <c r="E278" s="231">
        <v>3</v>
      </c>
      <c r="F278" s="287">
        <v>750</v>
      </c>
      <c r="G278" s="287">
        <v>750</v>
      </c>
      <c r="H278" s="287">
        <v>750</v>
      </c>
      <c r="I278" s="287">
        <v>750</v>
      </c>
      <c r="J278" s="407" t="s">
        <v>983</v>
      </c>
      <c r="K278" s="28" t="s">
        <v>759</v>
      </c>
      <c r="L278" s="28">
        <f t="shared" si="61"/>
        <v>7</v>
      </c>
      <c r="M278" s="99"/>
      <c r="N278" s="99"/>
      <c r="O278" s="99"/>
      <c r="P278" s="28"/>
    </row>
    <row r="279" spans="1:16" s="38" customFormat="1" x14ac:dyDescent="0.25">
      <c r="A279" s="78" t="s">
        <v>232</v>
      </c>
      <c r="B279" s="78" t="str">
        <f t="shared" ref="B279:B288" si="62">IF(L279,K279&amp;L279,"")</f>
        <v>O8</v>
      </c>
      <c r="C279" s="84" t="s">
        <v>882</v>
      </c>
      <c r="D279" s="72" t="s">
        <v>91</v>
      </c>
      <c r="E279" s="231" t="s">
        <v>24</v>
      </c>
      <c r="F279" s="287">
        <v>11340</v>
      </c>
      <c r="G279" s="287">
        <v>13040</v>
      </c>
      <c r="H279" s="287">
        <v>6640</v>
      </c>
      <c r="I279" s="287">
        <v>6640</v>
      </c>
      <c r="J279" s="407" t="s">
        <v>1046</v>
      </c>
      <c r="K279" s="38" t="s">
        <v>759</v>
      </c>
      <c r="L279" s="38">
        <f t="shared" ref="L279:L288" si="63">L278+1</f>
        <v>8</v>
      </c>
      <c r="M279" s="392"/>
      <c r="N279" s="392"/>
      <c r="O279" s="392"/>
    </row>
    <row r="280" spans="1:16" s="38" customFormat="1" x14ac:dyDescent="0.25">
      <c r="A280" s="78" t="s">
        <v>232</v>
      </c>
      <c r="B280" s="78" t="str">
        <f t="shared" si="62"/>
        <v>O9</v>
      </c>
      <c r="C280" s="84" t="s">
        <v>1047</v>
      </c>
      <c r="D280" s="72" t="s">
        <v>91</v>
      </c>
      <c r="E280" s="231">
        <v>1</v>
      </c>
      <c r="F280" s="287">
        <v>2000</v>
      </c>
      <c r="G280" s="287">
        <v>4000</v>
      </c>
      <c r="H280" s="287">
        <v>6000</v>
      </c>
      <c r="I280" s="287">
        <v>6000</v>
      </c>
      <c r="J280" s="410"/>
      <c r="K280" s="38" t="s">
        <v>759</v>
      </c>
      <c r="L280" s="38">
        <f>L279+1</f>
        <v>9</v>
      </c>
      <c r="M280" s="392"/>
      <c r="N280" s="392"/>
      <c r="O280" s="392"/>
    </row>
    <row r="281" spans="1:16" s="38" customFormat="1" x14ac:dyDescent="0.25">
      <c r="A281" s="78" t="s">
        <v>232</v>
      </c>
      <c r="B281" s="78" t="str">
        <f t="shared" si="62"/>
        <v>O10</v>
      </c>
      <c r="C281" s="84" t="s">
        <v>1048</v>
      </c>
      <c r="D281" s="72" t="s">
        <v>91</v>
      </c>
      <c r="E281" s="71" t="s">
        <v>488</v>
      </c>
      <c r="F281" s="287">
        <v>210</v>
      </c>
      <c r="G281" s="287">
        <v>210</v>
      </c>
      <c r="H281" s="287">
        <v>210</v>
      </c>
      <c r="I281" s="287">
        <v>210</v>
      </c>
      <c r="J281" s="407" t="s">
        <v>1049</v>
      </c>
      <c r="K281" s="28" t="s">
        <v>759</v>
      </c>
      <c r="L281" s="28">
        <f t="shared" si="63"/>
        <v>10</v>
      </c>
      <c r="M281" s="99"/>
      <c r="N281" s="99"/>
      <c r="O281" s="99"/>
      <c r="P281" s="28"/>
    </row>
    <row r="282" spans="1:16" s="38" customFormat="1" x14ac:dyDescent="0.25">
      <c r="A282" s="78" t="s">
        <v>232</v>
      </c>
      <c r="B282" s="78" t="str">
        <f t="shared" si="62"/>
        <v>O11</v>
      </c>
      <c r="C282" s="84" t="s">
        <v>1050</v>
      </c>
      <c r="D282" s="72" t="s">
        <v>91</v>
      </c>
      <c r="E282" s="71" t="s">
        <v>488</v>
      </c>
      <c r="F282" s="287">
        <v>1000</v>
      </c>
      <c r="G282" s="287">
        <v>1000</v>
      </c>
      <c r="H282" s="287">
        <v>1000</v>
      </c>
      <c r="I282" s="287">
        <v>1000</v>
      </c>
      <c r="J282" s="407"/>
      <c r="K282" s="28" t="s">
        <v>759</v>
      </c>
      <c r="L282" s="28">
        <f t="shared" si="63"/>
        <v>11</v>
      </c>
      <c r="M282" s="99"/>
      <c r="N282" s="99"/>
      <c r="O282" s="99"/>
      <c r="P282" s="28"/>
    </row>
    <row r="283" spans="1:16" s="38" customFormat="1" x14ac:dyDescent="0.25">
      <c r="A283" s="78" t="s">
        <v>232</v>
      </c>
      <c r="B283" s="78" t="str">
        <f t="shared" si="62"/>
        <v>O12</v>
      </c>
      <c r="C283" s="84" t="s">
        <v>984</v>
      </c>
      <c r="D283" s="72" t="s">
        <v>91</v>
      </c>
      <c r="E283" s="231">
        <v>6</v>
      </c>
      <c r="F283" s="287">
        <v>250</v>
      </c>
      <c r="G283" s="287">
        <v>250</v>
      </c>
      <c r="H283" s="287">
        <v>250</v>
      </c>
      <c r="I283" s="287">
        <v>250</v>
      </c>
      <c r="J283" s="407"/>
      <c r="K283" s="28" t="s">
        <v>759</v>
      </c>
      <c r="L283" s="28">
        <f t="shared" si="63"/>
        <v>12</v>
      </c>
      <c r="M283" s="99"/>
      <c r="N283" s="99"/>
      <c r="O283" s="99"/>
      <c r="P283" s="28"/>
    </row>
    <row r="284" spans="1:16" s="38" customFormat="1" x14ac:dyDescent="0.25">
      <c r="A284" s="78" t="s">
        <v>232</v>
      </c>
      <c r="B284" s="78" t="str">
        <f t="shared" si="62"/>
        <v>O13</v>
      </c>
      <c r="C284" s="84" t="s">
        <v>986</v>
      </c>
      <c r="D284" s="72" t="s">
        <v>91</v>
      </c>
      <c r="E284" s="231">
        <v>7</v>
      </c>
      <c r="F284" s="287">
        <v>200</v>
      </c>
      <c r="G284" s="287">
        <v>200</v>
      </c>
      <c r="H284" s="287">
        <v>200</v>
      </c>
      <c r="I284" s="287">
        <v>200</v>
      </c>
      <c r="J284" s="407"/>
      <c r="K284" s="28" t="s">
        <v>759</v>
      </c>
      <c r="L284" s="28">
        <f t="shared" si="63"/>
        <v>13</v>
      </c>
      <c r="M284" s="99"/>
      <c r="N284" s="99"/>
      <c r="O284" s="99"/>
      <c r="P284" s="28"/>
    </row>
    <row r="285" spans="1:16" s="38" customFormat="1" x14ac:dyDescent="0.25">
      <c r="A285" s="78" t="s">
        <v>232</v>
      </c>
      <c r="B285" s="78" t="str">
        <f t="shared" si="62"/>
        <v>O14</v>
      </c>
      <c r="C285" s="84" t="s">
        <v>1051</v>
      </c>
      <c r="D285" s="72" t="s">
        <v>91</v>
      </c>
      <c r="E285" s="71"/>
      <c r="F285" s="287"/>
      <c r="G285" s="287"/>
      <c r="H285" s="287"/>
      <c r="I285" s="287"/>
      <c r="J285" s="407" t="s">
        <v>889</v>
      </c>
      <c r="K285" s="28" t="s">
        <v>759</v>
      </c>
      <c r="L285" s="28">
        <f t="shared" si="63"/>
        <v>14</v>
      </c>
      <c r="M285" s="99"/>
      <c r="N285" s="99"/>
      <c r="O285" s="99"/>
      <c r="P285" s="28"/>
    </row>
    <row r="286" spans="1:16" s="38" customFormat="1" x14ac:dyDescent="0.25">
      <c r="A286" s="78" t="s">
        <v>232</v>
      </c>
      <c r="B286" s="78" t="str">
        <f t="shared" si="62"/>
        <v>O15</v>
      </c>
      <c r="C286" s="84" t="s">
        <v>988</v>
      </c>
      <c r="D286" s="72" t="s">
        <v>91</v>
      </c>
      <c r="E286" s="231">
        <v>8</v>
      </c>
      <c r="F286" s="287">
        <v>80</v>
      </c>
      <c r="G286" s="287">
        <v>80</v>
      </c>
      <c r="H286" s="287">
        <v>80</v>
      </c>
      <c r="I286" s="287">
        <v>80</v>
      </c>
      <c r="J286" s="407"/>
      <c r="K286" s="28" t="s">
        <v>759</v>
      </c>
      <c r="L286" s="28">
        <f t="shared" si="63"/>
        <v>15</v>
      </c>
      <c r="M286" s="99"/>
      <c r="N286" s="99"/>
      <c r="O286" s="99"/>
      <c r="P286" s="28"/>
    </row>
    <row r="287" spans="1:16" s="38" customFormat="1" x14ac:dyDescent="0.25">
      <c r="A287" s="78" t="s">
        <v>232</v>
      </c>
      <c r="B287" s="78" t="str">
        <f t="shared" si="62"/>
        <v>O16</v>
      </c>
      <c r="C287" s="84"/>
      <c r="D287" s="72"/>
      <c r="E287" s="84"/>
      <c r="F287" s="70"/>
      <c r="G287" s="70"/>
      <c r="H287" s="70"/>
      <c r="I287" s="70"/>
      <c r="J287" s="407"/>
      <c r="K287" s="28" t="s">
        <v>759</v>
      </c>
      <c r="L287" s="28">
        <f t="shared" si="63"/>
        <v>16</v>
      </c>
      <c r="M287" s="99"/>
      <c r="N287" s="99"/>
      <c r="O287" s="99"/>
      <c r="P287" s="28"/>
    </row>
    <row r="288" spans="1:16" s="38" customFormat="1" x14ac:dyDescent="0.25">
      <c r="A288" s="78" t="s">
        <v>232</v>
      </c>
      <c r="B288" s="78" t="str">
        <f t="shared" si="62"/>
        <v>O17</v>
      </c>
      <c r="C288" s="84"/>
      <c r="D288" s="72"/>
      <c r="E288" s="84"/>
      <c r="F288" s="70"/>
      <c r="G288" s="70"/>
      <c r="H288" s="70"/>
      <c r="I288" s="70"/>
      <c r="J288" s="407"/>
      <c r="K288" s="28" t="s">
        <v>759</v>
      </c>
      <c r="L288" s="28">
        <f t="shared" si="63"/>
        <v>17</v>
      </c>
      <c r="M288" s="99"/>
      <c r="N288" s="99"/>
      <c r="O288" s="99"/>
      <c r="P288" s="28"/>
    </row>
    <row r="289" spans="1:16" s="38" customFormat="1" x14ac:dyDescent="0.25">
      <c r="A289" s="47"/>
      <c r="B289" s="47"/>
      <c r="C289" s="245"/>
      <c r="D289" s="214"/>
      <c r="E289" s="111"/>
      <c r="F289" s="70"/>
      <c r="G289" s="70"/>
      <c r="H289" s="70"/>
      <c r="I289" s="70"/>
      <c r="J289" s="407"/>
      <c r="K289" s="28" t="s">
        <v>759</v>
      </c>
      <c r="L289" s="28">
        <f t="shared" si="61"/>
        <v>18</v>
      </c>
      <c r="M289" s="99"/>
      <c r="N289" s="99"/>
      <c r="O289" s="99"/>
      <c r="P289" s="28"/>
    </row>
    <row r="290" spans="1:16" s="38" customFormat="1" x14ac:dyDescent="0.25">
      <c r="A290" s="43"/>
      <c r="B290" s="43" t="s">
        <v>127</v>
      </c>
      <c r="C290" s="3" t="s">
        <v>240</v>
      </c>
      <c r="D290" s="52"/>
      <c r="E290" s="52"/>
      <c r="F290" s="56">
        <f>SUMIF($A:$A,"ORG",F:F)</f>
        <v>33200</v>
      </c>
      <c r="G290" s="56">
        <f>SUMIF($A:$A,"ORG",G:G)</f>
        <v>36100</v>
      </c>
      <c r="H290" s="56">
        <f>SUMIF($A:$A,"ORG",H:H)</f>
        <v>31700</v>
      </c>
      <c r="I290" s="56">
        <f>SUMIF($A:$A,"ORG",I:I)</f>
        <v>31700</v>
      </c>
      <c r="J290" s="407"/>
      <c r="K290" s="337"/>
      <c r="L290" s="337"/>
      <c r="M290" s="99"/>
      <c r="N290" s="99"/>
      <c r="O290" s="99"/>
      <c r="P290" s="28"/>
    </row>
    <row r="291" spans="1:16" s="38" customFormat="1" x14ac:dyDescent="0.25">
      <c r="A291" s="47"/>
      <c r="B291" s="47"/>
      <c r="C291" s="11"/>
      <c r="D291" s="49"/>
      <c r="E291" s="49"/>
      <c r="F291" s="57"/>
      <c r="G291" s="57"/>
      <c r="H291" s="57"/>
      <c r="I291" s="57"/>
      <c r="J291" s="407"/>
      <c r="K291" s="28"/>
      <c r="L291" s="28"/>
      <c r="M291" s="99"/>
      <c r="N291" s="99"/>
      <c r="O291" s="99"/>
      <c r="P291" s="28"/>
    </row>
    <row r="292" spans="1:16" s="38" customFormat="1" x14ac:dyDescent="0.25">
      <c r="A292" s="48"/>
      <c r="B292" s="48"/>
      <c r="C292" s="13" t="s">
        <v>241</v>
      </c>
      <c r="D292" s="50"/>
      <c r="E292" s="61"/>
      <c r="F292" s="4">
        <f>F271</f>
        <v>2022</v>
      </c>
      <c r="G292" s="4">
        <f>F292+1</f>
        <v>2023</v>
      </c>
      <c r="H292" s="4">
        <f>G292+1</f>
        <v>2024</v>
      </c>
      <c r="I292" s="4">
        <f>H292+1</f>
        <v>2025</v>
      </c>
      <c r="J292" s="407"/>
      <c r="K292" s="337"/>
      <c r="L292" s="337"/>
      <c r="M292" s="99"/>
      <c r="N292" s="99"/>
      <c r="O292" s="99"/>
      <c r="P292" s="28"/>
    </row>
    <row r="293" spans="1:16" s="38" customFormat="1" x14ac:dyDescent="0.25">
      <c r="A293" s="45" t="s">
        <v>242</v>
      </c>
      <c r="B293" s="45" t="str">
        <f t="shared" ref="B293:B294" si="64">IF(L293,K293&amp;L293,"")</f>
        <v>Ø1</v>
      </c>
      <c r="C293" s="346" t="s">
        <v>763</v>
      </c>
      <c r="D293" s="72" t="s">
        <v>664</v>
      </c>
      <c r="E293" s="71" t="s">
        <v>84</v>
      </c>
      <c r="F293" s="70">
        <v>0</v>
      </c>
      <c r="G293" s="70">
        <v>-1300</v>
      </c>
      <c r="H293" s="70">
        <v>-1300</v>
      </c>
      <c r="I293" s="70">
        <v>-1300</v>
      </c>
      <c r="J293" s="409"/>
      <c r="K293" s="28" t="s">
        <v>764</v>
      </c>
      <c r="L293" s="28">
        <v>1</v>
      </c>
      <c r="M293" s="99" t="str">
        <f>IF(E293="VEDTATT","VEDTATT",0)</f>
        <v>VEDTATT</v>
      </c>
      <c r="N293" s="99">
        <f>IF(E293="MÅ","Nye tiltak",0)</f>
        <v>0</v>
      </c>
      <c r="O293" s="99"/>
      <c r="P293" s="28"/>
    </row>
    <row r="294" spans="1:16" s="38" customFormat="1" x14ac:dyDescent="0.25">
      <c r="A294" s="45" t="s">
        <v>242</v>
      </c>
      <c r="B294" s="45" t="str">
        <f t="shared" si="64"/>
        <v>Ø2</v>
      </c>
      <c r="C294" s="347" t="s">
        <v>765</v>
      </c>
      <c r="D294" s="72" t="s">
        <v>664</v>
      </c>
      <c r="E294" s="71" t="s">
        <v>84</v>
      </c>
      <c r="F294" s="70">
        <v>0</v>
      </c>
      <c r="G294" s="70">
        <v>1300</v>
      </c>
      <c r="H294" s="70">
        <v>1300</v>
      </c>
      <c r="I294" s="70">
        <v>1300</v>
      </c>
      <c r="J294" s="409"/>
      <c r="K294" s="28" t="s">
        <v>764</v>
      </c>
      <c r="L294" s="28">
        <f>L293+1</f>
        <v>2</v>
      </c>
      <c r="M294" s="99" t="str">
        <f>IF(E294="VEDTATT","VEDTATT",0)</f>
        <v>VEDTATT</v>
      </c>
      <c r="N294" s="99">
        <f>IF(E294="MÅ","Nye tiltak",0)</f>
        <v>0</v>
      </c>
      <c r="O294" s="99"/>
      <c r="P294" s="28"/>
    </row>
    <row r="295" spans="1:16" s="38" customFormat="1" x14ac:dyDescent="0.25">
      <c r="A295" s="45" t="s">
        <v>242</v>
      </c>
      <c r="B295" s="45" t="str">
        <f>IF(L295,K295&amp;L295,"")</f>
        <v>Ø3</v>
      </c>
      <c r="C295" s="347" t="s">
        <v>989</v>
      </c>
      <c r="D295" s="72" t="s">
        <v>91</v>
      </c>
      <c r="E295" s="231">
        <v>1</v>
      </c>
      <c r="F295" s="70">
        <v>785</v>
      </c>
      <c r="G295" s="70">
        <v>785</v>
      </c>
      <c r="H295" s="70">
        <v>785</v>
      </c>
      <c r="I295" s="70">
        <v>785</v>
      </c>
      <c r="J295" s="409"/>
      <c r="K295" s="28" t="s">
        <v>764</v>
      </c>
      <c r="L295" s="28">
        <f>L294+1</f>
        <v>3</v>
      </c>
      <c r="M295" s="99"/>
      <c r="N295" s="99"/>
      <c r="O295" s="99"/>
      <c r="P295" s="28"/>
    </row>
    <row r="296" spans="1:16" s="38" customFormat="1" x14ac:dyDescent="0.25">
      <c r="A296" s="45" t="s">
        <v>242</v>
      </c>
      <c r="B296" s="45" t="str">
        <f>IF(L296,K296&amp;L296,"")</f>
        <v>Ø4</v>
      </c>
      <c r="C296" s="346" t="s">
        <v>990</v>
      </c>
      <c r="D296" s="72" t="s">
        <v>91</v>
      </c>
      <c r="E296" s="231">
        <v>2</v>
      </c>
      <c r="F296" s="70">
        <v>120</v>
      </c>
      <c r="G296" s="70">
        <v>120</v>
      </c>
      <c r="H296" s="70">
        <v>120</v>
      </c>
      <c r="I296" s="70">
        <v>120</v>
      </c>
      <c r="J296" s="409"/>
      <c r="K296" s="28" t="s">
        <v>764</v>
      </c>
      <c r="L296" s="28">
        <f>L295+1</f>
        <v>4</v>
      </c>
      <c r="M296" s="99">
        <f>IF(E296="VEDTATT","VEDTATT",0)</f>
        <v>0</v>
      </c>
      <c r="N296" s="99">
        <f>IF(E296="MÅ","Nye tiltak",0)</f>
        <v>0</v>
      </c>
      <c r="O296" s="99"/>
      <c r="P296" s="28"/>
    </row>
    <row r="297" spans="1:16" s="38" customFormat="1" x14ac:dyDescent="0.25">
      <c r="A297" s="45" t="s">
        <v>242</v>
      </c>
      <c r="B297" s="45" t="str">
        <f>IF(L297,K297&amp;L297,"")</f>
        <v>Ø5</v>
      </c>
      <c r="C297" s="346" t="s">
        <v>991</v>
      </c>
      <c r="D297" s="79" t="s">
        <v>91</v>
      </c>
      <c r="E297" s="71" t="s">
        <v>24</v>
      </c>
      <c r="F297" s="191">
        <v>550</v>
      </c>
      <c r="G297" s="191">
        <v>550</v>
      </c>
      <c r="H297" s="191">
        <v>550</v>
      </c>
      <c r="I297" s="191">
        <v>550</v>
      </c>
      <c r="J297" s="94" t="s">
        <v>769</v>
      </c>
      <c r="K297" s="28" t="s">
        <v>764</v>
      </c>
      <c r="L297" s="28">
        <f>L296+1</f>
        <v>5</v>
      </c>
      <c r="M297" s="99">
        <f>IF(E297="VEDTATT","VEDTATT",0)</f>
        <v>0</v>
      </c>
      <c r="N297" s="99" t="str">
        <f>IF(E297="MÅ","Nye tiltak",0)</f>
        <v>Nye tiltak</v>
      </c>
      <c r="O297" s="99"/>
      <c r="P297" s="28"/>
    </row>
    <row r="298" spans="1:16" s="38" customFormat="1" x14ac:dyDescent="0.25">
      <c r="A298" s="45" t="s">
        <v>242</v>
      </c>
      <c r="B298" s="45" t="str">
        <f>IF(L298,K298&amp;L298,"")</f>
        <v>Ø6</v>
      </c>
      <c r="C298" s="346" t="s">
        <v>992</v>
      </c>
      <c r="D298" s="72" t="s">
        <v>91</v>
      </c>
      <c r="E298" s="71" t="s">
        <v>24</v>
      </c>
      <c r="F298" s="70">
        <v>-600</v>
      </c>
      <c r="G298" s="70">
        <v>-600</v>
      </c>
      <c r="H298" s="70">
        <v>-600</v>
      </c>
      <c r="I298" s="70">
        <v>-600</v>
      </c>
      <c r="J298" s="94" t="s">
        <v>771</v>
      </c>
      <c r="K298" s="28" t="s">
        <v>764</v>
      </c>
      <c r="L298" s="28">
        <f>L297+1</f>
        <v>6</v>
      </c>
      <c r="M298" s="99">
        <f>IF(E298="VEDTATT","VEDTATT",0)</f>
        <v>0</v>
      </c>
      <c r="N298" s="99" t="str">
        <f>IF(E298="MÅ","Nye tiltak",0)</f>
        <v>Nye tiltak</v>
      </c>
      <c r="O298" s="99"/>
      <c r="P298" s="28"/>
    </row>
    <row r="299" spans="1:16" s="38" customFormat="1" x14ac:dyDescent="0.25">
      <c r="A299" s="43"/>
      <c r="B299" s="43" t="s">
        <v>127</v>
      </c>
      <c r="C299" s="3" t="s">
        <v>248</v>
      </c>
      <c r="D299" s="52"/>
      <c r="E299" s="52"/>
      <c r="F299" s="56">
        <f>SUMIF($A:$A,"ØK",F:F)</f>
        <v>855</v>
      </c>
      <c r="G299" s="56">
        <f>SUMIF($A:$A,"ØK",G:G)</f>
        <v>855</v>
      </c>
      <c r="H299" s="56">
        <f>SUMIF($A:$A,"ØK",H:H)</f>
        <v>855</v>
      </c>
      <c r="I299" s="56">
        <f>SUMIF($A:$A,"ØK",I:I)</f>
        <v>855</v>
      </c>
      <c r="J299" s="407"/>
      <c r="K299" s="337"/>
      <c r="L299" s="337"/>
      <c r="M299" s="99"/>
      <c r="N299" s="99"/>
      <c r="O299" s="99"/>
      <c r="P299" s="28"/>
    </row>
    <row r="300" spans="1:16" s="38" customFormat="1" x14ac:dyDescent="0.25">
      <c r="A300" s="47"/>
      <c r="B300" s="47"/>
      <c r="C300" s="11"/>
      <c r="D300" s="49"/>
      <c r="E300" s="49"/>
      <c r="F300" s="57"/>
      <c r="G300" s="57"/>
      <c r="H300" s="57"/>
      <c r="I300" s="57"/>
      <c r="J300" s="407"/>
      <c r="K300" s="28"/>
      <c r="L300" s="28"/>
      <c r="M300" s="99"/>
      <c r="N300" s="99"/>
      <c r="O300" s="99"/>
      <c r="P300" s="28"/>
    </row>
    <row r="301" spans="1:16" s="38" customFormat="1" x14ac:dyDescent="0.25">
      <c r="A301" s="48"/>
      <c r="B301" s="48"/>
      <c r="C301" s="13" t="s">
        <v>249</v>
      </c>
      <c r="D301" s="50"/>
      <c r="E301" s="61"/>
      <c r="F301" s="58"/>
      <c r="G301" s="58"/>
      <c r="H301" s="58"/>
      <c r="I301" s="58"/>
      <c r="J301" s="407"/>
      <c r="M301" s="99"/>
      <c r="N301" s="99"/>
      <c r="O301" s="99"/>
      <c r="P301" s="28"/>
    </row>
    <row r="302" spans="1:16" s="38" customFormat="1" x14ac:dyDescent="0.25">
      <c r="A302" s="249"/>
      <c r="B302" s="249"/>
      <c r="C302" s="82" t="s">
        <v>250</v>
      </c>
      <c r="D302" s="83"/>
      <c r="E302" s="71"/>
      <c r="F302" s="4">
        <f>F292</f>
        <v>2022</v>
      </c>
      <c r="G302" s="4">
        <f>F302+1</f>
        <v>2023</v>
      </c>
      <c r="H302" s="4">
        <f>G302+1</f>
        <v>2024</v>
      </c>
      <c r="I302" s="4">
        <f>H302+1</f>
        <v>2025</v>
      </c>
      <c r="J302" s="407"/>
      <c r="K302" s="337"/>
      <c r="L302" s="337"/>
      <c r="M302" s="99"/>
      <c r="N302" s="99"/>
      <c r="O302" s="99"/>
      <c r="P302" s="28"/>
    </row>
    <row r="303" spans="1:16" s="38" customFormat="1" x14ac:dyDescent="0.25">
      <c r="A303" s="72" t="s">
        <v>251</v>
      </c>
      <c r="B303" s="78" t="str">
        <f t="shared" ref="B303:B352" si="65">IF(L303,K303&amp;L303,"")</f>
        <v>F1</v>
      </c>
      <c r="C303" s="386"/>
      <c r="D303" s="79" t="s">
        <v>91</v>
      </c>
      <c r="E303" s="289"/>
      <c r="F303" s="191"/>
      <c r="G303" s="191"/>
      <c r="H303" s="191"/>
      <c r="I303" s="191"/>
      <c r="J303" s="409"/>
      <c r="K303" s="28" t="s">
        <v>772</v>
      </c>
      <c r="L303" s="28">
        <v>1</v>
      </c>
      <c r="M303" s="99">
        <f>IF(E303="VEDTATT","VEDTATT",0)</f>
        <v>0</v>
      </c>
      <c r="N303" s="99">
        <f>IF(E303="MÅ","Nye tiltak",0)</f>
        <v>0</v>
      </c>
      <c r="O303" s="99"/>
      <c r="P303" s="28"/>
    </row>
    <row r="304" spans="1:16" s="38" customFormat="1" x14ac:dyDescent="0.25">
      <c r="A304" s="72" t="s">
        <v>251</v>
      </c>
      <c r="B304" s="78" t="str">
        <f t="shared" si="65"/>
        <v>F2</v>
      </c>
      <c r="C304" s="245"/>
      <c r="D304" s="79"/>
      <c r="E304" s="71"/>
      <c r="F304" s="191"/>
      <c r="G304" s="191"/>
      <c r="H304" s="191"/>
      <c r="I304" s="191"/>
      <c r="J304" s="409"/>
      <c r="K304" s="28" t="s">
        <v>772</v>
      </c>
      <c r="L304" s="28">
        <f>L303+1</f>
        <v>2</v>
      </c>
      <c r="M304" s="99">
        <f>IF(E304="VEDTATT","VEDTATT",0)</f>
        <v>0</v>
      </c>
      <c r="N304" s="99">
        <f>IF(E304="MÅ","Nye tiltak",0)</f>
        <v>0</v>
      </c>
      <c r="O304" s="99"/>
      <c r="P304" s="28"/>
    </row>
    <row r="305" spans="1:16" s="38" customFormat="1" x14ac:dyDescent="0.25">
      <c r="A305" s="72"/>
      <c r="B305" s="78" t="str">
        <f t="shared" si="65"/>
        <v/>
      </c>
      <c r="C305" s="82" t="s">
        <v>257</v>
      </c>
      <c r="D305" s="83"/>
      <c r="E305" s="71"/>
      <c r="F305" s="4">
        <f>F302</f>
        <v>2022</v>
      </c>
      <c r="G305" s="4">
        <f>F305+1</f>
        <v>2023</v>
      </c>
      <c r="H305" s="4">
        <f>G305+1</f>
        <v>2024</v>
      </c>
      <c r="I305" s="4">
        <f>H305+1</f>
        <v>2025</v>
      </c>
      <c r="J305" s="407"/>
      <c r="K305" s="337"/>
      <c r="L305" s="337"/>
      <c r="M305" s="99"/>
      <c r="N305" s="99"/>
      <c r="O305" s="99"/>
      <c r="P305" s="28"/>
    </row>
    <row r="306" spans="1:16" s="38" customFormat="1" ht="25.5" x14ac:dyDescent="0.25">
      <c r="A306" s="72" t="s">
        <v>251</v>
      </c>
      <c r="B306" s="78" t="str">
        <f t="shared" si="65"/>
        <v>F3</v>
      </c>
      <c r="C306" s="84" t="s">
        <v>885</v>
      </c>
      <c r="D306" s="72" t="s">
        <v>664</v>
      </c>
      <c r="E306" s="71" t="s">
        <v>84</v>
      </c>
      <c r="F306" s="255">
        <v>-35</v>
      </c>
      <c r="G306" s="255">
        <v>-65</v>
      </c>
      <c r="H306" s="255">
        <v>-65</v>
      </c>
      <c r="I306" s="255">
        <v>-65</v>
      </c>
      <c r="J306" s="409" t="s">
        <v>834</v>
      </c>
      <c r="K306" s="28" t="s">
        <v>772</v>
      </c>
      <c r="L306" s="28">
        <f>L304+1</f>
        <v>3</v>
      </c>
      <c r="M306" s="99" t="str">
        <f t="shared" ref="M306:M312" si="66">IF(E306="VEDTATT","VEDTATT",0)</f>
        <v>VEDTATT</v>
      </c>
      <c r="N306" s="99">
        <f t="shared" ref="N306:N312" si="67">IF(E306="MÅ","Nye tiltak",0)</f>
        <v>0</v>
      </c>
      <c r="O306" s="99"/>
      <c r="P306" s="28"/>
    </row>
    <row r="307" spans="1:16" s="38" customFormat="1" ht="25.5" x14ac:dyDescent="0.25">
      <c r="A307" s="72" t="s">
        <v>251</v>
      </c>
      <c r="B307" s="78" t="str">
        <f>IF(L307,K307&amp;L307,"")</f>
        <v>F4</v>
      </c>
      <c r="C307" s="84" t="s">
        <v>885</v>
      </c>
      <c r="D307" s="72" t="s">
        <v>664</v>
      </c>
      <c r="E307" s="71" t="s">
        <v>84</v>
      </c>
      <c r="F307" s="255">
        <v>-1000</v>
      </c>
      <c r="G307" s="255">
        <v>-1000</v>
      </c>
      <c r="H307" s="255">
        <v>-1000</v>
      </c>
      <c r="I307" s="255">
        <v>-1000</v>
      </c>
      <c r="J307" s="409" t="s">
        <v>775</v>
      </c>
      <c r="K307" s="28" t="s">
        <v>772</v>
      </c>
      <c r="L307" s="28">
        <f t="shared" ref="L307:L312" si="68">L306+1</f>
        <v>4</v>
      </c>
      <c r="M307" s="99" t="str">
        <f t="shared" si="66"/>
        <v>VEDTATT</v>
      </c>
      <c r="N307" s="99">
        <f t="shared" si="67"/>
        <v>0</v>
      </c>
      <c r="O307" s="99"/>
      <c r="P307" s="28"/>
    </row>
    <row r="308" spans="1:16" s="38" customFormat="1" x14ac:dyDescent="0.25">
      <c r="A308" s="72" t="s">
        <v>251</v>
      </c>
      <c r="B308" s="78" t="str">
        <f t="shared" si="65"/>
        <v>F5</v>
      </c>
      <c r="C308" s="393" t="s">
        <v>886</v>
      </c>
      <c r="D308" s="72" t="s">
        <v>664</v>
      </c>
      <c r="E308" s="71" t="s">
        <v>84</v>
      </c>
      <c r="F308" s="191">
        <v>-1000</v>
      </c>
      <c r="G308" s="191">
        <v>-1000</v>
      </c>
      <c r="H308" s="191">
        <v>-1000</v>
      </c>
      <c r="I308" s="191">
        <v>-1000</v>
      </c>
      <c r="J308" s="409"/>
      <c r="K308" s="28" t="s">
        <v>772</v>
      </c>
      <c r="L308" s="28">
        <f t="shared" si="68"/>
        <v>5</v>
      </c>
      <c r="M308" s="99" t="str">
        <f t="shared" si="66"/>
        <v>VEDTATT</v>
      </c>
      <c r="N308" s="99">
        <f t="shared" si="67"/>
        <v>0</v>
      </c>
      <c r="O308" s="99"/>
      <c r="P308" s="28"/>
    </row>
    <row r="309" spans="1:16" s="38" customFormat="1" x14ac:dyDescent="0.25">
      <c r="A309" s="72" t="s">
        <v>251</v>
      </c>
      <c r="B309" s="78" t="str">
        <f t="shared" si="65"/>
        <v>F6</v>
      </c>
      <c r="C309" s="84" t="s">
        <v>886</v>
      </c>
      <c r="D309" s="72" t="s">
        <v>664</v>
      </c>
      <c r="E309" s="71" t="s">
        <v>84</v>
      </c>
      <c r="F309" s="191">
        <v>1800</v>
      </c>
      <c r="G309" s="191">
        <v>3100</v>
      </c>
      <c r="H309" s="191">
        <v>3100</v>
      </c>
      <c r="I309" s="191">
        <v>3100</v>
      </c>
      <c r="J309" s="409" t="s">
        <v>779</v>
      </c>
      <c r="K309" s="28" t="s">
        <v>772</v>
      </c>
      <c r="L309" s="28">
        <f t="shared" si="68"/>
        <v>6</v>
      </c>
      <c r="M309" s="99" t="str">
        <f t="shared" si="66"/>
        <v>VEDTATT</v>
      </c>
      <c r="N309" s="99">
        <f t="shared" si="67"/>
        <v>0</v>
      </c>
      <c r="O309" s="99"/>
      <c r="P309" s="28"/>
    </row>
    <row r="310" spans="1:16" s="38" customFormat="1" x14ac:dyDescent="0.25">
      <c r="A310" s="72" t="s">
        <v>251</v>
      </c>
      <c r="B310" s="78" t="str">
        <f t="shared" si="65"/>
        <v>F7</v>
      </c>
      <c r="C310" s="84" t="s">
        <v>887</v>
      </c>
      <c r="D310" s="72" t="s">
        <v>664</v>
      </c>
      <c r="E310" s="71" t="s">
        <v>84</v>
      </c>
      <c r="F310" s="191">
        <v>-470</v>
      </c>
      <c r="G310" s="191">
        <v>-1515</v>
      </c>
      <c r="H310" s="191">
        <v>-2090</v>
      </c>
      <c r="I310" s="191">
        <v>-2090</v>
      </c>
      <c r="J310" s="93"/>
      <c r="K310" s="28" t="s">
        <v>772</v>
      </c>
      <c r="L310" s="28">
        <f t="shared" si="68"/>
        <v>7</v>
      </c>
      <c r="M310" s="99" t="str">
        <f t="shared" si="66"/>
        <v>VEDTATT</v>
      </c>
      <c r="N310" s="99">
        <f t="shared" si="67"/>
        <v>0</v>
      </c>
      <c r="O310" s="99"/>
      <c r="P310" s="28"/>
    </row>
    <row r="311" spans="1:16" s="38" customFormat="1" x14ac:dyDescent="0.25">
      <c r="A311" s="72" t="s">
        <v>251</v>
      </c>
      <c r="B311" s="78" t="str">
        <f t="shared" si="65"/>
        <v>F8</v>
      </c>
      <c r="C311" s="84" t="s">
        <v>780</v>
      </c>
      <c r="D311" s="72" t="s">
        <v>91</v>
      </c>
      <c r="E311" s="71" t="s">
        <v>24</v>
      </c>
      <c r="F311" s="255">
        <v>74000</v>
      </c>
      <c r="G311" s="255">
        <v>74000</v>
      </c>
      <c r="H311" s="255">
        <v>74000</v>
      </c>
      <c r="I311" s="255">
        <v>74000</v>
      </c>
      <c r="J311" s="409" t="s">
        <v>1052</v>
      </c>
      <c r="K311" s="28" t="s">
        <v>772</v>
      </c>
      <c r="L311" s="28">
        <f>L310+1</f>
        <v>8</v>
      </c>
      <c r="M311" s="99">
        <f t="shared" si="66"/>
        <v>0</v>
      </c>
      <c r="N311" s="99" t="str">
        <f t="shared" si="67"/>
        <v>Nye tiltak</v>
      </c>
      <c r="O311" s="99"/>
      <c r="P311" s="28"/>
    </row>
    <row r="312" spans="1:16" s="38" customFormat="1" x14ac:dyDescent="0.25">
      <c r="A312" s="72" t="s">
        <v>251</v>
      </c>
      <c r="B312" s="78" t="str">
        <f t="shared" si="65"/>
        <v>F9</v>
      </c>
      <c r="C312" s="84" t="s">
        <v>782</v>
      </c>
      <c r="D312" s="72" t="s">
        <v>91</v>
      </c>
      <c r="E312" s="71" t="s">
        <v>24</v>
      </c>
      <c r="F312" s="191">
        <v>246</v>
      </c>
      <c r="G312" s="191">
        <v>246</v>
      </c>
      <c r="H312" s="191">
        <v>246</v>
      </c>
      <c r="I312" s="191">
        <v>246</v>
      </c>
      <c r="J312" s="409" t="s">
        <v>783</v>
      </c>
      <c r="K312" s="28" t="s">
        <v>772</v>
      </c>
      <c r="L312" s="28">
        <f t="shared" si="68"/>
        <v>9</v>
      </c>
      <c r="M312" s="99">
        <f t="shared" si="66"/>
        <v>0</v>
      </c>
      <c r="N312" s="99" t="str">
        <f t="shared" si="67"/>
        <v>Nye tiltak</v>
      </c>
      <c r="O312" s="99"/>
      <c r="P312" s="28"/>
    </row>
    <row r="313" spans="1:16" s="38" customFormat="1" x14ac:dyDescent="0.25">
      <c r="A313" s="72" t="s">
        <v>251</v>
      </c>
      <c r="B313" s="78" t="str">
        <f t="shared" ref="B313:B322" si="69">IF(L313,K313&amp;L313,"")</f>
        <v>F10</v>
      </c>
      <c r="C313" s="84" t="s">
        <v>784</v>
      </c>
      <c r="D313" s="72" t="s">
        <v>91</v>
      </c>
      <c r="E313" s="71" t="s">
        <v>24</v>
      </c>
      <c r="F313" s="191">
        <v>200</v>
      </c>
      <c r="G313" s="191">
        <v>200</v>
      </c>
      <c r="H313" s="191">
        <v>200</v>
      </c>
      <c r="I313" s="191">
        <v>200</v>
      </c>
      <c r="J313" s="93" t="s">
        <v>691</v>
      </c>
      <c r="K313" s="28" t="s">
        <v>772</v>
      </c>
      <c r="L313" s="28">
        <f t="shared" ref="L313:L329" si="70">L312+1</f>
        <v>10</v>
      </c>
      <c r="M313" s="99">
        <f t="shared" ref="M313:M325" si="71">IF(E313="VEDTATT","VEDTATT",0)</f>
        <v>0</v>
      </c>
      <c r="N313" s="99" t="str">
        <f t="shared" ref="N313:N325" si="72">IF(E313="MÅ","Nye tiltak",0)</f>
        <v>Nye tiltak</v>
      </c>
      <c r="O313" s="99"/>
      <c r="P313" s="28"/>
    </row>
    <row r="314" spans="1:16" s="38" customFormat="1" x14ac:dyDescent="0.25">
      <c r="A314" s="72" t="s">
        <v>251</v>
      </c>
      <c r="B314" s="78" t="str">
        <f t="shared" si="69"/>
        <v>F11</v>
      </c>
      <c r="C314" s="84" t="s">
        <v>888</v>
      </c>
      <c r="D314" s="72" t="s">
        <v>91</v>
      </c>
      <c r="E314" s="71"/>
      <c r="F314" s="255"/>
      <c r="G314" s="255"/>
      <c r="H314" s="255"/>
      <c r="I314" s="255"/>
      <c r="J314" s="411" t="s">
        <v>889</v>
      </c>
      <c r="K314" s="28" t="s">
        <v>772</v>
      </c>
      <c r="L314" s="28">
        <f t="shared" si="70"/>
        <v>11</v>
      </c>
      <c r="M314" s="99">
        <f t="shared" si="71"/>
        <v>0</v>
      </c>
      <c r="N314" s="99">
        <f t="shared" si="72"/>
        <v>0</v>
      </c>
      <c r="O314" s="99"/>
      <c r="P314" s="28"/>
    </row>
    <row r="315" spans="1:16" s="38" customFormat="1" x14ac:dyDescent="0.25">
      <c r="A315" s="72" t="s">
        <v>251</v>
      </c>
      <c r="B315" s="78" t="str">
        <f t="shared" si="69"/>
        <v>F12</v>
      </c>
      <c r="C315" s="84" t="s">
        <v>785</v>
      </c>
      <c r="D315" s="72" t="s">
        <v>91</v>
      </c>
      <c r="E315" s="71" t="s">
        <v>24</v>
      </c>
      <c r="F315" s="191">
        <v>494</v>
      </c>
      <c r="G315" s="191">
        <v>494</v>
      </c>
      <c r="H315" s="191">
        <v>494</v>
      </c>
      <c r="I315" s="191">
        <v>494</v>
      </c>
      <c r="J315" s="93" t="s">
        <v>691</v>
      </c>
      <c r="K315" s="28" t="s">
        <v>772</v>
      </c>
      <c r="L315" s="28">
        <f t="shared" si="70"/>
        <v>12</v>
      </c>
      <c r="M315" s="99">
        <f t="shared" si="71"/>
        <v>0</v>
      </c>
      <c r="N315" s="99" t="str">
        <f t="shared" si="72"/>
        <v>Nye tiltak</v>
      </c>
      <c r="O315" s="99"/>
      <c r="P315" s="28"/>
    </row>
    <row r="316" spans="1:16" s="38" customFormat="1" ht="22.5" x14ac:dyDescent="0.25">
      <c r="A316" s="72" t="s">
        <v>251</v>
      </c>
      <c r="B316" s="78" t="str">
        <f t="shared" si="69"/>
        <v>F13</v>
      </c>
      <c r="C316" s="416" t="s">
        <v>890</v>
      </c>
      <c r="D316" s="228" t="s">
        <v>91</v>
      </c>
      <c r="E316" s="231" t="s">
        <v>24</v>
      </c>
      <c r="F316" s="290">
        <v>4931</v>
      </c>
      <c r="G316" s="290">
        <v>4931</v>
      </c>
      <c r="H316" s="290">
        <v>4931</v>
      </c>
      <c r="I316" s="290">
        <v>4931</v>
      </c>
      <c r="J316" s="409" t="s">
        <v>891</v>
      </c>
      <c r="K316" s="28" t="s">
        <v>772</v>
      </c>
      <c r="L316" s="28">
        <f t="shared" si="70"/>
        <v>13</v>
      </c>
      <c r="M316" s="99">
        <f t="shared" si="71"/>
        <v>0</v>
      </c>
      <c r="N316" s="99" t="str">
        <f t="shared" si="72"/>
        <v>Nye tiltak</v>
      </c>
      <c r="O316" s="99"/>
      <c r="P316" s="28"/>
    </row>
    <row r="317" spans="1:16" s="38" customFormat="1" ht="25.5" x14ac:dyDescent="0.25">
      <c r="A317" s="72" t="s">
        <v>251</v>
      </c>
      <c r="B317" s="78" t="str">
        <f t="shared" si="69"/>
        <v>F14</v>
      </c>
      <c r="C317" s="416" t="s">
        <v>892</v>
      </c>
      <c r="D317" s="228" t="s">
        <v>91</v>
      </c>
      <c r="E317" s="231" t="s">
        <v>24</v>
      </c>
      <c r="F317" s="290">
        <v>800</v>
      </c>
      <c r="G317" s="290">
        <v>800</v>
      </c>
      <c r="H317" s="290">
        <v>800</v>
      </c>
      <c r="I317" s="290">
        <v>800</v>
      </c>
      <c r="J317" s="409" t="s">
        <v>1053</v>
      </c>
      <c r="K317" s="28" t="s">
        <v>772</v>
      </c>
      <c r="L317" s="28">
        <f t="shared" si="70"/>
        <v>14</v>
      </c>
      <c r="M317" s="99">
        <f t="shared" si="71"/>
        <v>0</v>
      </c>
      <c r="N317" s="99" t="str">
        <f t="shared" si="72"/>
        <v>Nye tiltak</v>
      </c>
      <c r="O317" s="99"/>
      <c r="P317" s="28"/>
    </row>
    <row r="318" spans="1:16" s="38" customFormat="1" ht="22.5" x14ac:dyDescent="0.25">
      <c r="A318" s="72" t="s">
        <v>251</v>
      </c>
      <c r="B318" s="78" t="str">
        <f t="shared" si="69"/>
        <v>F15</v>
      </c>
      <c r="C318" s="416" t="s">
        <v>894</v>
      </c>
      <c r="D318" s="228" t="s">
        <v>91</v>
      </c>
      <c r="E318" s="231" t="s">
        <v>24</v>
      </c>
      <c r="F318" s="290">
        <v>2000</v>
      </c>
      <c r="G318" s="290">
        <v>2000</v>
      </c>
      <c r="H318" s="290">
        <v>2000</v>
      </c>
      <c r="I318" s="290">
        <v>2000</v>
      </c>
      <c r="J318" s="409" t="s">
        <v>895</v>
      </c>
      <c r="K318" s="28" t="s">
        <v>772</v>
      </c>
      <c r="L318" s="28">
        <f t="shared" si="70"/>
        <v>15</v>
      </c>
      <c r="M318" s="99">
        <f t="shared" si="71"/>
        <v>0</v>
      </c>
      <c r="N318" s="99" t="str">
        <f t="shared" si="72"/>
        <v>Nye tiltak</v>
      </c>
      <c r="O318" s="99"/>
      <c r="P318" s="28"/>
    </row>
    <row r="319" spans="1:16" s="38" customFormat="1" ht="25.5" x14ac:dyDescent="0.25">
      <c r="A319" s="72" t="s">
        <v>251</v>
      </c>
      <c r="B319" s="78" t="str">
        <f t="shared" si="69"/>
        <v>F16</v>
      </c>
      <c r="C319" s="416" t="s">
        <v>896</v>
      </c>
      <c r="D319" s="228" t="s">
        <v>91</v>
      </c>
      <c r="E319" s="231" t="s">
        <v>24</v>
      </c>
      <c r="F319" s="290">
        <v>9100</v>
      </c>
      <c r="G319" s="290">
        <v>9100</v>
      </c>
      <c r="H319" s="290">
        <v>9100</v>
      </c>
      <c r="I319" s="290">
        <v>9100</v>
      </c>
      <c r="J319" s="409" t="s">
        <v>897</v>
      </c>
      <c r="K319" s="28" t="s">
        <v>772</v>
      </c>
      <c r="L319" s="28">
        <f t="shared" si="70"/>
        <v>16</v>
      </c>
      <c r="M319" s="99">
        <f t="shared" si="71"/>
        <v>0</v>
      </c>
      <c r="N319" s="99" t="str">
        <f t="shared" si="72"/>
        <v>Nye tiltak</v>
      </c>
      <c r="O319" s="99"/>
      <c r="P319" s="28"/>
    </row>
    <row r="320" spans="1:16" s="38" customFormat="1" ht="33.75" x14ac:dyDescent="0.25">
      <c r="A320" s="72" t="s">
        <v>251</v>
      </c>
      <c r="B320" s="78" t="str">
        <f t="shared" si="69"/>
        <v>F17</v>
      </c>
      <c r="C320" s="416" t="s">
        <v>898</v>
      </c>
      <c r="D320" s="228" t="s">
        <v>91</v>
      </c>
      <c r="E320" s="231" t="s">
        <v>24</v>
      </c>
      <c r="F320" s="290">
        <v>3760</v>
      </c>
      <c r="G320" s="290">
        <v>3760</v>
      </c>
      <c r="H320" s="290">
        <v>3760</v>
      </c>
      <c r="I320" s="290">
        <v>3760</v>
      </c>
      <c r="J320" s="409" t="s">
        <v>899</v>
      </c>
      <c r="K320" s="28" t="s">
        <v>772</v>
      </c>
      <c r="L320" s="28">
        <f t="shared" si="70"/>
        <v>17</v>
      </c>
      <c r="M320" s="99">
        <f t="shared" si="71"/>
        <v>0</v>
      </c>
      <c r="N320" s="99" t="str">
        <f t="shared" si="72"/>
        <v>Nye tiltak</v>
      </c>
      <c r="O320" s="99"/>
      <c r="P320" s="28"/>
    </row>
    <row r="321" spans="1:16" s="38" customFormat="1" ht="22.5" x14ac:dyDescent="0.25">
      <c r="A321" s="72" t="s">
        <v>251</v>
      </c>
      <c r="B321" s="78" t="str">
        <f t="shared" si="69"/>
        <v>F18</v>
      </c>
      <c r="C321" s="416" t="s">
        <v>900</v>
      </c>
      <c r="D321" s="228" t="s">
        <v>91</v>
      </c>
      <c r="E321" s="231" t="s">
        <v>901</v>
      </c>
      <c r="F321" s="290">
        <v>0</v>
      </c>
      <c r="G321" s="290">
        <v>0</v>
      </c>
      <c r="H321" s="290">
        <v>0</v>
      </c>
      <c r="I321" s="290">
        <v>0</v>
      </c>
      <c r="J321" s="409" t="s">
        <v>902</v>
      </c>
      <c r="K321" s="28" t="s">
        <v>772</v>
      </c>
      <c r="L321" s="28">
        <f t="shared" si="70"/>
        <v>18</v>
      </c>
      <c r="M321" s="99">
        <f t="shared" si="71"/>
        <v>0</v>
      </c>
      <c r="N321" s="99">
        <f t="shared" si="72"/>
        <v>0</v>
      </c>
      <c r="O321" s="99"/>
      <c r="P321" s="28"/>
    </row>
    <row r="322" spans="1:16" s="38" customFormat="1" ht="22.5" x14ac:dyDescent="0.25">
      <c r="A322" s="72" t="s">
        <v>251</v>
      </c>
      <c r="B322" s="78" t="str">
        <f t="shared" si="69"/>
        <v>F19</v>
      </c>
      <c r="C322" s="84" t="s">
        <v>1054</v>
      </c>
      <c r="D322" s="72" t="s">
        <v>91</v>
      </c>
      <c r="E322" s="71"/>
      <c r="F322" s="255"/>
      <c r="G322" s="255"/>
      <c r="H322" s="255"/>
      <c r="I322" s="255"/>
      <c r="J322" s="417" t="s">
        <v>1055</v>
      </c>
      <c r="K322" s="28" t="s">
        <v>772</v>
      </c>
      <c r="L322" s="28">
        <f t="shared" si="70"/>
        <v>19</v>
      </c>
      <c r="M322" s="99">
        <f t="shared" si="71"/>
        <v>0</v>
      </c>
      <c r="N322" s="99">
        <f t="shared" si="72"/>
        <v>0</v>
      </c>
      <c r="O322" s="99"/>
      <c r="P322" s="28"/>
    </row>
    <row r="323" spans="1:16" s="38" customFormat="1" x14ac:dyDescent="0.25">
      <c r="A323" s="72" t="s">
        <v>251</v>
      </c>
      <c r="B323" s="78" t="str">
        <f t="shared" si="65"/>
        <v>F20</v>
      </c>
      <c r="C323" s="84" t="s">
        <v>788</v>
      </c>
      <c r="D323" s="72" t="s">
        <v>91</v>
      </c>
      <c r="E323" s="71" t="s">
        <v>24</v>
      </c>
      <c r="F323" s="191">
        <v>1880</v>
      </c>
      <c r="G323" s="191">
        <v>1880</v>
      </c>
      <c r="H323" s="191">
        <v>1880</v>
      </c>
      <c r="I323" s="191">
        <v>1880</v>
      </c>
      <c r="J323" s="409" t="s">
        <v>789</v>
      </c>
      <c r="K323" s="28" t="s">
        <v>772</v>
      </c>
      <c r="L323" s="28">
        <f t="shared" si="70"/>
        <v>20</v>
      </c>
      <c r="M323" s="99">
        <f t="shared" si="71"/>
        <v>0</v>
      </c>
      <c r="N323" s="99" t="str">
        <f t="shared" si="72"/>
        <v>Nye tiltak</v>
      </c>
      <c r="O323" s="99"/>
      <c r="P323" s="28"/>
    </row>
    <row r="324" spans="1:16" s="38" customFormat="1" ht="25.5" x14ac:dyDescent="0.25">
      <c r="A324" s="72" t="s">
        <v>251</v>
      </c>
      <c r="B324" s="78" t="str">
        <f t="shared" si="65"/>
        <v>F21</v>
      </c>
      <c r="C324" s="84" t="s">
        <v>903</v>
      </c>
      <c r="D324" s="72" t="s">
        <v>91</v>
      </c>
      <c r="E324" s="71" t="s">
        <v>24</v>
      </c>
      <c r="F324" s="191">
        <v>-1880</v>
      </c>
      <c r="G324" s="191"/>
      <c r="H324" s="191"/>
      <c r="I324" s="191"/>
      <c r="J324" s="409" t="s">
        <v>791</v>
      </c>
      <c r="K324" s="28" t="s">
        <v>772</v>
      </c>
      <c r="L324" s="28">
        <f t="shared" si="70"/>
        <v>21</v>
      </c>
      <c r="M324" s="99">
        <f t="shared" si="71"/>
        <v>0</v>
      </c>
      <c r="N324" s="99" t="str">
        <f t="shared" si="72"/>
        <v>Nye tiltak</v>
      </c>
      <c r="O324" s="99"/>
      <c r="P324" s="28"/>
    </row>
    <row r="325" spans="1:16" s="38" customFormat="1" ht="22.5" x14ac:dyDescent="0.25">
      <c r="A325" s="72" t="s">
        <v>251</v>
      </c>
      <c r="B325" s="78" t="str">
        <f t="shared" si="65"/>
        <v>F22</v>
      </c>
      <c r="C325" s="84" t="s">
        <v>904</v>
      </c>
      <c r="D325" s="72" t="s">
        <v>91</v>
      </c>
      <c r="E325" s="71" t="s">
        <v>901</v>
      </c>
      <c r="F325" s="191"/>
      <c r="G325" s="191"/>
      <c r="H325" s="191"/>
      <c r="I325" s="191"/>
      <c r="J325" s="409" t="s">
        <v>993</v>
      </c>
      <c r="K325" s="28" t="s">
        <v>772</v>
      </c>
      <c r="L325" s="28">
        <f t="shared" si="70"/>
        <v>22</v>
      </c>
      <c r="M325" s="99">
        <f t="shared" si="71"/>
        <v>0</v>
      </c>
      <c r="N325" s="99">
        <f t="shared" si="72"/>
        <v>0</v>
      </c>
      <c r="O325" s="99"/>
      <c r="P325" s="28"/>
    </row>
    <row r="326" spans="1:16" s="38" customFormat="1" x14ac:dyDescent="0.25">
      <c r="A326" s="72" t="s">
        <v>251</v>
      </c>
      <c r="B326" s="78" t="str">
        <f t="shared" si="65"/>
        <v>F23</v>
      </c>
      <c r="C326" s="386" t="s">
        <v>263</v>
      </c>
      <c r="D326" s="72" t="s">
        <v>91</v>
      </c>
      <c r="E326" s="71" t="s">
        <v>24</v>
      </c>
      <c r="F326" s="191">
        <v>450</v>
      </c>
      <c r="G326" s="191">
        <v>450</v>
      </c>
      <c r="H326" s="191">
        <v>450</v>
      </c>
      <c r="I326" s="191">
        <v>450</v>
      </c>
      <c r="J326" s="409" t="s">
        <v>792</v>
      </c>
      <c r="K326" s="28" t="s">
        <v>772</v>
      </c>
      <c r="L326" s="28">
        <f t="shared" si="70"/>
        <v>23</v>
      </c>
      <c r="M326" s="99"/>
      <c r="N326" s="99"/>
      <c r="O326" s="99"/>
      <c r="P326" s="28"/>
    </row>
    <row r="327" spans="1:16" s="38" customFormat="1" ht="23.25" customHeight="1" x14ac:dyDescent="0.25">
      <c r="A327" s="72" t="s">
        <v>251</v>
      </c>
      <c r="B327" s="78" t="str">
        <f t="shared" si="65"/>
        <v>F24</v>
      </c>
      <c r="C327" s="84" t="s">
        <v>384</v>
      </c>
      <c r="D327" s="72" t="s">
        <v>91</v>
      </c>
      <c r="E327" s="71" t="s">
        <v>24</v>
      </c>
      <c r="F327" s="255">
        <v>1030</v>
      </c>
      <c r="G327" s="255">
        <v>1030</v>
      </c>
      <c r="H327" s="255">
        <v>1030</v>
      </c>
      <c r="I327" s="255">
        <v>1030</v>
      </c>
      <c r="J327" s="409" t="s">
        <v>994</v>
      </c>
      <c r="K327" s="28" t="s">
        <v>772</v>
      </c>
      <c r="L327" s="28">
        <f t="shared" si="70"/>
        <v>24</v>
      </c>
      <c r="M327" s="99"/>
      <c r="N327" s="99"/>
      <c r="O327" s="99"/>
      <c r="P327" s="28"/>
    </row>
    <row r="328" spans="1:16" s="38" customFormat="1" x14ac:dyDescent="0.25">
      <c r="A328" s="72" t="s">
        <v>251</v>
      </c>
      <c r="B328" s="78" t="str">
        <f t="shared" si="65"/>
        <v>F25</v>
      </c>
      <c r="C328" s="84" t="s">
        <v>277</v>
      </c>
      <c r="D328" s="72" t="s">
        <v>91</v>
      </c>
      <c r="E328" s="71" t="s">
        <v>24</v>
      </c>
      <c r="F328" s="255"/>
      <c r="G328" s="255"/>
      <c r="H328" s="255"/>
      <c r="I328" s="255"/>
      <c r="J328" s="409" t="s">
        <v>995</v>
      </c>
      <c r="K328" s="28" t="s">
        <v>772</v>
      </c>
      <c r="L328" s="28">
        <f t="shared" si="70"/>
        <v>25</v>
      </c>
      <c r="M328" s="99"/>
      <c r="N328" s="99"/>
      <c r="O328" s="99"/>
      <c r="P328" s="28"/>
    </row>
    <row r="329" spans="1:16" s="38" customFormat="1" x14ac:dyDescent="0.25">
      <c r="A329" s="72" t="s">
        <v>251</v>
      </c>
      <c r="B329" s="78" t="str">
        <f t="shared" si="65"/>
        <v>F26</v>
      </c>
      <c r="C329" s="84" t="s">
        <v>793</v>
      </c>
      <c r="D329" s="72" t="s">
        <v>91</v>
      </c>
      <c r="E329" s="71" t="s">
        <v>24</v>
      </c>
      <c r="F329" s="255"/>
      <c r="G329" s="255"/>
      <c r="H329" s="255"/>
      <c r="I329" s="255"/>
      <c r="J329" s="409" t="s">
        <v>996</v>
      </c>
      <c r="K329" s="28" t="s">
        <v>772</v>
      </c>
      <c r="L329" s="28">
        <f t="shared" si="70"/>
        <v>26</v>
      </c>
      <c r="M329" s="99">
        <f>IF(E329="VEDTATT","VEDTATT",0)</f>
        <v>0</v>
      </c>
      <c r="N329" s="99" t="str">
        <f>IF(E329="MÅ","Nye tiltak",0)</f>
        <v>Nye tiltak</v>
      </c>
      <c r="O329" s="99"/>
      <c r="P329" s="28"/>
    </row>
    <row r="330" spans="1:16" s="38" customFormat="1" x14ac:dyDescent="0.25">
      <c r="A330" s="72"/>
      <c r="B330" s="78" t="str">
        <f t="shared" si="65"/>
        <v/>
      </c>
      <c r="C330" s="82" t="s">
        <v>288</v>
      </c>
      <c r="D330" s="83"/>
      <c r="E330" s="71"/>
      <c r="F330" s="4">
        <f>F305</f>
        <v>2022</v>
      </c>
      <c r="G330" s="4">
        <f>F330+1</f>
        <v>2023</v>
      </c>
      <c r="H330" s="4">
        <f>G330+1</f>
        <v>2024</v>
      </c>
      <c r="I330" s="4">
        <f>H330+1</f>
        <v>2025</v>
      </c>
      <c r="J330" s="407"/>
      <c r="K330" s="337"/>
      <c r="L330" s="337"/>
      <c r="M330" s="99"/>
      <c r="N330" s="99"/>
      <c r="O330" s="99"/>
      <c r="P330" s="28"/>
    </row>
    <row r="331" spans="1:16" s="38" customFormat="1" x14ac:dyDescent="0.25">
      <c r="A331" s="72" t="s">
        <v>251</v>
      </c>
      <c r="B331" s="78" t="str">
        <f t="shared" si="65"/>
        <v>F27</v>
      </c>
      <c r="C331" s="38" t="s">
        <v>289</v>
      </c>
      <c r="D331" s="72" t="s">
        <v>664</v>
      </c>
      <c r="E331" s="71" t="s">
        <v>84</v>
      </c>
      <c r="F331" s="70"/>
      <c r="G331" s="255">
        <v>2430</v>
      </c>
      <c r="H331" s="191"/>
      <c r="I331" s="191">
        <v>0</v>
      </c>
      <c r="J331" s="407"/>
      <c r="K331" s="28" t="s">
        <v>772</v>
      </c>
      <c r="L331" s="28">
        <f>L329+1</f>
        <v>27</v>
      </c>
      <c r="M331" s="99" t="str">
        <f>IF(E331="VEDTATT","VEDTATT",0)</f>
        <v>VEDTATT</v>
      </c>
      <c r="N331" s="99">
        <f>IF(E331="MÅ","Nye tiltak",0)</f>
        <v>0</v>
      </c>
      <c r="O331" s="99"/>
      <c r="P331" s="28"/>
    </row>
    <row r="332" spans="1:16" s="38" customFormat="1" ht="30" x14ac:dyDescent="0.25">
      <c r="A332" s="72" t="s">
        <v>251</v>
      </c>
      <c r="B332" s="78" t="str">
        <f t="shared" si="65"/>
        <v>F28</v>
      </c>
      <c r="C332" s="295" t="s">
        <v>909</v>
      </c>
      <c r="D332" s="72" t="s">
        <v>664</v>
      </c>
      <c r="E332" s="71" t="s">
        <v>84</v>
      </c>
      <c r="F332" s="70"/>
      <c r="G332" s="255">
        <v>400</v>
      </c>
      <c r="H332" s="191"/>
      <c r="I332" s="191">
        <v>0</v>
      </c>
      <c r="J332" s="407"/>
      <c r="K332" s="28" t="s">
        <v>772</v>
      </c>
      <c r="L332" s="28">
        <f t="shared" ref="L332:L335" si="73">+L331+1</f>
        <v>28</v>
      </c>
      <c r="M332" s="99" t="str">
        <f>IF(E332="VEDTATT","VEDTATT",0)</f>
        <v>VEDTATT</v>
      </c>
      <c r="N332" s="99">
        <f>IF(E332="MÅ","Nye tiltak",0)</f>
        <v>0</v>
      </c>
      <c r="O332" s="99"/>
      <c r="P332" s="28"/>
    </row>
    <row r="333" spans="1:16" s="38" customFormat="1" x14ac:dyDescent="0.25">
      <c r="A333" s="72" t="s">
        <v>251</v>
      </c>
      <c r="B333" s="78" t="str">
        <f t="shared" si="65"/>
        <v>F29</v>
      </c>
      <c r="C333" s="38" t="s">
        <v>291</v>
      </c>
      <c r="D333" s="72" t="s">
        <v>664</v>
      </c>
      <c r="E333" s="71" t="s">
        <v>84</v>
      </c>
      <c r="F333" s="70"/>
      <c r="G333" s="255">
        <v>300</v>
      </c>
      <c r="H333" s="191"/>
      <c r="I333" s="191">
        <v>0</v>
      </c>
      <c r="J333" s="407"/>
      <c r="K333" s="28" t="s">
        <v>772</v>
      </c>
      <c r="L333" s="28">
        <f t="shared" si="73"/>
        <v>29</v>
      </c>
      <c r="M333" s="99" t="str">
        <f>IF(E333="VEDTATT","VEDTATT",0)</f>
        <v>VEDTATT</v>
      </c>
      <c r="N333" s="99">
        <f>IF(E333="MÅ","Nye tiltak",0)</f>
        <v>0</v>
      </c>
      <c r="O333" s="99"/>
      <c r="P333" s="28"/>
    </row>
    <row r="334" spans="1:16" s="38" customFormat="1" x14ac:dyDescent="0.25">
      <c r="A334" s="72" t="s">
        <v>251</v>
      </c>
      <c r="B334" s="78" t="str">
        <f t="shared" si="65"/>
        <v>F30</v>
      </c>
      <c r="C334" s="38" t="s">
        <v>292</v>
      </c>
      <c r="D334" s="72" t="s">
        <v>664</v>
      </c>
      <c r="E334" s="71" t="s">
        <v>84</v>
      </c>
      <c r="F334" s="70"/>
      <c r="G334" s="255">
        <v>200</v>
      </c>
      <c r="H334" s="191"/>
      <c r="I334" s="191">
        <v>0</v>
      </c>
      <c r="J334" s="407"/>
      <c r="K334" s="28" t="s">
        <v>772</v>
      </c>
      <c r="L334" s="28">
        <f t="shared" si="73"/>
        <v>30</v>
      </c>
      <c r="M334" s="99" t="str">
        <f>IF(E334="VEDTATT","VEDTATT",0)</f>
        <v>VEDTATT</v>
      </c>
      <c r="N334" s="99">
        <f>IF(E334="MÅ","Nye tiltak",0)</f>
        <v>0</v>
      </c>
      <c r="O334" s="99"/>
      <c r="P334" s="28"/>
    </row>
    <row r="335" spans="1:16" s="38" customFormat="1" x14ac:dyDescent="0.25">
      <c r="A335" s="72" t="s">
        <v>251</v>
      </c>
      <c r="B335" s="78" t="str">
        <f t="shared" si="65"/>
        <v>F31</v>
      </c>
      <c r="C335" s="38" t="s">
        <v>293</v>
      </c>
      <c r="D335" s="79" t="s">
        <v>664</v>
      </c>
      <c r="E335" s="71" t="s">
        <v>84</v>
      </c>
      <c r="F335" s="191"/>
      <c r="G335" s="191">
        <v>-2000</v>
      </c>
      <c r="H335" s="191">
        <v>-2000</v>
      </c>
      <c r="I335" s="191">
        <v>-2000</v>
      </c>
      <c r="J335" s="407" t="s">
        <v>794</v>
      </c>
      <c r="K335" s="28" t="s">
        <v>772</v>
      </c>
      <c r="L335" s="28">
        <f t="shared" si="73"/>
        <v>31</v>
      </c>
      <c r="M335" s="99" t="str">
        <f>IF(E335="VEDTATT","VEDTATT",0)</f>
        <v>VEDTATT</v>
      </c>
      <c r="N335" s="99">
        <f>IF(E335="MÅ","Nye tiltak",0)</f>
        <v>0</v>
      </c>
      <c r="O335" s="99"/>
      <c r="P335" s="28"/>
    </row>
    <row r="336" spans="1:16" s="38" customFormat="1" x14ac:dyDescent="0.25">
      <c r="A336" s="72" t="s">
        <v>251</v>
      </c>
      <c r="B336" s="78" t="str">
        <f>IF(L336,K336&amp;L336,"")</f>
        <v>F32</v>
      </c>
      <c r="C336" s="38" t="s">
        <v>289</v>
      </c>
      <c r="D336" s="79" t="s">
        <v>91</v>
      </c>
      <c r="E336" s="71" t="s">
        <v>24</v>
      </c>
      <c r="F336" s="191"/>
      <c r="G336" s="191"/>
      <c r="H336" s="191"/>
      <c r="I336" s="255">
        <v>2430</v>
      </c>
      <c r="J336" s="407"/>
      <c r="K336" s="28" t="s">
        <v>772</v>
      </c>
      <c r="L336" s="28">
        <f t="shared" ref="L336:L341" si="74">+L335+1</f>
        <v>32</v>
      </c>
      <c r="M336" s="99"/>
      <c r="N336" s="99"/>
      <c r="O336" s="99"/>
      <c r="P336" s="28"/>
    </row>
    <row r="337" spans="1:16" s="38" customFormat="1" x14ac:dyDescent="0.25">
      <c r="A337" s="72" t="s">
        <v>251</v>
      </c>
      <c r="B337" s="78" t="str">
        <f>IF(L337,K337&amp;L337,"")</f>
        <v>F33</v>
      </c>
      <c r="C337" s="38" t="s">
        <v>910</v>
      </c>
      <c r="D337" s="79" t="s">
        <v>91</v>
      </c>
      <c r="E337" s="71" t="s">
        <v>24</v>
      </c>
      <c r="F337" s="191"/>
      <c r="G337" s="191"/>
      <c r="H337" s="191"/>
      <c r="I337" s="255">
        <v>400</v>
      </c>
      <c r="J337" s="407"/>
      <c r="K337" s="28" t="s">
        <v>772</v>
      </c>
      <c r="L337" s="28">
        <f t="shared" si="74"/>
        <v>33</v>
      </c>
      <c r="M337" s="99"/>
      <c r="N337" s="99"/>
      <c r="O337" s="99"/>
      <c r="P337" s="28"/>
    </row>
    <row r="338" spans="1:16" s="38" customFormat="1" x14ac:dyDescent="0.25">
      <c r="A338" s="72" t="s">
        <v>251</v>
      </c>
      <c r="B338" s="78" t="str">
        <f>IF(L338,K338&amp;L338,"")</f>
        <v>F34</v>
      </c>
      <c r="C338" s="38" t="s">
        <v>398</v>
      </c>
      <c r="D338" s="79" t="s">
        <v>91</v>
      </c>
      <c r="E338" s="71" t="s">
        <v>24</v>
      </c>
      <c r="F338" s="191"/>
      <c r="G338" s="191">
        <v>400</v>
      </c>
      <c r="H338" s="191"/>
      <c r="I338" s="191">
        <v>400</v>
      </c>
      <c r="J338" s="407"/>
      <c r="K338" s="28" t="s">
        <v>772</v>
      </c>
      <c r="L338" s="28">
        <f t="shared" si="74"/>
        <v>34</v>
      </c>
      <c r="M338" s="99"/>
      <c r="N338" s="99"/>
      <c r="O338" s="99"/>
      <c r="P338" s="28"/>
    </row>
    <row r="339" spans="1:16" s="38" customFormat="1" x14ac:dyDescent="0.25">
      <c r="A339" s="72" t="s">
        <v>251</v>
      </c>
      <c r="B339" s="78" t="str">
        <f t="shared" si="65"/>
        <v>F35</v>
      </c>
      <c r="C339" s="38" t="s">
        <v>470</v>
      </c>
      <c r="D339" s="79" t="s">
        <v>91</v>
      </c>
      <c r="E339" s="71" t="s">
        <v>24</v>
      </c>
      <c r="F339" s="191"/>
      <c r="G339" s="191">
        <v>300</v>
      </c>
      <c r="H339" s="191"/>
      <c r="I339" s="191">
        <v>300</v>
      </c>
      <c r="J339" s="407"/>
      <c r="K339" s="28" t="s">
        <v>772</v>
      </c>
      <c r="L339" s="28">
        <f t="shared" si="74"/>
        <v>35</v>
      </c>
      <c r="M339" s="99">
        <f>IF(E339="VEDTATT","VEDTATT",0)</f>
        <v>0</v>
      </c>
      <c r="N339" s="99" t="str">
        <f>IF(E339="MÅ","Nye tiltak",0)</f>
        <v>Nye tiltak</v>
      </c>
      <c r="O339" s="99"/>
      <c r="P339" s="28"/>
    </row>
    <row r="340" spans="1:16" s="38" customFormat="1" x14ac:dyDescent="0.25">
      <c r="A340" s="72" t="s">
        <v>251</v>
      </c>
      <c r="B340" s="78" t="str">
        <f>IF(L340,K340&amp;L340,"")</f>
        <v>F36</v>
      </c>
      <c r="C340" s="293" t="s">
        <v>911</v>
      </c>
      <c r="D340" s="79" t="s">
        <v>91</v>
      </c>
      <c r="E340" s="71" t="s">
        <v>24</v>
      </c>
      <c r="F340" s="191">
        <v>50</v>
      </c>
      <c r="G340" s="191">
        <v>50</v>
      </c>
      <c r="H340" s="191">
        <v>50</v>
      </c>
      <c r="I340" s="191">
        <v>50</v>
      </c>
      <c r="J340" s="407"/>
      <c r="K340" s="28" t="s">
        <v>772</v>
      </c>
      <c r="L340" s="28">
        <f t="shared" si="74"/>
        <v>36</v>
      </c>
      <c r="M340" s="99"/>
      <c r="N340" s="99"/>
      <c r="O340" s="99"/>
      <c r="P340" s="28"/>
    </row>
    <row r="341" spans="1:16" s="38" customFormat="1" x14ac:dyDescent="0.25">
      <c r="A341" s="72" t="s">
        <v>251</v>
      </c>
      <c r="B341" s="78" t="str">
        <f t="shared" si="65"/>
        <v>F37</v>
      </c>
      <c r="C341" s="293" t="s">
        <v>796</v>
      </c>
      <c r="D341" s="79" t="s">
        <v>91</v>
      </c>
      <c r="E341" s="231">
        <v>1</v>
      </c>
      <c r="F341" s="255"/>
      <c r="G341" s="255"/>
      <c r="H341" s="255">
        <v>1000</v>
      </c>
      <c r="I341" s="255"/>
      <c r="J341" s="407"/>
      <c r="K341" s="28" t="s">
        <v>772</v>
      </c>
      <c r="L341" s="28">
        <f t="shared" si="74"/>
        <v>37</v>
      </c>
      <c r="M341" s="99"/>
      <c r="N341" s="99"/>
      <c r="O341" s="99"/>
      <c r="P341" s="28"/>
    </row>
    <row r="342" spans="1:16" s="38" customFormat="1" x14ac:dyDescent="0.25">
      <c r="A342" s="72"/>
      <c r="B342" s="78" t="str">
        <f t="shared" si="65"/>
        <v/>
      </c>
      <c r="C342" s="82" t="s">
        <v>282</v>
      </c>
      <c r="D342" s="388"/>
      <c r="E342" s="71"/>
      <c r="F342" s="389"/>
      <c r="G342" s="389"/>
      <c r="H342" s="389"/>
      <c r="I342" s="389"/>
      <c r="J342" s="407"/>
      <c r="M342" s="99"/>
      <c r="N342" s="99"/>
      <c r="O342" s="99"/>
      <c r="P342" s="28"/>
    </row>
    <row r="343" spans="1:16" s="38" customFormat="1" x14ac:dyDescent="0.25">
      <c r="A343" s="72" t="s">
        <v>251</v>
      </c>
      <c r="B343" s="78" t="str">
        <f t="shared" si="65"/>
        <v>F38</v>
      </c>
      <c r="C343" s="84" t="s">
        <v>628</v>
      </c>
      <c r="D343" s="72" t="s">
        <v>661</v>
      </c>
      <c r="E343" s="71" t="s">
        <v>84</v>
      </c>
      <c r="F343" s="90">
        <f>-28060+7591+2600</f>
        <v>-17869</v>
      </c>
      <c r="G343" s="90">
        <f t="shared" ref="G343:I343" si="75">-28060+7591</f>
        <v>-20469</v>
      </c>
      <c r="H343" s="90">
        <f t="shared" si="75"/>
        <v>-20469</v>
      </c>
      <c r="I343" s="90">
        <f t="shared" si="75"/>
        <v>-20469</v>
      </c>
      <c r="J343" s="412" t="s">
        <v>835</v>
      </c>
      <c r="K343" s="28" t="s">
        <v>772</v>
      </c>
      <c r="L343" s="28">
        <f>L341+1</f>
        <v>38</v>
      </c>
      <c r="M343" s="99" t="str">
        <f>IF(E343="VEDTATT","VEDTATT",0)</f>
        <v>VEDTATT</v>
      </c>
      <c r="N343" s="99">
        <f>IF(E343="MÅ","Nye tiltak",0)</f>
        <v>0</v>
      </c>
      <c r="O343" s="99"/>
      <c r="P343" s="28"/>
    </row>
    <row r="344" spans="1:16" s="38" customFormat="1" x14ac:dyDescent="0.25">
      <c r="A344" s="72" t="s">
        <v>251</v>
      </c>
      <c r="B344" s="78" t="str">
        <f t="shared" si="65"/>
        <v>F39</v>
      </c>
      <c r="C344" s="84" t="s">
        <v>629</v>
      </c>
      <c r="D344" s="72" t="s">
        <v>661</v>
      </c>
      <c r="E344" s="71" t="s">
        <v>84</v>
      </c>
      <c r="F344" s="74">
        <v>-3730</v>
      </c>
      <c r="G344" s="74">
        <v>-3730</v>
      </c>
      <c r="H344" s="74">
        <v>-3730</v>
      </c>
      <c r="I344" s="74">
        <v>-3730</v>
      </c>
      <c r="J344" s="412" t="s">
        <v>835</v>
      </c>
      <c r="K344" s="28" t="s">
        <v>772</v>
      </c>
      <c r="L344" s="28">
        <f t="shared" ref="L344:L355" si="76">+L343+1</f>
        <v>39</v>
      </c>
      <c r="M344" s="99" t="str">
        <f>IF(E344="VEDTATT","VEDTATT",0)</f>
        <v>VEDTATT</v>
      </c>
      <c r="N344" s="99">
        <f>IF(E344="MÅ","Nye tiltak",0)</f>
        <v>0</v>
      </c>
      <c r="O344" s="99"/>
      <c r="P344" s="28"/>
    </row>
    <row r="345" spans="1:16" s="38" customFormat="1" x14ac:dyDescent="0.25">
      <c r="A345" s="72" t="s">
        <v>251</v>
      </c>
      <c r="B345" s="78" t="str">
        <f t="shared" si="65"/>
        <v>F40</v>
      </c>
      <c r="C345" s="84" t="s">
        <v>912</v>
      </c>
      <c r="D345" s="72" t="s">
        <v>661</v>
      </c>
      <c r="E345" s="71" t="s">
        <v>84</v>
      </c>
      <c r="F345" s="90">
        <v>-3500</v>
      </c>
      <c r="G345" s="90">
        <v>-3500</v>
      </c>
      <c r="H345" s="90">
        <v>-3500</v>
      </c>
      <c r="I345" s="90">
        <v>-3500</v>
      </c>
      <c r="J345" s="412" t="s">
        <v>835</v>
      </c>
      <c r="K345" s="28" t="s">
        <v>772</v>
      </c>
      <c r="L345" s="28">
        <f t="shared" si="76"/>
        <v>40</v>
      </c>
      <c r="M345" s="99" t="str">
        <f>IF(E345="VEDTATT","VEDTATT",0)</f>
        <v>VEDTATT</v>
      </c>
      <c r="N345" s="99">
        <f>IF(E345="MÅ","Nye tiltak",0)</f>
        <v>0</v>
      </c>
      <c r="O345" s="99"/>
      <c r="P345" s="28"/>
    </row>
    <row r="346" spans="1:16" s="38" customFormat="1" x14ac:dyDescent="0.25">
      <c r="A346" s="72" t="s">
        <v>251</v>
      </c>
      <c r="B346" s="78" t="str">
        <f t="shared" si="65"/>
        <v>F41</v>
      </c>
      <c r="C346" s="84" t="s">
        <v>631</v>
      </c>
      <c r="D346" s="72" t="s">
        <v>661</v>
      </c>
      <c r="E346" s="71" t="s">
        <v>84</v>
      </c>
      <c r="F346" s="90">
        <v>-4420</v>
      </c>
      <c r="G346" s="90">
        <v>-4420</v>
      </c>
      <c r="H346" s="90">
        <v>-4420</v>
      </c>
      <c r="I346" s="90">
        <v>-4420</v>
      </c>
      <c r="J346" s="412" t="s">
        <v>835</v>
      </c>
      <c r="K346" s="28" t="s">
        <v>772</v>
      </c>
      <c r="L346" s="28">
        <f t="shared" si="76"/>
        <v>41</v>
      </c>
      <c r="M346" s="99" t="str">
        <f>IF(E346="VEDTATT","VEDTATT",0)</f>
        <v>VEDTATT</v>
      </c>
      <c r="N346" s="99">
        <f>IF(E346="MÅ","Nye tiltak",0)</f>
        <v>0</v>
      </c>
      <c r="O346" s="99"/>
      <c r="P346" s="28"/>
    </row>
    <row r="347" spans="1:16" s="38" customFormat="1" x14ac:dyDescent="0.25">
      <c r="A347" s="72" t="s">
        <v>251</v>
      </c>
      <c r="B347" s="78" t="str">
        <f t="shared" si="65"/>
        <v>F42</v>
      </c>
      <c r="C347" s="84" t="s">
        <v>913</v>
      </c>
      <c r="D347" s="72" t="s">
        <v>661</v>
      </c>
      <c r="E347" s="61" t="s">
        <v>84</v>
      </c>
      <c r="F347" s="90">
        <f>26970-2600</f>
        <v>24370</v>
      </c>
      <c r="G347" s="90">
        <v>26970</v>
      </c>
      <c r="H347" s="90">
        <v>26970</v>
      </c>
      <c r="I347" s="90">
        <v>26970</v>
      </c>
      <c r="J347" s="412" t="s">
        <v>835</v>
      </c>
      <c r="K347" s="28" t="s">
        <v>772</v>
      </c>
      <c r="L347" s="28">
        <f t="shared" si="76"/>
        <v>42</v>
      </c>
      <c r="M347" s="99"/>
      <c r="N347" s="99"/>
      <c r="O347" s="99"/>
      <c r="P347" s="28"/>
    </row>
    <row r="348" spans="1:16" s="38" customFormat="1" x14ac:dyDescent="0.25">
      <c r="A348" s="72" t="s">
        <v>251</v>
      </c>
      <c r="B348" s="78" t="str">
        <f t="shared" si="65"/>
        <v>F43</v>
      </c>
      <c r="C348" s="84" t="s">
        <v>914</v>
      </c>
      <c r="D348" s="72" t="s">
        <v>661</v>
      </c>
      <c r="E348" s="71" t="s">
        <v>84</v>
      </c>
      <c r="F348" s="90">
        <v>-24370</v>
      </c>
      <c r="G348" s="90">
        <v>-26970</v>
      </c>
      <c r="H348" s="90">
        <v>-26970</v>
      </c>
      <c r="I348" s="90">
        <v>-26970</v>
      </c>
      <c r="J348" s="412" t="s">
        <v>835</v>
      </c>
      <c r="K348" s="28" t="s">
        <v>772</v>
      </c>
      <c r="L348" s="28">
        <f t="shared" si="76"/>
        <v>43</v>
      </c>
      <c r="M348" s="99"/>
      <c r="N348" s="99"/>
      <c r="O348" s="99"/>
      <c r="P348" s="28"/>
    </row>
    <row r="349" spans="1:16" s="38" customFormat="1" x14ac:dyDescent="0.25">
      <c r="A349" s="72" t="s">
        <v>251</v>
      </c>
      <c r="B349" s="78" t="str">
        <f t="shared" si="65"/>
        <v>F44</v>
      </c>
      <c r="C349" s="84" t="s">
        <v>631</v>
      </c>
      <c r="D349" s="72" t="s">
        <v>661</v>
      </c>
      <c r="E349" s="71" t="s">
        <v>84</v>
      </c>
      <c r="F349" s="90">
        <v>4420</v>
      </c>
      <c r="G349" s="90">
        <v>4420</v>
      </c>
      <c r="H349" s="90">
        <v>4420</v>
      </c>
      <c r="I349" s="90">
        <v>4420</v>
      </c>
      <c r="J349" s="412" t="s">
        <v>835</v>
      </c>
      <c r="K349" s="28" t="s">
        <v>772</v>
      </c>
      <c r="L349" s="28">
        <f t="shared" si="76"/>
        <v>44</v>
      </c>
      <c r="M349" s="99"/>
      <c r="N349" s="99"/>
      <c r="O349" s="99"/>
      <c r="P349" s="28"/>
    </row>
    <row r="350" spans="1:16" s="38" customFormat="1" ht="25.5" x14ac:dyDescent="0.25">
      <c r="A350" s="72" t="s">
        <v>251</v>
      </c>
      <c r="B350" s="78" t="str">
        <f t="shared" si="65"/>
        <v>F45</v>
      </c>
      <c r="C350" s="84" t="s">
        <v>634</v>
      </c>
      <c r="D350" s="72" t="s">
        <v>661</v>
      </c>
      <c r="E350" s="71" t="s">
        <v>84</v>
      </c>
      <c r="F350" s="90">
        <v>600</v>
      </c>
      <c r="G350" s="90">
        <v>600</v>
      </c>
      <c r="H350" s="90">
        <v>600</v>
      </c>
      <c r="I350" s="90">
        <v>600</v>
      </c>
      <c r="J350" s="412" t="s">
        <v>835</v>
      </c>
      <c r="K350" s="28" t="s">
        <v>772</v>
      </c>
      <c r="L350" s="28">
        <f t="shared" si="76"/>
        <v>45</v>
      </c>
      <c r="M350" s="99"/>
      <c r="N350" s="99"/>
      <c r="O350" s="99"/>
      <c r="P350" s="28"/>
    </row>
    <row r="351" spans="1:16" s="38" customFormat="1" x14ac:dyDescent="0.25">
      <c r="A351" s="72" t="s">
        <v>251</v>
      </c>
      <c r="B351" s="78" t="str">
        <f t="shared" si="65"/>
        <v>F46</v>
      </c>
      <c r="C351" s="84" t="s">
        <v>1056</v>
      </c>
      <c r="D351" s="72" t="s">
        <v>91</v>
      </c>
      <c r="E351" s="71" t="s">
        <v>24</v>
      </c>
      <c r="F351" s="90">
        <v>-2978</v>
      </c>
      <c r="G351" s="90">
        <v>-2978</v>
      </c>
      <c r="H351" s="90">
        <v>-2978</v>
      </c>
      <c r="I351" s="90">
        <v>-2978</v>
      </c>
      <c r="J351" s="412" t="s">
        <v>1057</v>
      </c>
      <c r="K351" s="28" t="s">
        <v>772</v>
      </c>
      <c r="L351" s="28">
        <f t="shared" si="76"/>
        <v>46</v>
      </c>
      <c r="M351" s="99"/>
      <c r="N351" s="99"/>
      <c r="O351" s="99"/>
      <c r="P351" s="28"/>
    </row>
    <row r="352" spans="1:16" s="38" customFormat="1" x14ac:dyDescent="0.25">
      <c r="A352" s="72" t="s">
        <v>251</v>
      </c>
      <c r="B352" s="78" t="str">
        <f t="shared" si="65"/>
        <v>F47</v>
      </c>
      <c r="C352" s="84" t="s">
        <v>1004</v>
      </c>
      <c r="D352" s="72" t="s">
        <v>91</v>
      </c>
      <c r="E352" s="71" t="s">
        <v>24</v>
      </c>
      <c r="F352" s="90">
        <v>-4176</v>
      </c>
      <c r="G352" s="90">
        <v>-4176</v>
      </c>
      <c r="H352" s="90">
        <v>-4176</v>
      </c>
      <c r="I352" s="90">
        <v>-4176</v>
      </c>
      <c r="J352" s="412" t="s">
        <v>1057</v>
      </c>
      <c r="K352" s="28" t="s">
        <v>772</v>
      </c>
      <c r="L352" s="28">
        <f t="shared" si="76"/>
        <v>47</v>
      </c>
      <c r="M352" s="99"/>
      <c r="N352" s="99"/>
      <c r="O352" s="99"/>
      <c r="P352" s="28"/>
    </row>
    <row r="353" spans="1:16" s="38" customFormat="1" x14ac:dyDescent="0.25">
      <c r="A353" s="72" t="s">
        <v>251</v>
      </c>
      <c r="B353" s="78" t="str">
        <f>IF(L353,K353&amp;L353,"")</f>
        <v>F48</v>
      </c>
      <c r="C353" s="386" t="s">
        <v>1000</v>
      </c>
      <c r="D353" s="79" t="s">
        <v>91</v>
      </c>
      <c r="E353" s="231">
        <v>2</v>
      </c>
      <c r="F353" s="90">
        <v>5900</v>
      </c>
      <c r="G353" s="90">
        <f>+F353</f>
        <v>5900</v>
      </c>
      <c r="H353" s="90">
        <f t="shared" ref="H353:I353" si="77">+G353</f>
        <v>5900</v>
      </c>
      <c r="I353" s="90">
        <f t="shared" si="77"/>
        <v>5900</v>
      </c>
      <c r="J353" s="412" t="s">
        <v>835</v>
      </c>
      <c r="K353" s="28" t="s">
        <v>772</v>
      </c>
      <c r="L353" s="28">
        <f t="shared" si="76"/>
        <v>48</v>
      </c>
      <c r="M353" s="99"/>
      <c r="N353" s="99"/>
      <c r="O353" s="99"/>
      <c r="P353" s="28"/>
    </row>
    <row r="354" spans="1:16" s="38" customFormat="1" x14ac:dyDescent="0.25">
      <c r="A354" s="72" t="s">
        <v>251</v>
      </c>
      <c r="B354" s="78" t="str">
        <f>IF(L354,K354&amp;L354,"")</f>
        <v>F49</v>
      </c>
      <c r="C354" s="84" t="s">
        <v>1002</v>
      </c>
      <c r="D354" s="72" t="s">
        <v>91</v>
      </c>
      <c r="E354" s="231">
        <v>1</v>
      </c>
      <c r="F354" s="413">
        <v>55500</v>
      </c>
      <c r="G354" s="413">
        <v>55500</v>
      </c>
      <c r="H354" s="413">
        <v>55500</v>
      </c>
      <c r="I354" s="413">
        <v>55500</v>
      </c>
      <c r="J354" s="407"/>
      <c r="K354" s="28" t="s">
        <v>772</v>
      </c>
      <c r="L354" s="28">
        <f t="shared" si="76"/>
        <v>49</v>
      </c>
      <c r="M354" s="99"/>
      <c r="N354" s="99"/>
      <c r="O354" s="99"/>
      <c r="P354" s="28"/>
    </row>
    <row r="355" spans="1:16" s="38" customFormat="1" x14ac:dyDescent="0.25">
      <c r="A355" s="72" t="s">
        <v>251</v>
      </c>
      <c r="B355" s="78" t="str">
        <f>IF(L355,K355&amp;L355,"")</f>
        <v>F50</v>
      </c>
      <c r="C355" s="84"/>
      <c r="D355" s="72"/>
      <c r="E355" s="71"/>
      <c r="F355" s="90"/>
      <c r="G355" s="90"/>
      <c r="H355" s="90"/>
      <c r="I355" s="90"/>
      <c r="J355" s="407"/>
      <c r="K355" s="28" t="s">
        <v>772</v>
      </c>
      <c r="L355" s="28">
        <f t="shared" si="76"/>
        <v>50</v>
      </c>
      <c r="M355" s="99">
        <f>IF(E355="VEDTATT","VEDTATT",0)</f>
        <v>0</v>
      </c>
      <c r="N355" s="99">
        <f>IF(E355="MÅ","Nye tiltak",0)</f>
        <v>0</v>
      </c>
      <c r="O355" s="99"/>
      <c r="P355" s="28"/>
    </row>
    <row r="356" spans="1:16" s="38" customFormat="1" x14ac:dyDescent="0.25">
      <c r="A356" s="72"/>
      <c r="B356" s="78" t="str">
        <f>IF(L356,K356&amp;L356,"")</f>
        <v/>
      </c>
      <c r="C356" s="82" t="s">
        <v>1005</v>
      </c>
      <c r="D356" s="83"/>
      <c r="E356" s="71"/>
      <c r="F356" s="191"/>
      <c r="G356" s="191"/>
      <c r="H356" s="191"/>
      <c r="I356" s="191"/>
      <c r="J356" s="407"/>
      <c r="K356" s="28"/>
      <c r="L356" s="28"/>
      <c r="M356" s="99"/>
      <c r="N356" s="99"/>
      <c r="O356" s="99"/>
      <c r="P356" s="28"/>
    </row>
    <row r="357" spans="1:16" s="38" customFormat="1" ht="30" x14ac:dyDescent="0.25">
      <c r="A357" s="43"/>
      <c r="B357" s="43" t="s">
        <v>127</v>
      </c>
      <c r="C357" s="3" t="s">
        <v>304</v>
      </c>
      <c r="D357" s="52"/>
      <c r="E357" s="52"/>
      <c r="F357" s="56">
        <f>SUMIF($A:$A,"KOM.FELLES",F:F)</f>
        <v>126103</v>
      </c>
      <c r="G357" s="56">
        <f>SUMIF($A:$A,"KOM.FELLES",G:G)</f>
        <v>127638</v>
      </c>
      <c r="H357" s="56">
        <f>SUMIF($A:$A,"KOM.FELLES",H:H)</f>
        <v>124033</v>
      </c>
      <c r="I357" s="56">
        <f>SUMIF($A:$A,"KOM.FELLES",I:I)</f>
        <v>126563</v>
      </c>
      <c r="J357" s="407"/>
      <c r="K357" s="337"/>
      <c r="L357" s="337"/>
      <c r="M357" s="99"/>
      <c r="N357" s="99"/>
      <c r="O357" s="99"/>
      <c r="P357" s="28"/>
    </row>
    <row r="358" spans="1:16" x14ac:dyDescent="0.25">
      <c r="K358" s="38"/>
      <c r="L358" s="38"/>
      <c r="M358"/>
      <c r="N358"/>
      <c r="O358"/>
    </row>
    <row r="360" spans="1:16" x14ac:dyDescent="0.25">
      <c r="E360" t="s">
        <v>836</v>
      </c>
      <c r="F360" s="256" t="e">
        <f>#REF!+#REF!+#REF!+#REF!</f>
        <v>#REF!</v>
      </c>
      <c r="G360" s="256" t="e">
        <f>#REF!+#REF!+#REF!+#REF!</f>
        <v>#REF!</v>
      </c>
      <c r="H360" s="256" t="e">
        <f>#REF!+#REF!+#REF!+#REF!</f>
        <v>#REF!</v>
      </c>
      <c r="I360" s="256"/>
    </row>
    <row r="361" spans="1:16" x14ac:dyDescent="0.25">
      <c r="E361" t="s">
        <v>837</v>
      </c>
      <c r="F361" s="256">
        <f>30987+13258+710+30241</f>
        <v>75196</v>
      </c>
      <c r="G361" s="256">
        <f>30987+29145+1313+30241</f>
        <v>91686</v>
      </c>
      <c r="H361" s="256">
        <f>30987+29145+1313+30241</f>
        <v>91686</v>
      </c>
      <c r="I361" s="256"/>
    </row>
    <row r="362" spans="1:16" x14ac:dyDescent="0.25">
      <c r="E362" s="202" t="s">
        <v>838</v>
      </c>
      <c r="F362" s="203" t="e">
        <f>F360-F361</f>
        <v>#REF!</v>
      </c>
      <c r="G362" s="203" t="e">
        <f>G360-G361</f>
        <v>#REF!</v>
      </c>
      <c r="H362" s="203" t="e">
        <f>H360-H361</f>
        <v>#REF!</v>
      </c>
      <c r="I362" s="348"/>
    </row>
    <row r="363" spans="1:16" x14ac:dyDescent="0.25">
      <c r="E363" t="s">
        <v>839</v>
      </c>
      <c r="F363" s="183">
        <f>-7929-3038</f>
        <v>-10967</v>
      </c>
      <c r="G363" s="183">
        <f>-9809-3549</f>
        <v>-13358</v>
      </c>
      <c r="H363" s="183">
        <f>-9809-3549</f>
        <v>-13358</v>
      </c>
      <c r="I363" s="183"/>
    </row>
    <row r="364" spans="1:16" x14ac:dyDescent="0.25">
      <c r="E364" s="202" t="s">
        <v>838</v>
      </c>
      <c r="F364" s="203" t="e">
        <f>F363-F362</f>
        <v>#REF!</v>
      </c>
      <c r="G364" s="203" t="e">
        <f>G363-G362</f>
        <v>#REF!</v>
      </c>
      <c r="H364" s="203" t="e">
        <f>H363-H362</f>
        <v>#REF!</v>
      </c>
      <c r="I364" s="348"/>
    </row>
    <row r="366" spans="1:16" x14ac:dyDescent="0.25">
      <c r="F366" s="256" t="e">
        <f>F71+F72+#REF!+#REF!+#REF!+#REF!+#REF!+#REF!+#REF!+#REF!+#REF!+F168+F170+#REF!+#REF!+#REF!+#REF!+#REF!+#REF!+#REF!</f>
        <v>#REF!</v>
      </c>
      <c r="G366" s="256" t="e">
        <f>G71+G72+#REF!+#REF!+#REF!+#REF!+#REF!+#REF!+#REF!+#REF!+#REF!+G168+G170+#REF!+#REF!+#REF!+#REF!+#REF!+#REF!+#REF!</f>
        <v>#REF!</v>
      </c>
      <c r="H366" s="256" t="e">
        <f>H71+H72+#REF!+#REF!+#REF!+#REF!+#REF!+#REF!+#REF!+#REF!+#REF!+H168+H170+#REF!+#REF!+#REF!+#REF!+#REF!+#REF!+#REF!</f>
        <v>#REF!</v>
      </c>
      <c r="I366" s="256"/>
    </row>
    <row r="371" spans="4:21" x14ac:dyDescent="0.25">
      <c r="F371" s="182"/>
      <c r="G371" s="182"/>
      <c r="H371" s="182"/>
      <c r="I371" s="182"/>
    </row>
    <row r="372" spans="4:21" x14ac:dyDescent="0.25">
      <c r="D372" s="256"/>
      <c r="E372" s="256"/>
      <c r="F372" s="256"/>
      <c r="G372" s="256"/>
      <c r="H372" s="256"/>
      <c r="I372" s="256"/>
      <c r="Q372" s="204"/>
      <c r="R372" s="205">
        <v>2019</v>
      </c>
      <c r="S372" s="205">
        <v>2020</v>
      </c>
      <c r="T372" s="205">
        <v>2021</v>
      </c>
      <c r="U372" s="205">
        <v>2022</v>
      </c>
    </row>
    <row r="373" spans="4:21" x14ac:dyDescent="0.25">
      <c r="F373" s="256"/>
      <c r="G373" s="256"/>
      <c r="H373" s="256"/>
      <c r="I373" s="256"/>
      <c r="Q373" s="349" t="s">
        <v>840</v>
      </c>
      <c r="R373" s="186" t="e">
        <f>#REF!+#REF!</f>
        <v>#REF!</v>
      </c>
      <c r="S373" s="186" t="e">
        <f>#REF!+#REF!</f>
        <v>#REF!</v>
      </c>
      <c r="T373" s="186" t="e">
        <f>#REF!+#REF!</f>
        <v>#REF!</v>
      </c>
      <c r="U373" s="186" t="e">
        <f>#REF!+#REF!</f>
        <v>#REF!</v>
      </c>
    </row>
    <row r="374" spans="4:21" x14ac:dyDescent="0.25">
      <c r="F374" s="256"/>
      <c r="G374" s="256"/>
      <c r="H374" s="256"/>
      <c r="I374" s="256"/>
      <c r="Q374" s="349" t="s">
        <v>841</v>
      </c>
      <c r="R374" s="186" t="e">
        <f>#REF!+#REF!</f>
        <v>#REF!</v>
      </c>
      <c r="S374" s="186" t="e">
        <f>#REF!+#REF!</f>
        <v>#REF!</v>
      </c>
      <c r="T374" s="186" t="e">
        <f>#REF!+#REF!</f>
        <v>#REF!</v>
      </c>
      <c r="U374" s="186" t="e">
        <f>#REF!+#REF!</f>
        <v>#REF!</v>
      </c>
    </row>
    <row r="375" spans="4:21" x14ac:dyDescent="0.25">
      <c r="F375" s="256"/>
      <c r="G375" s="256"/>
      <c r="H375" s="256"/>
      <c r="I375" s="256"/>
      <c r="Q375" s="349" t="s">
        <v>803</v>
      </c>
      <c r="R375" s="186" t="e">
        <f>#REF!+#REF!</f>
        <v>#REF!</v>
      </c>
      <c r="S375" s="186">
        <f>F150+F152</f>
        <v>1000</v>
      </c>
      <c r="T375" s="186">
        <f>G150+G152</f>
        <v>1000</v>
      </c>
      <c r="U375" s="186">
        <f>H150+H152</f>
        <v>1000</v>
      </c>
    </row>
    <row r="376" spans="4:21" x14ac:dyDescent="0.25">
      <c r="F376" s="256"/>
      <c r="G376" s="256"/>
      <c r="H376" s="256"/>
      <c r="I376" s="256"/>
      <c r="Q376" s="349" t="s">
        <v>842</v>
      </c>
      <c r="R376" s="186" t="e">
        <f>#REF!</f>
        <v>#REF!</v>
      </c>
      <c r="S376" s="186" t="e">
        <f>#REF!</f>
        <v>#REF!</v>
      </c>
      <c r="T376" s="186" t="e">
        <f>#REF!</f>
        <v>#REF!</v>
      </c>
      <c r="U376" s="186" t="e">
        <f>#REF!</f>
        <v>#REF!</v>
      </c>
    </row>
    <row r="377" spans="4:21" x14ac:dyDescent="0.25">
      <c r="F377" s="256"/>
      <c r="G377" s="256"/>
      <c r="H377" s="256"/>
      <c r="I377" s="256"/>
      <c r="Q377" s="349" t="s">
        <v>808</v>
      </c>
      <c r="R377" s="186" t="e">
        <f>#REF!+#REF!</f>
        <v>#REF!</v>
      </c>
      <c r="S377" s="186" t="e">
        <f>#REF!+#REF!</f>
        <v>#REF!</v>
      </c>
      <c r="T377" s="186" t="e">
        <f>#REF!+#REF!</f>
        <v>#REF!</v>
      </c>
      <c r="U377" s="186" t="e">
        <f>#REF!+#REF!</f>
        <v>#REF!</v>
      </c>
    </row>
    <row r="378" spans="4:21" x14ac:dyDescent="0.25">
      <c r="F378" s="256"/>
      <c r="G378" s="256"/>
      <c r="H378" s="256"/>
      <c r="I378" s="256"/>
      <c r="Q378" s="349" t="s">
        <v>231</v>
      </c>
      <c r="R378" s="186" t="e">
        <f>#REF!</f>
        <v>#REF!</v>
      </c>
      <c r="S378" s="186" t="e">
        <f>#REF!</f>
        <v>#REF!</v>
      </c>
      <c r="T378" s="186" t="e">
        <f>#REF!</f>
        <v>#REF!</v>
      </c>
      <c r="U378" s="186" t="e">
        <f>#REF!</f>
        <v>#REF!</v>
      </c>
    </row>
    <row r="379" spans="4:21" x14ac:dyDescent="0.25">
      <c r="F379" s="256"/>
      <c r="G379" s="256"/>
      <c r="H379" s="256"/>
      <c r="I379" s="256"/>
      <c r="Q379" s="349" t="s">
        <v>241</v>
      </c>
      <c r="R379" s="186" t="e">
        <f>#REF!</f>
        <v>#REF!</v>
      </c>
      <c r="S379" s="186" t="e">
        <f>#REF!</f>
        <v>#REF!</v>
      </c>
      <c r="T379" s="186" t="e">
        <f>#REF!</f>
        <v>#REF!</v>
      </c>
      <c r="U379" s="186" t="e">
        <f>#REF!</f>
        <v>#REF!</v>
      </c>
    </row>
    <row r="380" spans="4:21" ht="30" x14ac:dyDescent="0.25">
      <c r="Q380" s="349" t="s">
        <v>843</v>
      </c>
      <c r="R380" s="186" t="e">
        <f>#REF!+#REF!</f>
        <v>#REF!</v>
      </c>
      <c r="S380" s="186" t="e">
        <f>F304+#REF!</f>
        <v>#REF!</v>
      </c>
      <c r="T380" s="186" t="e">
        <f>G304+#REF!</f>
        <v>#REF!</v>
      </c>
      <c r="U380" s="186" t="e">
        <f>H304+#REF!</f>
        <v>#REF!</v>
      </c>
    </row>
    <row r="381" spans="4:21" x14ac:dyDescent="0.25">
      <c r="Q381" s="185" t="s">
        <v>844</v>
      </c>
      <c r="R381" s="187" t="e">
        <f>SUBTOTAL(9,R373:R380)</f>
        <v>#REF!</v>
      </c>
      <c r="S381" s="187" t="e">
        <f>SUBTOTAL(9,S373:S380)</f>
        <v>#REF!</v>
      </c>
      <c r="T381" s="187" t="e">
        <f>SUBTOTAL(9,T373:T380)</f>
        <v>#REF!</v>
      </c>
      <c r="U381" s="187" t="e">
        <f>SUBTOTAL(9,U373:U380)</f>
        <v>#REF!</v>
      </c>
    </row>
  </sheetData>
  <mergeCells count="16">
    <mergeCell ref="AO1:AR1"/>
    <mergeCell ref="AS1:AV1"/>
    <mergeCell ref="Q2:T2"/>
    <mergeCell ref="U2:X2"/>
    <mergeCell ref="Y2:AB2"/>
    <mergeCell ref="AC2:AF2"/>
    <mergeCell ref="AG2:AJ2"/>
    <mergeCell ref="AK2:AN2"/>
    <mergeCell ref="AO2:AR2"/>
    <mergeCell ref="AS2:AV2"/>
    <mergeCell ref="Q1:T1"/>
    <mergeCell ref="U1:X1"/>
    <mergeCell ref="Y1:AB1"/>
    <mergeCell ref="AC1:AF1"/>
    <mergeCell ref="AG1:AJ1"/>
    <mergeCell ref="AK1:AN1"/>
  </mergeCells>
  <phoneticPr fontId="23" type="noConversion"/>
  <conditionalFormatting sqref="F18:I18">
    <cfRule type="cellIs" dxfId="1" priority="2" operator="notEqual">
      <formula>0</formula>
    </cfRule>
  </conditionalFormatting>
  <conditionalFormatting sqref="I18">
    <cfRule type="cellIs" dxfId="0" priority="1" operator="notEqual">
      <formula>0</formula>
    </cfRule>
  </conditionalFormatting>
  <dataValidations count="1">
    <dataValidation type="list" allowBlank="1" showInputMessage="1" showErrorMessage="1" sqref="E247:E249 D262:E268 D231:D232 D237 D255:E256 D257 D243:D249 D239:D241" xr:uid="{622FF329-1E30-4B56-9C82-BE489BCE1196}">
      <formula1>#REF!</formula1>
    </dataValidation>
  </dataValidations>
  <pageMargins left="0.25" right="0.25" top="0.75" bottom="0.75" header="0.3" footer="0.3"/>
  <pageSetup paperSize="9" scale="2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C838CC3E-1658-4631-A9CD-4C1BFF7EAF35}">
          <x14:formula1>
            <xm:f>Div!$B$3:$B$6</xm:f>
          </x14:formula1>
          <xm:sqref>E62:E67 E301:E302 E342 E165 E271 E356 E292 E180:E181 E196 E305 E330 E203 E207 E148 E172 E135:E136 D89 E90:E91</xm:sqref>
        </x14:dataValidation>
        <x14:dataValidation type="list" allowBlank="1" showInputMessage="1" showErrorMessage="1" xr:uid="{8A41B840-A192-4588-B612-AA8E452A04D1}">
          <x14:formula1>
            <xm:f>Div!$C$3:$C$58</xm:f>
          </x14:formula1>
          <xm:sqref>D62:D67 D196 D357:E357 D103:E103 D165 D178:D181 D290:D292 D299:D302 D305 D330 D342 D356 D201:D203 D84 D207 D148 D172 D134:D136 D269:D271 E197:E199 D90:D91 E303:E304 E343:E355 E29:E61 E204:E246 E250:E254 E257:E261 E269:E270 E272:E291 E92:E101 E201:E202 E331:E341 E134 E137:E164 E293:E300 E182:E195 E166:E170 E172:E179 E68:E78 E80:E84 E86:E89 E306:E329 E104:E129</xm:sqref>
        </x14:dataValidation>
        <x14:dataValidation type="list" allowBlank="1" showInputMessage="1" showErrorMessage="1" xr:uid="{54BCC24E-75D6-41E3-ABA4-D8B260EE923E}">
          <x14:formula1>
            <xm:f>'C:\Users\lincbak\Desktop\[Kopi av Driftskostnader for nye bygg - tiltaksliste 2018-2021.xlsx]Div'!#REF!</xm:f>
          </x14:formula1>
          <xm:sqref>E200</xm:sqref>
        </x14:dataValidation>
        <x14:dataValidation type="list" allowBlank="1" showInputMessage="1" showErrorMessage="1" xr:uid="{A31F4AB6-9AE2-407F-8C31-F36A5F8D5063}">
          <x14:formula1>
            <xm:f>Div!$B$3:$B$8</xm:f>
          </x14:formula1>
          <xm:sqref>D293:D298 D258:D261 D250:D254 D331:D341 D242 D238 D233:D234 D92:D101 D303:D304 D197:D200 D272:D289 D182:D195 D166:D177 D80:D83 D68:D78 D86:D88 D137:D164 D343:D355 D204:D230 D104:D129 D306:D329 D29:D61</xm:sqref>
        </x14:dataValidation>
        <x14:dataValidation type="list" allowBlank="1" showInputMessage="1" showErrorMessage="1" xr:uid="{B7CDB625-C507-42F3-A823-1ACA9EEC2C60}">
          <x14:formula1>
            <xm:f>Div!$A$3:$A$11</xm:f>
          </x14:formula1>
          <xm:sqref>A78 A80:A82 A84 A86:A91 A102:A103 A134:A357 A29:A67</xm:sqref>
        </x14:dataValidation>
        <x14:dataValidation type="list" allowBlank="1" showInputMessage="1" showErrorMessage="1" xr:uid="{343C38D0-E228-4716-8988-781DE7CBCF9F}">
          <x14:formula1>
            <xm:f>Div!$A$3:$A$13</xm:f>
          </x14:formula1>
          <xm:sqref>A68:A77 A92:A101 A104:A133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D61AD-36EC-4136-A8FE-343A39DBD028}">
  <sheetPr codeName="Ark9">
    <tabColor rgb="FFFF0000"/>
  </sheetPr>
  <dimension ref="A1:BI251"/>
  <sheetViews>
    <sheetView topLeftCell="A37" workbookViewId="0">
      <selection activeCell="G46" sqref="G46"/>
    </sheetView>
  </sheetViews>
  <sheetFormatPr baseColWidth="10" defaultColWidth="11.42578125" defaultRowHeight="15" x14ac:dyDescent="0.25"/>
  <cols>
    <col min="1" max="1" width="10.5703125" customWidth="1"/>
    <col min="2" max="2" width="5" customWidth="1"/>
    <col min="3" max="3" width="55.5703125" customWidth="1"/>
    <col min="4" max="4" width="14.42578125" customWidth="1"/>
    <col min="5" max="5" width="14.5703125" customWidth="1"/>
    <col min="6" max="6" width="8.5703125" customWidth="1"/>
    <col min="7" max="9" width="15.42578125" customWidth="1"/>
    <col min="10" max="10" width="4.5703125" customWidth="1"/>
    <col min="11" max="18" width="15.42578125" customWidth="1"/>
    <col min="19" max="19" width="28.5703125" customWidth="1"/>
    <col min="20" max="20" width="7.42578125" style="28" customWidth="1"/>
    <col min="21" max="21" width="3.42578125" style="28" customWidth="1"/>
    <col min="22" max="22" width="8.5703125" style="94" customWidth="1"/>
    <col min="23" max="23" width="9.5703125" style="94" customWidth="1"/>
    <col min="24" max="24" width="13.42578125" style="94" customWidth="1"/>
    <col min="25" max="27" width="13.42578125" customWidth="1"/>
    <col min="28" max="30" width="14.42578125" customWidth="1"/>
    <col min="58" max="58" width="20.42578125" hidden="1" customWidth="1"/>
    <col min="59" max="62" width="0" hidden="1" customWidth="1"/>
  </cols>
  <sheetData>
    <row r="1" spans="1:57" s="28" customFormat="1" ht="23.25" x14ac:dyDescent="0.25">
      <c r="A1" s="380" t="s">
        <v>1058</v>
      </c>
      <c r="B1" s="381"/>
      <c r="C1" s="382"/>
      <c r="D1" s="382"/>
      <c r="E1" s="383"/>
      <c r="F1" s="38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V1" s="51"/>
      <c r="W1" s="51"/>
      <c r="X1" s="51"/>
      <c r="Z1" s="504"/>
      <c r="AA1" s="504"/>
      <c r="AB1" s="504"/>
      <c r="AC1" s="504"/>
      <c r="AD1" s="504"/>
      <c r="AE1" s="504"/>
      <c r="AF1" s="504"/>
      <c r="AG1" s="504"/>
      <c r="AH1" s="504"/>
      <c r="AI1" s="504"/>
      <c r="AJ1" s="504"/>
      <c r="AK1" s="504"/>
      <c r="AL1" s="504"/>
      <c r="AM1" s="504"/>
      <c r="AN1" s="504"/>
      <c r="AO1" s="504"/>
      <c r="AP1" s="504"/>
      <c r="AQ1" s="504"/>
      <c r="AR1" s="504"/>
      <c r="AS1" s="504"/>
      <c r="AT1" s="504"/>
      <c r="AU1" s="504"/>
      <c r="AV1" s="504"/>
      <c r="AW1" s="504"/>
      <c r="AX1" s="504"/>
      <c r="AY1" s="504"/>
      <c r="AZ1" s="504"/>
      <c r="BA1" s="504"/>
      <c r="BB1" s="504"/>
      <c r="BC1" s="504"/>
      <c r="BD1" s="504"/>
      <c r="BE1" s="504"/>
    </row>
    <row r="2" spans="1:57" s="28" customFormat="1" x14ac:dyDescent="0.25">
      <c r="B2" s="11"/>
      <c r="C2" s="11"/>
      <c r="D2" s="11"/>
      <c r="E2" s="51"/>
      <c r="F2" s="51"/>
      <c r="V2" s="51"/>
      <c r="W2" s="51"/>
      <c r="X2" s="51"/>
      <c r="Z2" s="505"/>
      <c r="AA2" s="505"/>
      <c r="AB2" s="505"/>
      <c r="AC2" s="505"/>
      <c r="AD2" s="505"/>
      <c r="AE2" s="505"/>
      <c r="AF2" s="505"/>
      <c r="AG2" s="505"/>
      <c r="AH2" s="505"/>
      <c r="AI2" s="505"/>
      <c r="AJ2" s="505"/>
      <c r="AK2" s="505"/>
      <c r="AL2" s="505"/>
      <c r="AM2" s="505"/>
      <c r="AN2" s="505"/>
      <c r="AO2" s="505"/>
      <c r="AP2" s="505"/>
      <c r="AQ2" s="505"/>
      <c r="AR2" s="505"/>
      <c r="AS2" s="505"/>
      <c r="AT2" s="505"/>
      <c r="AU2" s="505"/>
      <c r="AV2" s="505"/>
      <c r="AW2" s="505"/>
      <c r="AX2" s="505"/>
      <c r="AY2" s="505"/>
      <c r="AZ2" s="505"/>
      <c r="BA2" s="505"/>
      <c r="BB2" s="505"/>
      <c r="BC2" s="505"/>
      <c r="BD2" s="505"/>
      <c r="BE2" s="505"/>
    </row>
    <row r="3" spans="1:57" s="38" customFormat="1" x14ac:dyDescent="0.25">
      <c r="A3" s="10"/>
      <c r="B3" s="3"/>
      <c r="C3" s="3"/>
      <c r="D3" s="3"/>
      <c r="E3" s="63"/>
      <c r="F3" s="5">
        <v>2017</v>
      </c>
      <c r="G3" s="3"/>
      <c r="H3" s="4">
        <v>2015</v>
      </c>
      <c r="I3" s="4">
        <v>2016</v>
      </c>
      <c r="J3" s="4">
        <v>2017</v>
      </c>
      <c r="K3" s="4">
        <v>2018</v>
      </c>
      <c r="L3" s="4">
        <v>2019</v>
      </c>
      <c r="M3" s="4">
        <v>2020</v>
      </c>
      <c r="N3" s="4">
        <v>2021</v>
      </c>
      <c r="O3" s="4">
        <v>2022</v>
      </c>
      <c r="P3" s="4"/>
      <c r="Q3" s="4"/>
      <c r="R3" s="4"/>
      <c r="S3" s="28"/>
      <c r="V3" s="93"/>
      <c r="W3" s="93"/>
      <c r="X3" s="93"/>
      <c r="Y3" s="28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</row>
    <row r="4" spans="1:57" s="38" customFormat="1" x14ac:dyDescent="0.25">
      <c r="A4" s="20" t="s">
        <v>1059</v>
      </c>
      <c r="B4" s="32"/>
      <c r="C4" s="21"/>
      <c r="D4" s="21"/>
      <c r="E4" s="64"/>
      <c r="F4" s="33">
        <f>230744-5041+456</f>
        <v>226159</v>
      </c>
      <c r="G4" s="26"/>
      <c r="H4" s="22">
        <v>3471036</v>
      </c>
      <c r="I4" s="22">
        <v>3552868</v>
      </c>
      <c r="J4" s="22">
        <v>3880044</v>
      </c>
      <c r="K4" s="22">
        <f>F4</f>
        <v>226159</v>
      </c>
      <c r="L4" s="22">
        <f>245643-5480</f>
        <v>240163</v>
      </c>
      <c r="M4" s="22">
        <f t="shared" ref="M4:O7" si="0">L4</f>
        <v>240163</v>
      </c>
      <c r="N4" s="22">
        <f t="shared" si="0"/>
        <v>240163</v>
      </c>
      <c r="O4" s="22">
        <f t="shared" si="0"/>
        <v>240163</v>
      </c>
      <c r="P4" s="259"/>
      <c r="Q4" s="259"/>
      <c r="R4" s="259"/>
      <c r="S4" s="29"/>
      <c r="V4" s="93"/>
      <c r="W4" s="93"/>
      <c r="X4" s="93"/>
      <c r="Y4" s="29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</row>
    <row r="5" spans="1:57" s="38" customFormat="1" x14ac:dyDescent="0.25">
      <c r="A5" s="15" t="s">
        <v>1060</v>
      </c>
      <c r="B5" s="42"/>
      <c r="C5" s="42"/>
      <c r="D5" s="15"/>
      <c r="E5" s="42"/>
      <c r="F5" s="112">
        <f>13386+42667</f>
        <v>56053</v>
      </c>
      <c r="G5" s="15"/>
      <c r="H5" s="42"/>
      <c r="I5" s="42"/>
      <c r="J5" s="15"/>
      <c r="K5" s="22">
        <f t="shared" ref="K5:K7" si="1">F5</f>
        <v>56053</v>
      </c>
      <c r="L5" s="22">
        <v>63376</v>
      </c>
      <c r="M5" s="22">
        <f t="shared" si="0"/>
        <v>63376</v>
      </c>
      <c r="N5" s="22">
        <f t="shared" si="0"/>
        <v>63376</v>
      </c>
      <c r="O5" s="22">
        <f t="shared" si="0"/>
        <v>63376</v>
      </c>
      <c r="P5" s="259"/>
      <c r="Q5" s="259"/>
      <c r="R5" s="259"/>
      <c r="S5" s="29"/>
      <c r="V5" s="93"/>
      <c r="W5" s="93"/>
      <c r="X5" s="93"/>
      <c r="Y5" s="29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</row>
    <row r="6" spans="1:57" s="38" customFormat="1" x14ac:dyDescent="0.25">
      <c r="A6" s="15" t="s">
        <v>1061</v>
      </c>
      <c r="B6" s="42"/>
      <c r="C6" s="42"/>
      <c r="D6" s="15"/>
      <c r="E6" s="42"/>
      <c r="F6" s="112">
        <v>54773</v>
      </c>
      <c r="G6" s="15"/>
      <c r="H6" s="42"/>
      <c r="I6" s="42"/>
      <c r="J6" s="15"/>
      <c r="K6" s="22">
        <f t="shared" si="1"/>
        <v>54773</v>
      </c>
      <c r="L6" s="22">
        <v>51044</v>
      </c>
      <c r="M6" s="22">
        <f>L6</f>
        <v>51044</v>
      </c>
      <c r="N6" s="22">
        <f>M6</f>
        <v>51044</v>
      </c>
      <c r="O6" s="22">
        <f t="shared" si="0"/>
        <v>51044</v>
      </c>
      <c r="P6" s="259"/>
      <c r="Q6" s="259"/>
      <c r="R6" s="259"/>
      <c r="S6" s="29"/>
      <c r="V6" s="93"/>
      <c r="W6" s="93"/>
      <c r="X6" s="93"/>
      <c r="Y6" s="29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</row>
    <row r="7" spans="1:57" s="38" customFormat="1" x14ac:dyDescent="0.25">
      <c r="A7" s="15" t="s">
        <v>1062</v>
      </c>
      <c r="B7" s="42"/>
      <c r="C7" s="42"/>
      <c r="D7" s="15"/>
      <c r="E7" s="42"/>
      <c r="F7" s="112">
        <f>3297+396</f>
        <v>3693</v>
      </c>
      <c r="G7" s="15"/>
      <c r="H7" s="42"/>
      <c r="I7" s="42"/>
      <c r="J7" s="15"/>
      <c r="K7" s="22">
        <f t="shared" si="1"/>
        <v>3693</v>
      </c>
      <c r="L7" s="22">
        <v>0</v>
      </c>
      <c r="M7" s="22">
        <f>L7</f>
        <v>0</v>
      </c>
      <c r="N7" s="22">
        <f t="shared" si="0"/>
        <v>0</v>
      </c>
      <c r="O7" s="22">
        <f t="shared" si="0"/>
        <v>0</v>
      </c>
      <c r="P7" s="259"/>
      <c r="Q7" s="259"/>
      <c r="R7" s="259"/>
      <c r="S7" s="29"/>
      <c r="V7" s="93"/>
      <c r="W7" s="93"/>
      <c r="X7" s="93"/>
      <c r="Y7" s="29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</row>
    <row r="8" spans="1:57" s="38" customFormat="1" x14ac:dyDescent="0.25">
      <c r="A8" s="35" t="s">
        <v>1063</v>
      </c>
      <c r="B8" s="37"/>
      <c r="C8" s="34"/>
      <c r="D8" s="34"/>
      <c r="E8" s="65"/>
      <c r="F8" s="113">
        <f>SUM(F4:F7)</f>
        <v>340678</v>
      </c>
      <c r="G8" s="35"/>
      <c r="H8" s="36">
        <f t="shared" ref="H8:O8" si="2">SUM(H4:H7)</f>
        <v>3471036</v>
      </c>
      <c r="I8" s="36">
        <f t="shared" si="2"/>
        <v>3552868</v>
      </c>
      <c r="J8" s="36">
        <f t="shared" si="2"/>
        <v>3880044</v>
      </c>
      <c r="K8" s="36">
        <f t="shared" si="2"/>
        <v>340678</v>
      </c>
      <c r="L8" s="113">
        <f>SUM(L4:L7)</f>
        <v>354583</v>
      </c>
      <c r="M8" s="36">
        <f t="shared" si="2"/>
        <v>354583</v>
      </c>
      <c r="N8" s="36">
        <f t="shared" si="2"/>
        <v>354583</v>
      </c>
      <c r="O8" s="36">
        <f t="shared" si="2"/>
        <v>354583</v>
      </c>
      <c r="P8" s="260"/>
      <c r="Q8" s="260"/>
      <c r="R8" s="260"/>
      <c r="S8" s="28"/>
      <c r="V8" s="93"/>
      <c r="W8" s="93"/>
      <c r="X8" s="93"/>
      <c r="Y8" s="29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</row>
    <row r="9" spans="1:57" s="38" customFormat="1" x14ac:dyDescent="0.25">
      <c r="A9" s="26"/>
      <c r="B9" s="32"/>
      <c r="C9" s="32"/>
      <c r="D9" s="32"/>
      <c r="E9" s="64"/>
      <c r="F9" s="64"/>
      <c r="G9" s="26"/>
      <c r="H9" s="33"/>
      <c r="I9" s="33"/>
      <c r="J9" s="33"/>
      <c r="K9" s="33"/>
      <c r="L9" s="33"/>
      <c r="M9" s="33"/>
      <c r="N9" s="33"/>
      <c r="O9" s="33"/>
      <c r="P9" s="261"/>
      <c r="Q9" s="261"/>
      <c r="R9" s="261"/>
      <c r="S9" s="28"/>
      <c r="V9" s="93"/>
      <c r="W9" s="93"/>
      <c r="X9" s="93"/>
      <c r="Y9" s="29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</row>
    <row r="10" spans="1:57" s="28" customFormat="1" x14ac:dyDescent="0.25">
      <c r="B10" s="11"/>
      <c r="C10" s="11"/>
      <c r="D10" s="11"/>
      <c r="E10" s="51"/>
      <c r="F10" s="51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V10" s="51"/>
      <c r="W10" s="51"/>
      <c r="X10" s="51"/>
      <c r="Z10" s="95"/>
      <c r="AA10" s="95"/>
      <c r="AB10" s="95"/>
      <c r="AC10" s="95"/>
    </row>
    <row r="11" spans="1:57" s="28" customFormat="1" x14ac:dyDescent="0.25">
      <c r="A11" s="15" t="s">
        <v>1064</v>
      </c>
      <c r="B11" s="15"/>
      <c r="C11" s="15"/>
      <c r="D11" s="15"/>
      <c r="E11" s="15"/>
      <c r="F11" s="15"/>
      <c r="G11" s="15"/>
      <c r="H11" s="15"/>
      <c r="I11" s="15"/>
      <c r="J11" s="15">
        <f>SUMIFS(J:J,$E:$E,"NYTT",$F:$F,"INNSP")</f>
        <v>0</v>
      </c>
      <c r="K11" s="40">
        <f>SUMIFS(K:K,$D:$D,"INTERNHUSLEIE")</f>
        <v>20466</v>
      </c>
      <c r="L11" s="40">
        <f>SUMIFS(L:L,$D:$D,"INTERNHUSLEIE")</f>
        <v>56852</v>
      </c>
      <c r="M11" s="40">
        <f>SUMIFS(M:M,$D:$D,"INTERNHUSLEIE")</f>
        <v>33453</v>
      </c>
      <c r="N11" s="40">
        <f>SUMIFS(N:N,$D:$D,"INTERNHUSLEIE")</f>
        <v>81791</v>
      </c>
      <c r="O11" s="40">
        <f>SUMIFS(O:O,$D:$D,"INTERNHUSLEIE")</f>
        <v>117842</v>
      </c>
      <c r="P11" s="261"/>
      <c r="Q11" s="261"/>
      <c r="R11" s="261"/>
      <c r="V11" s="51"/>
      <c r="W11" s="51"/>
      <c r="X11" s="51"/>
      <c r="Z11" s="95"/>
      <c r="AA11" s="95"/>
      <c r="AB11" s="95"/>
      <c r="AC11" s="95"/>
    </row>
    <row r="12" spans="1:57" s="28" customFormat="1" x14ac:dyDescent="0.25">
      <c r="A12" s="15" t="s">
        <v>1065</v>
      </c>
      <c r="B12" s="15"/>
      <c r="C12" s="15"/>
      <c r="D12" s="15"/>
      <c r="E12" s="15"/>
      <c r="F12" s="15"/>
      <c r="G12" s="15"/>
      <c r="H12" s="15"/>
      <c r="I12" s="15"/>
      <c r="J12" s="15"/>
      <c r="K12" s="40">
        <f>SUMIFS(K:K,$D:$D,"RENHOLD")</f>
        <v>1523</v>
      </c>
      <c r="L12" s="40">
        <f>SUMIFS(L:L,$D:$D,"RENHOLD")</f>
        <v>2768</v>
      </c>
      <c r="M12" s="40">
        <f>SUMIFS(M:M,$D:$D,"RENHOLD")</f>
        <v>2494</v>
      </c>
      <c r="N12" s="40">
        <f>SUMIFS(N:N,$D:$D,"RENHOLD")</f>
        <v>5089</v>
      </c>
      <c r="O12" s="40">
        <f>SUMIFS(O:O,$D:$D,"RENHOLD")</f>
        <v>5940</v>
      </c>
      <c r="P12" s="261"/>
      <c r="Q12" s="261"/>
      <c r="R12" s="261"/>
      <c r="V12" s="51"/>
      <c r="W12" s="51"/>
      <c r="X12" s="114">
        <v>2018</v>
      </c>
      <c r="Y12" s="114">
        <v>2019</v>
      </c>
      <c r="Z12" s="114">
        <v>2020</v>
      </c>
      <c r="AA12" s="114">
        <v>2021</v>
      </c>
      <c r="AB12" s="95"/>
      <c r="AC12" s="95"/>
    </row>
    <row r="13" spans="1:57" s="38" customFormat="1" x14ac:dyDescent="0.25">
      <c r="A13" s="15" t="s">
        <v>1066</v>
      </c>
      <c r="B13" s="15"/>
      <c r="C13" s="15"/>
      <c r="D13" s="15"/>
      <c r="E13" s="15"/>
      <c r="F13" s="15"/>
      <c r="G13" s="15"/>
      <c r="H13" s="15">
        <f>SUMIFS(H:H,$E:$E,"NYTT",$F:$F,"MÅ")</f>
        <v>0</v>
      </c>
      <c r="I13" s="15">
        <f>SUMIFS(I:I,$E:$E,"NYTT",$F:$F,"MÅ")</f>
        <v>0</v>
      </c>
      <c r="J13" s="15">
        <f>SUMIFS(J:J,$E:$E,"NYTT",$F:$F,"MÅ")</f>
        <v>0</v>
      </c>
      <c r="K13" s="40">
        <f>SUMIFS(K:K,$D:$D,"ENERGI")</f>
        <v>1572</v>
      </c>
      <c r="L13" s="40">
        <f>SUMIFS(L:L,$D:$D,"ENERGI")</f>
        <v>2133</v>
      </c>
      <c r="M13" s="40">
        <f>SUMIFS(M:M,$D:$D,"ENERGI")</f>
        <v>1207</v>
      </c>
      <c r="N13" s="40">
        <f>SUMIFS(N:N,$D:$D,"ENERGI")</f>
        <v>3157</v>
      </c>
      <c r="O13" s="40">
        <f>SUMIFS(O:O,$D:$D,"ENERGI")</f>
        <v>3858</v>
      </c>
      <c r="P13" s="261"/>
      <c r="Q13" s="261"/>
      <c r="R13" s="261"/>
      <c r="S13" s="28"/>
      <c r="T13" s="28"/>
      <c r="U13" s="115" t="s">
        <v>1067</v>
      </c>
      <c r="V13" s="51"/>
      <c r="W13" s="51"/>
      <c r="X13" s="49">
        <f>SUMIF($C:$C,$U$13,K:K)</f>
        <v>2042</v>
      </c>
      <c r="Y13" s="49">
        <f ca="1">SUMIF($C:$C,$U$13,L:L)</f>
        <v>17627</v>
      </c>
      <c r="Z13" s="49">
        <f ca="1">SUMIF($C:$C,$U$13,M:M)</f>
        <v>15721</v>
      </c>
      <c r="AA13" s="49">
        <f ca="1">SUMIF($C:$C,$U$13,N:N)</f>
        <v>40932</v>
      </c>
      <c r="AB13" s="95"/>
      <c r="AC13" s="95"/>
    </row>
    <row r="14" spans="1:57" s="38" customFormat="1" x14ac:dyDescent="0.25">
      <c r="A14" s="116" t="s">
        <v>1068</v>
      </c>
      <c r="B14" s="117"/>
      <c r="C14" s="117"/>
      <c r="D14" s="117"/>
      <c r="E14" s="118"/>
      <c r="F14" s="118"/>
      <c r="G14" s="119"/>
      <c r="H14" s="120" t="e">
        <f>H8+#REF!+#REF!+H13</f>
        <v>#REF!</v>
      </c>
      <c r="I14" s="121" t="e">
        <f>I8+#REF!+#REF!+#REF!+I13</f>
        <v>#REF!</v>
      </c>
      <c r="J14" s="121" t="e">
        <f>J8+#REF!+#REF!+J11+J13</f>
        <v>#REF!</v>
      </c>
      <c r="K14" s="122">
        <f>SUM(K11:K13)</f>
        <v>23561</v>
      </c>
      <c r="L14" s="122">
        <f>SUM(L11:L13)</f>
        <v>61753</v>
      </c>
      <c r="M14" s="122">
        <f>SUM(M11:M13)</f>
        <v>37154</v>
      </c>
      <c r="N14" s="122">
        <f>SUM(N11:N13)</f>
        <v>90037</v>
      </c>
      <c r="O14" s="122">
        <f>SUM(O11:O13)</f>
        <v>127640</v>
      </c>
      <c r="P14" s="262"/>
      <c r="Q14" s="262"/>
      <c r="R14" s="262"/>
      <c r="U14" s="115" t="s">
        <v>1069</v>
      </c>
      <c r="V14" s="51"/>
      <c r="W14" s="51"/>
      <c r="X14" s="49">
        <f>SUMIF($C:$C,$U$14,K:K)</f>
        <v>0</v>
      </c>
      <c r="Y14" s="49">
        <f ca="1">SUMIF($C:$C,$U$14,L:L)</f>
        <v>9</v>
      </c>
      <c r="Z14" s="49">
        <f ca="1">SUMIF($C:$C,$U$14,M:M)</f>
        <v>25</v>
      </c>
      <c r="AA14" s="49">
        <f ca="1">SUMIF($C:$C,$U$14,N:N)</f>
        <v>50</v>
      </c>
      <c r="AB14" s="95"/>
      <c r="AC14" s="95"/>
    </row>
    <row r="15" spans="1:57" s="38" customFormat="1" x14ac:dyDescent="0.25">
      <c r="B15" s="123"/>
      <c r="C15" s="123"/>
      <c r="D15" s="123"/>
      <c r="E15" s="124"/>
      <c r="F15" s="124"/>
      <c r="G15" s="125"/>
      <c r="H15" s="126"/>
      <c r="I15" s="127"/>
      <c r="J15" s="127"/>
      <c r="K15" s="128"/>
      <c r="L15" s="128"/>
      <c r="M15" s="128"/>
      <c r="N15" s="128"/>
      <c r="O15" s="128"/>
      <c r="P15" s="128"/>
      <c r="Q15" s="128"/>
      <c r="R15" s="128"/>
      <c r="U15" s="115" t="s">
        <v>1070</v>
      </c>
      <c r="V15" s="51"/>
      <c r="W15" s="51"/>
      <c r="X15" s="49">
        <f>SUMIF($C:$C,$U$15,K:K)</f>
        <v>1088</v>
      </c>
      <c r="Y15" s="49">
        <f ca="1">SUMIF($C:$C,$U$15,L:L)</f>
        <v>963</v>
      </c>
      <c r="Z15" s="49">
        <f ca="1">SUMIF($C:$C,$U$15,M:M)</f>
        <v>562</v>
      </c>
      <c r="AA15" s="49">
        <f ca="1">SUMIF($C:$C,$U$15,N:N)</f>
        <v>2510</v>
      </c>
      <c r="AB15" s="95"/>
      <c r="AC15" s="95"/>
    </row>
    <row r="16" spans="1:57" s="38" customFormat="1" x14ac:dyDescent="0.25">
      <c r="A16" s="129" t="s">
        <v>1071</v>
      </c>
      <c r="B16" s="130"/>
      <c r="C16" s="130"/>
      <c r="D16" s="130"/>
      <c r="E16" s="131"/>
      <c r="F16" s="131"/>
      <c r="G16" s="132"/>
      <c r="H16" s="133"/>
      <c r="I16" s="134"/>
      <c r="J16" s="134"/>
      <c r="K16" s="135">
        <f>K12+K13</f>
        <v>3095</v>
      </c>
      <c r="L16" s="135">
        <f>L12+L13</f>
        <v>4901</v>
      </c>
      <c r="M16" s="135">
        <f t="shared" ref="M16:O16" si="3">M12+M13</f>
        <v>3701</v>
      </c>
      <c r="N16" s="135">
        <f t="shared" si="3"/>
        <v>8246</v>
      </c>
      <c r="O16" s="135">
        <f t="shared" si="3"/>
        <v>9798</v>
      </c>
      <c r="P16" s="135"/>
      <c r="Q16" s="135"/>
      <c r="R16" s="135"/>
      <c r="U16" s="115" t="s">
        <v>1072</v>
      </c>
      <c r="V16" s="51"/>
      <c r="W16" s="51"/>
      <c r="X16" s="49">
        <f>SUMIF($C:$C,$U$16,K:K)</f>
        <v>86</v>
      </c>
      <c r="Y16" s="49">
        <f ca="1">SUMIF($C:$C,$U$16,L:L)</f>
        <v>1469</v>
      </c>
      <c r="Z16" s="49">
        <f ca="1">SUMIF($C:$C,$U$16,M:M)</f>
        <v>0</v>
      </c>
      <c r="AA16" s="49">
        <f ca="1">SUMIF($C:$C,$U$16,N:N)</f>
        <v>0</v>
      </c>
      <c r="AB16" s="95"/>
      <c r="AC16" s="95"/>
    </row>
    <row r="17" spans="1:29" s="38" customFormat="1" x14ac:dyDescent="0.25">
      <c r="B17" s="123"/>
      <c r="C17" s="123"/>
      <c r="D17" s="123"/>
      <c r="E17" s="124"/>
      <c r="F17" s="124"/>
      <c r="G17" s="125"/>
      <c r="H17" s="126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U17" s="115" t="s">
        <v>1073</v>
      </c>
      <c r="V17" s="51"/>
      <c r="W17" s="51"/>
      <c r="X17" s="49">
        <f>SUMIF($C:$C,$U$17,K:K)</f>
        <v>1362</v>
      </c>
      <c r="Y17" s="49">
        <f ca="1">SUMIF($C:$C,$U$17,L:L)</f>
        <v>592</v>
      </c>
      <c r="Z17" s="49">
        <f ca="1">SUMIF($C:$C,$U$17,M:M)</f>
        <v>0</v>
      </c>
      <c r="AA17" s="49">
        <f ca="1">SUMIF($C:$C,$U$17,N:N)</f>
        <v>1257</v>
      </c>
      <c r="AB17" s="95"/>
      <c r="AC17" s="95"/>
    </row>
    <row r="18" spans="1:29" s="38" customFormat="1" x14ac:dyDescent="0.25">
      <c r="A18" s="136" t="s">
        <v>1074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7" t="e">
        <f>K241+#REF!</f>
        <v>#REF!</v>
      </c>
      <c r="L18" s="137">
        <f>L241</f>
        <v>7910</v>
      </c>
      <c r="M18" s="137">
        <f>M241</f>
        <v>10012</v>
      </c>
      <c r="N18" s="137">
        <f>N241</f>
        <v>10012</v>
      </c>
      <c r="O18" s="137">
        <f>O241</f>
        <v>10012</v>
      </c>
      <c r="P18" s="142"/>
      <c r="Q18" s="142"/>
      <c r="R18" s="142"/>
      <c r="U18" s="115" t="s">
        <v>1075</v>
      </c>
      <c r="V18" s="51"/>
      <c r="W18" s="51"/>
      <c r="X18" s="49">
        <f>SUMIF($C:$C,$U$18,K:K)</f>
        <v>2714</v>
      </c>
      <c r="Y18" s="49">
        <f ca="1">SUMIF($C:$C,$U$18,L:L)</f>
        <v>1217</v>
      </c>
      <c r="Z18" s="49">
        <f ca="1">SUMIF($C:$C,$U$18,M:M)</f>
        <v>187</v>
      </c>
      <c r="AA18" s="49">
        <f ca="1">SUMIF($C:$C,$U$18,N:N)</f>
        <v>2108</v>
      </c>
      <c r="AB18" s="95"/>
      <c r="AC18" s="95"/>
    </row>
    <row r="19" spans="1:29" s="38" customFormat="1" x14ac:dyDescent="0.25">
      <c r="A19" s="138" t="s">
        <v>1076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40" t="e">
        <f>K4+K18-K244+K7</f>
        <v>#REF!</v>
      </c>
      <c r="L19" s="140">
        <f>L4+L18-L244+L7</f>
        <v>250309</v>
      </c>
      <c r="M19" s="140">
        <f>M4+M18-M244+M7</f>
        <v>252411</v>
      </c>
      <c r="N19" s="140">
        <f>N4+N18-N244+N7</f>
        <v>252411</v>
      </c>
      <c r="O19" s="140">
        <f>O4+O18-O244+O7</f>
        <v>252411</v>
      </c>
      <c r="P19" s="142"/>
      <c r="Q19" s="142"/>
      <c r="R19" s="142"/>
      <c r="U19" s="115" t="s">
        <v>1077</v>
      </c>
      <c r="V19" s="51"/>
      <c r="W19" s="51"/>
      <c r="X19" s="49">
        <f ca="1">SUMIF($C:$C,$U$19,K:K)</f>
        <v>4218</v>
      </c>
      <c r="Y19" s="49">
        <f>SUMIF($C:$C,$U$19,L:L)</f>
        <v>4996</v>
      </c>
      <c r="Z19" s="49">
        <f>SUMIF($C:$C,$U$19,M:M)</f>
        <v>4670</v>
      </c>
      <c r="AA19" s="49">
        <f>SUMIF($C:$C,$U$19,N:N)</f>
        <v>10776</v>
      </c>
      <c r="AB19" s="95"/>
      <c r="AC19" s="95"/>
    </row>
    <row r="20" spans="1:29" s="38" customFormat="1" x14ac:dyDescent="0.25">
      <c r="A20" s="141" t="s">
        <v>1078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2" t="e">
        <f>K242+#REF!</f>
        <v>#REF!</v>
      </c>
      <c r="L20" s="142">
        <f>L242</f>
        <v>2102</v>
      </c>
      <c r="M20" s="142">
        <f>M242</f>
        <v>7142</v>
      </c>
      <c r="N20" s="142">
        <f>N242</f>
        <v>7142</v>
      </c>
      <c r="O20" s="142">
        <f>O242</f>
        <v>7142</v>
      </c>
      <c r="P20" s="142"/>
      <c r="Q20" s="142"/>
      <c r="R20" s="142"/>
      <c r="U20" s="115" t="s">
        <v>1079</v>
      </c>
      <c r="V20" s="51"/>
      <c r="W20" s="51"/>
      <c r="X20" s="49">
        <f>SUMIF($C:$C,$U$20,K:K)</f>
        <v>396</v>
      </c>
      <c r="Y20" s="49">
        <f>SUMIF($C:$C,$U$20,L:L)</f>
        <v>43</v>
      </c>
      <c r="Z20" s="49">
        <f>SUMIF($C:$C,$U$20,M:M)</f>
        <v>1604</v>
      </c>
      <c r="AA20" s="49">
        <f>SUMIF($C:$C,$U$20,N:N)</f>
        <v>1935</v>
      </c>
      <c r="AB20" s="95"/>
      <c r="AC20" s="95"/>
    </row>
    <row r="21" spans="1:29" s="38" customFormat="1" x14ac:dyDescent="0.25">
      <c r="A21" s="138" t="s">
        <v>1080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40" t="e">
        <f>K5+K20</f>
        <v>#REF!</v>
      </c>
      <c r="L21" s="140">
        <f>L5+L20</f>
        <v>65478</v>
      </c>
      <c r="M21" s="140">
        <f>M5+M20</f>
        <v>70518</v>
      </c>
      <c r="N21" s="140">
        <f>N5+N20</f>
        <v>70518</v>
      </c>
      <c r="O21" s="140">
        <f>O5+O20</f>
        <v>70518</v>
      </c>
      <c r="P21" s="142"/>
      <c r="Q21" s="142"/>
      <c r="R21" s="142"/>
      <c r="U21" s="115" t="s">
        <v>1081</v>
      </c>
      <c r="V21" s="51"/>
      <c r="W21" s="51"/>
      <c r="X21" s="49">
        <f>SUMIF($C:$C,$U$21,K:K)</f>
        <v>636</v>
      </c>
      <c r="Y21" s="49">
        <f>SUMIF($C:$C,$U$21,L:L)</f>
        <v>8733</v>
      </c>
      <c r="Z21" s="49">
        <f>SUMIF($C:$C,$U$21,M:M)</f>
        <v>6320</v>
      </c>
      <c r="AA21" s="49">
        <f>SUMIF($C:$C,$U$21,N:N)</f>
        <v>15226</v>
      </c>
      <c r="AB21" s="95"/>
      <c r="AC21" s="95"/>
    </row>
    <row r="22" spans="1:29" s="38" customFormat="1" x14ac:dyDescent="0.25">
      <c r="A22" s="141" t="s">
        <v>1082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3">
        <f>K243</f>
        <v>2159</v>
      </c>
      <c r="L22" s="143">
        <f>L243</f>
        <v>1913</v>
      </c>
      <c r="M22" s="143">
        <f>M243</f>
        <v>1352</v>
      </c>
      <c r="N22" s="143">
        <f>N243</f>
        <v>1352</v>
      </c>
      <c r="O22" s="143">
        <f>O243</f>
        <v>1352</v>
      </c>
      <c r="P22" s="143"/>
      <c r="Q22" s="143"/>
      <c r="R22" s="143"/>
      <c r="U22" s="115" t="s">
        <v>1083</v>
      </c>
      <c r="V22" s="51"/>
      <c r="W22" s="51"/>
      <c r="X22" s="49">
        <f>SUMIF($C:$C,$U$22,K:K)</f>
        <v>7411</v>
      </c>
      <c r="Y22" s="49">
        <f>SUMIF($C:$C,$U$22,L:L)</f>
        <v>21267</v>
      </c>
      <c r="Z22" s="49">
        <f>SUMIF($C:$C,$U$22,M:M)</f>
        <v>-2194</v>
      </c>
      <c r="AA22" s="49">
        <f>SUMIF($C:$C,$U$22,N:N)</f>
        <v>2522</v>
      </c>
      <c r="AB22" s="95"/>
      <c r="AC22" s="95"/>
    </row>
    <row r="23" spans="1:29" s="38" customFormat="1" x14ac:dyDescent="0.25">
      <c r="A23" s="141" t="s">
        <v>1084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3">
        <f>K247</f>
        <v>-5014</v>
      </c>
      <c r="L23" s="143">
        <f>L247</f>
        <v>-1484</v>
      </c>
      <c r="M23" s="143">
        <f>M247</f>
        <v>-792</v>
      </c>
      <c r="N23" s="143">
        <f>N247</f>
        <v>-792</v>
      </c>
      <c r="O23" s="143">
        <f>O247</f>
        <v>-792</v>
      </c>
      <c r="P23" s="143"/>
      <c r="Q23" s="143"/>
      <c r="R23" s="143"/>
      <c r="S23" s="144" t="s">
        <v>1085</v>
      </c>
      <c r="U23" s="115" t="s">
        <v>1086</v>
      </c>
      <c r="V23" s="51"/>
      <c r="W23" s="51"/>
      <c r="X23" s="49">
        <f>SUMIF($C:$C,$U$23,K:K)</f>
        <v>-1406</v>
      </c>
      <c r="Y23" s="49">
        <f>SUMIF($C:$C,$U$23,L:L)</f>
        <v>32395</v>
      </c>
      <c r="Z23" s="49">
        <f>SUMIF($C:$C,$U$23,M:M)</f>
        <v>9467</v>
      </c>
      <c r="AA23" s="49">
        <f>SUMIF($C:$C,$U$23,N:N)</f>
        <v>11929</v>
      </c>
      <c r="AB23" s="95"/>
      <c r="AC23" s="95"/>
    </row>
    <row r="24" spans="1:29" s="38" customFormat="1" x14ac:dyDescent="0.25">
      <c r="A24" s="141" t="s">
        <v>1087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43">
        <f>K6+K22+K23</f>
        <v>51918</v>
      </c>
      <c r="L24" s="143">
        <f>L6+L22+L23</f>
        <v>51473</v>
      </c>
      <c r="M24" s="143">
        <f>M6+M22+M23</f>
        <v>51604</v>
      </c>
      <c r="N24" s="143">
        <f>N6+N22+N23</f>
        <v>51604</v>
      </c>
      <c r="O24" s="143">
        <f>O6+O22+O23</f>
        <v>51604</v>
      </c>
      <c r="P24" s="143"/>
      <c r="Q24" s="143"/>
      <c r="R24" s="143"/>
      <c r="U24" s="115" t="s">
        <v>1088</v>
      </c>
      <c r="V24" s="51"/>
      <c r="W24" s="51"/>
      <c r="X24" s="49">
        <f>SUMIF($D:$D,$U$24,K:K)</f>
        <v>10310</v>
      </c>
      <c r="Y24" s="49">
        <f>SUMIF($D:$D,$U$24,L:L)</f>
        <v>11925</v>
      </c>
      <c r="Z24" s="49">
        <f>SUMIF($D:$D,$U$24,M:M)</f>
        <v>18506</v>
      </c>
      <c r="AA24" s="49">
        <f>SUMIF($D:$D,$U$24,N:N)</f>
        <v>18506</v>
      </c>
      <c r="AB24" s="95"/>
      <c r="AC24" s="95"/>
    </row>
    <row r="25" spans="1:29" s="38" customFormat="1" x14ac:dyDescent="0.25">
      <c r="B25" s="123"/>
      <c r="C25" s="123"/>
      <c r="D25" s="123"/>
      <c r="E25" s="124"/>
      <c r="F25" s="124"/>
      <c r="G25" s="125"/>
      <c r="H25" s="126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28"/>
      <c r="U25" s="28"/>
      <c r="V25" s="51"/>
      <c r="W25" s="51"/>
      <c r="X25" s="145">
        <f ca="1">SUBTOTAL(9,X13:X24)</f>
        <v>28857</v>
      </c>
      <c r="Y25" s="145">
        <f t="shared" ref="Y25:AA25" ca="1" si="4">SUBTOTAL(9,Y13:Y24)</f>
        <v>101236</v>
      </c>
      <c r="Z25" s="145">
        <f t="shared" ca="1" si="4"/>
        <v>54868</v>
      </c>
      <c r="AA25" s="145">
        <f t="shared" ca="1" si="4"/>
        <v>107751</v>
      </c>
      <c r="AB25" s="95"/>
      <c r="AC25" s="95"/>
    </row>
    <row r="26" spans="1:29" s="38" customFormat="1" x14ac:dyDescent="0.25">
      <c r="A26" s="146" t="s">
        <v>1089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8" t="e">
        <f>K19+K21+K24+K245+K11</f>
        <v>#REF!</v>
      </c>
      <c r="L26" s="148">
        <f>L4+L5+L6+L7+L11+L245</f>
        <v>417305</v>
      </c>
      <c r="M26" s="148">
        <f>M4+M5+M6+M7+M11+M245</f>
        <v>400531</v>
      </c>
      <c r="N26" s="148">
        <f>N4+N5+N6+N7+N11+N245</f>
        <v>451331</v>
      </c>
      <c r="O26" s="148">
        <f>O4+O5+O6+O7+O11+O245</f>
        <v>490229</v>
      </c>
      <c r="P26" s="263"/>
      <c r="Q26" s="263"/>
      <c r="R26" s="263"/>
      <c r="S26" s="28"/>
      <c r="U26" s="28"/>
      <c r="V26" s="51"/>
      <c r="W26" s="51"/>
      <c r="X26" s="51"/>
      <c r="Y26" s="1"/>
      <c r="Z26" s="95"/>
      <c r="AA26" s="95"/>
      <c r="AB26" s="95"/>
      <c r="AC26" s="95"/>
    </row>
    <row r="27" spans="1:29" s="38" customFormat="1" x14ac:dyDescent="0.25">
      <c r="A27" s="146" t="s">
        <v>1090</v>
      </c>
      <c r="B27" s="149"/>
      <c r="C27" s="149"/>
      <c r="D27" s="149"/>
      <c r="E27" s="150"/>
      <c r="F27" s="150"/>
      <c r="G27" s="151"/>
      <c r="H27" s="152"/>
      <c r="I27" s="153"/>
      <c r="J27" s="153"/>
      <c r="K27" s="153">
        <f>K8+K11</f>
        <v>361144</v>
      </c>
      <c r="L27" s="153">
        <f>L8+L11</f>
        <v>411435</v>
      </c>
      <c r="M27" s="153">
        <f>M8+M11</f>
        <v>388036</v>
      </c>
      <c r="N27" s="153">
        <f>N8+N11</f>
        <v>436374</v>
      </c>
      <c r="O27" s="153">
        <f>O8+O11</f>
        <v>472425</v>
      </c>
      <c r="P27" s="264"/>
      <c r="Q27" s="264"/>
      <c r="R27" s="264"/>
      <c r="S27" s="28"/>
      <c r="T27" s="28"/>
      <c r="U27" s="28"/>
      <c r="V27" s="51"/>
      <c r="W27" s="51"/>
      <c r="X27" s="154">
        <f ca="1">SUMIF($B:$B,"X",K:K)-X25</f>
        <v>0</v>
      </c>
      <c r="Y27" s="154">
        <f ca="1">SUMIF($B:$B,"X",L:L)-Y25</f>
        <v>1268</v>
      </c>
      <c r="Z27" s="154">
        <f ca="1">SUMIF($B:$B,"X",M:M)-Z25</f>
        <v>0</v>
      </c>
      <c r="AA27" s="154">
        <f ca="1">SUMIF($B:$B,"X",N:N)-AA25</f>
        <v>0</v>
      </c>
      <c r="AB27" s="95"/>
      <c r="AC27" s="95"/>
    </row>
    <row r="28" spans="1:29" s="38" customFormat="1" x14ac:dyDescent="0.25">
      <c r="A28" s="155"/>
      <c r="B28" s="156"/>
      <c r="C28" s="156"/>
      <c r="D28" s="156"/>
      <c r="E28" s="157"/>
      <c r="F28" s="157"/>
      <c r="G28" s="158"/>
      <c r="H28" s="159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28"/>
      <c r="T28" s="28"/>
      <c r="U28" s="28"/>
      <c r="V28" s="51"/>
      <c r="W28" s="51"/>
      <c r="X28" s="51"/>
      <c r="Y28" s="1"/>
      <c r="Z28" s="95"/>
      <c r="AA28" s="95"/>
      <c r="AB28" s="95"/>
      <c r="AC28" s="95"/>
    </row>
    <row r="29" spans="1:29" s="38" customFormat="1" x14ac:dyDescent="0.25">
      <c r="A29" s="26"/>
      <c r="B29" s="32"/>
      <c r="C29" s="32"/>
      <c r="D29" s="32"/>
      <c r="E29" s="64"/>
      <c r="F29" s="64"/>
      <c r="G29" s="26"/>
      <c r="H29" s="33"/>
      <c r="I29" s="33"/>
      <c r="J29" s="33"/>
      <c r="K29" s="33"/>
      <c r="L29" s="33"/>
      <c r="M29" s="33"/>
      <c r="N29" s="33"/>
      <c r="O29" s="33"/>
      <c r="P29" s="261"/>
      <c r="Q29" s="261"/>
      <c r="R29" s="261"/>
      <c r="S29" s="28"/>
      <c r="T29" s="28"/>
      <c r="U29" s="28"/>
      <c r="V29" s="51"/>
      <c r="W29" s="51"/>
      <c r="X29" s="51"/>
      <c r="Y29" s="29"/>
      <c r="Z29" s="95"/>
      <c r="AA29" s="95">
        <f ca="1">+AA25-Z25</f>
        <v>52883</v>
      </c>
      <c r="AB29" s="95"/>
      <c r="AC29" s="95"/>
    </row>
    <row r="30" spans="1:29" s="38" customFormat="1" x14ac:dyDescent="0.25">
      <c r="A30" s="15" t="s">
        <v>1091</v>
      </c>
      <c r="B30" s="11"/>
      <c r="C30" s="11"/>
      <c r="D30" s="11"/>
      <c r="E30" s="51"/>
      <c r="F30" s="51"/>
      <c r="G30" s="28"/>
      <c r="H30" s="12"/>
      <c r="I30" s="12"/>
      <c r="J30" s="12"/>
      <c r="K30" s="12">
        <f>K37</f>
        <v>-117426</v>
      </c>
      <c r="L30" s="12">
        <f t="shared" ref="L30:L31" si="5">M37</f>
        <v>-146557</v>
      </c>
      <c r="M30" s="12">
        <v>-147666</v>
      </c>
      <c r="N30" s="12">
        <v>-165432</v>
      </c>
      <c r="O30" s="12">
        <v>-179309</v>
      </c>
      <c r="P30" s="12">
        <v>-182520</v>
      </c>
      <c r="Q30" s="12"/>
      <c r="R30" s="12"/>
      <c r="S30" s="28"/>
      <c r="T30" s="28"/>
      <c r="U30" s="28"/>
      <c r="V30" s="51"/>
      <c r="W30" s="51"/>
      <c r="X30" s="51"/>
      <c r="Y30" s="29"/>
      <c r="Z30" s="95"/>
      <c r="AA30" s="95"/>
      <c r="AB30" s="95"/>
      <c r="AC30" s="95"/>
    </row>
    <row r="31" spans="1:29" s="38" customFormat="1" x14ac:dyDescent="0.25">
      <c r="A31" s="15" t="s">
        <v>1092</v>
      </c>
      <c r="B31" s="18"/>
      <c r="C31" s="18"/>
      <c r="D31" s="18"/>
      <c r="E31" s="67"/>
      <c r="F31" s="67"/>
      <c r="G31" s="27"/>
      <c r="H31" s="19">
        <f>SUMIFS(H:H,$E:$E,"NYTT",$F:$F,"MÅ")</f>
        <v>0</v>
      </c>
      <c r="I31" s="19">
        <f>SUMIFS(I:I,$E:$E,"NYTT",$F:$F,"MÅ")</f>
        <v>0</v>
      </c>
      <c r="J31" s="19">
        <f>SUMIFS(J:J,$E:$E,"NYTT",$F:$F,"MÅ")</f>
        <v>0</v>
      </c>
      <c r="K31" s="19">
        <f t="shared" ref="K31" si="6">K38</f>
        <v>-123759</v>
      </c>
      <c r="L31" s="19">
        <f t="shared" si="5"/>
        <v>-158540</v>
      </c>
      <c r="M31" s="19">
        <v>-159649</v>
      </c>
      <c r="N31" s="19">
        <v>-179833</v>
      </c>
      <c r="O31" s="19">
        <v>-196127</v>
      </c>
      <c r="P31" s="261">
        <v>-202763</v>
      </c>
      <c r="Q31" s="261"/>
      <c r="R31" s="261"/>
      <c r="S31" s="28"/>
      <c r="T31" s="28"/>
      <c r="U31" s="28"/>
      <c r="V31" s="51"/>
      <c r="W31" s="51"/>
      <c r="X31" s="51"/>
      <c r="Y31" s="29"/>
      <c r="Z31" s="95"/>
      <c r="AA31" s="95"/>
      <c r="AB31" s="95"/>
      <c r="AC31" s="95"/>
    </row>
    <row r="32" spans="1:29" s="38" customFormat="1" x14ac:dyDescent="0.25">
      <c r="A32" s="146" t="s">
        <v>1093</v>
      </c>
      <c r="B32" s="149"/>
      <c r="C32" s="149"/>
      <c r="D32" s="149"/>
      <c r="E32" s="150"/>
      <c r="F32" s="150"/>
      <c r="G32" s="151"/>
      <c r="H32" s="152" t="e">
        <f>#REF!+#REF!+H10+H31</f>
        <v>#REF!</v>
      </c>
      <c r="I32" s="153" t="e">
        <f>#REF!+#REF!+I10+#REF!+I31</f>
        <v>#REF!</v>
      </c>
      <c r="J32" s="153" t="e">
        <f>#REF!+#REF!+J10+J29+J31</f>
        <v>#REF!</v>
      </c>
      <c r="K32" s="153">
        <f>K11+K30+K31</f>
        <v>-220719</v>
      </c>
      <c r="L32" s="153">
        <f>L11+L30+L31</f>
        <v>-248245</v>
      </c>
      <c r="M32" s="153">
        <f>M11+M30+M31</f>
        <v>-273862</v>
      </c>
      <c r="N32" s="153">
        <f>N11+N30+N31</f>
        <v>-263474</v>
      </c>
      <c r="O32" s="153">
        <f>O11+O30+O31</f>
        <v>-257594</v>
      </c>
      <c r="P32" s="264"/>
      <c r="Q32" s="264"/>
      <c r="R32" s="264"/>
      <c r="S32" s="28"/>
      <c r="T32" s="28"/>
      <c r="U32" s="28"/>
      <c r="V32" s="51"/>
      <c r="W32" s="51"/>
      <c r="X32" s="51"/>
      <c r="Y32" s="29"/>
      <c r="Z32" s="95"/>
      <c r="AA32" s="95"/>
      <c r="AB32" s="95"/>
      <c r="AC32" s="95"/>
    </row>
    <row r="33" spans="1:29" s="38" customFormat="1" x14ac:dyDescent="0.25">
      <c r="B33" s="123"/>
      <c r="C33" s="123"/>
      <c r="D33" s="123"/>
      <c r="E33" s="124"/>
      <c r="F33" s="124"/>
      <c r="G33" s="125"/>
      <c r="H33" s="126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28"/>
      <c r="T33" s="28"/>
      <c r="U33" s="28"/>
      <c r="V33" s="51"/>
      <c r="W33" s="51"/>
      <c r="X33" s="51"/>
      <c r="Y33" s="29"/>
      <c r="Z33" s="95"/>
      <c r="AA33" s="95"/>
      <c r="AB33" s="95"/>
      <c r="AC33" s="95"/>
    </row>
    <row r="34" spans="1:29" s="38" customFormat="1" x14ac:dyDescent="0.25">
      <c r="A34" s="15"/>
      <c r="B34" s="42"/>
      <c r="C34" s="42"/>
      <c r="D34" s="42"/>
      <c r="E34" s="66"/>
      <c r="F34" s="66"/>
      <c r="G34" s="15"/>
      <c r="H34" s="40"/>
      <c r="I34" s="40"/>
      <c r="J34" s="40"/>
      <c r="K34" s="40"/>
      <c r="L34" s="40"/>
      <c r="M34" s="40"/>
      <c r="N34" s="40"/>
      <c r="O34" s="40"/>
      <c r="P34" s="261"/>
      <c r="Q34" s="261"/>
      <c r="R34" s="261"/>
      <c r="S34" s="28"/>
      <c r="T34" s="28"/>
      <c r="U34" s="28"/>
      <c r="V34" s="51"/>
      <c r="W34" s="51"/>
      <c r="X34" s="51"/>
      <c r="Y34" s="29"/>
      <c r="Z34" s="95"/>
      <c r="AA34" s="95"/>
      <c r="AB34" s="95"/>
      <c r="AC34" s="95"/>
    </row>
    <row r="35" spans="1:29" s="38" customFormat="1" ht="30" x14ac:dyDescent="0.25">
      <c r="A35" s="4" t="s">
        <v>15</v>
      </c>
      <c r="B35" s="5" t="s">
        <v>16</v>
      </c>
      <c r="C35" s="3" t="s">
        <v>17</v>
      </c>
      <c r="D35" s="3" t="s">
        <v>1094</v>
      </c>
      <c r="E35" s="8" t="s">
        <v>18</v>
      </c>
      <c r="F35" s="46" t="s">
        <v>19</v>
      </c>
      <c r="G35" s="5" t="s">
        <v>1095</v>
      </c>
      <c r="H35" s="4">
        <v>2015</v>
      </c>
      <c r="I35" s="4">
        <v>2016</v>
      </c>
      <c r="J35" s="4">
        <v>2017</v>
      </c>
      <c r="K35" s="4">
        <v>2018</v>
      </c>
      <c r="L35" s="4">
        <v>2019</v>
      </c>
      <c r="M35" s="4">
        <v>2020</v>
      </c>
      <c r="N35" s="4">
        <v>2021</v>
      </c>
      <c r="O35" s="4">
        <v>2022</v>
      </c>
      <c r="P35" s="4">
        <v>2023</v>
      </c>
      <c r="Q35" s="4"/>
      <c r="R35" s="4"/>
      <c r="S35" s="28"/>
      <c r="T35" s="28" t="s">
        <v>643</v>
      </c>
      <c r="U35" s="28" t="s">
        <v>644</v>
      </c>
      <c r="V35" s="51"/>
      <c r="W35" s="51"/>
      <c r="X35" s="51"/>
      <c r="Y35" s="28"/>
    </row>
    <row r="36" spans="1:29" s="38" customFormat="1" ht="18.75" customHeight="1" x14ac:dyDescent="0.25">
      <c r="A36" s="15"/>
      <c r="B36" s="44"/>
      <c r="C36" s="16" t="s">
        <v>21</v>
      </c>
      <c r="D36" s="17"/>
      <c r="E36" s="41"/>
      <c r="F36" s="87"/>
      <c r="G36" s="30"/>
      <c r="H36" s="31"/>
      <c r="I36" s="40"/>
      <c r="J36" s="85"/>
      <c r="K36" s="85"/>
      <c r="L36" s="85"/>
      <c r="M36" s="85"/>
      <c r="N36" s="40"/>
      <c r="O36" s="40"/>
      <c r="P36" s="261"/>
      <c r="Q36" s="261"/>
      <c r="R36" s="261"/>
      <c r="S36" s="28"/>
      <c r="T36" s="28"/>
      <c r="U36" s="28"/>
      <c r="V36" s="77"/>
      <c r="W36" s="77"/>
      <c r="X36" s="77"/>
      <c r="Y36" s="28"/>
    </row>
    <row r="37" spans="1:29" s="38" customFormat="1" ht="18.75" customHeight="1" x14ac:dyDescent="0.25">
      <c r="A37" s="45" t="s">
        <v>22</v>
      </c>
      <c r="B37" s="45" t="s">
        <v>1096</v>
      </c>
      <c r="C37" s="98" t="s">
        <v>1097</v>
      </c>
      <c r="D37" s="79"/>
      <c r="E37" s="41" t="s">
        <v>22</v>
      </c>
      <c r="F37" s="60" t="s">
        <v>24</v>
      </c>
      <c r="G37" s="25"/>
      <c r="H37" s="25"/>
      <c r="I37" s="55">
        <v>-96696</v>
      </c>
      <c r="J37" s="89">
        <v>-110754</v>
      </c>
      <c r="K37" s="89">
        <v>-117426</v>
      </c>
      <c r="M37" s="12">
        <v>-146557</v>
      </c>
      <c r="N37" s="12">
        <v>-160476</v>
      </c>
      <c r="O37" s="12">
        <v>-176350</v>
      </c>
      <c r="P37" s="12">
        <v>-179215</v>
      </c>
      <c r="Q37" s="12"/>
      <c r="R37" s="12"/>
      <c r="S37" s="38" t="s">
        <v>1098</v>
      </c>
      <c r="T37" s="28"/>
      <c r="U37" s="28"/>
      <c r="V37" s="28"/>
      <c r="W37" s="28"/>
      <c r="X37" s="28"/>
      <c r="Y37" s="28"/>
    </row>
    <row r="38" spans="1:29" s="38" customFormat="1" ht="18.75" customHeight="1" x14ac:dyDescent="0.25">
      <c r="A38" s="45" t="s">
        <v>22</v>
      </c>
      <c r="B38" s="45" t="s">
        <v>1099</v>
      </c>
      <c r="C38" s="98" t="s">
        <v>1100</v>
      </c>
      <c r="D38" s="79"/>
      <c r="E38" s="41" t="s">
        <v>22</v>
      </c>
      <c r="F38" s="60" t="s">
        <v>24</v>
      </c>
      <c r="G38" s="25"/>
      <c r="H38" s="25"/>
      <c r="I38" s="55">
        <v>-98309</v>
      </c>
      <c r="J38" s="89">
        <v>-121909</v>
      </c>
      <c r="K38" s="89">
        <v>-123759</v>
      </c>
      <c r="M38" s="19">
        <v>-158540</v>
      </c>
      <c r="N38" s="19">
        <v>-174876</v>
      </c>
      <c r="O38" s="19">
        <v>-193168</v>
      </c>
      <c r="P38" s="12">
        <v>-199458</v>
      </c>
      <c r="Q38" s="12"/>
      <c r="R38" s="12"/>
      <c r="S38" s="38" t="s">
        <v>1098</v>
      </c>
      <c r="T38" s="28"/>
      <c r="U38" s="28"/>
      <c r="V38" s="28"/>
      <c r="W38" s="28"/>
      <c r="X38" s="28"/>
      <c r="Y38" s="28"/>
    </row>
    <row r="39" spans="1:29" s="38" customFormat="1" ht="25.5" x14ac:dyDescent="0.25">
      <c r="A39" s="45" t="s">
        <v>22</v>
      </c>
      <c r="B39" s="45" t="s">
        <v>1101</v>
      </c>
      <c r="C39" s="98" t="s">
        <v>1102</v>
      </c>
      <c r="D39" s="79"/>
      <c r="E39" s="41" t="s">
        <v>22</v>
      </c>
      <c r="F39" s="60" t="s">
        <v>24</v>
      </c>
      <c r="G39" s="25"/>
      <c r="H39" s="25"/>
      <c r="I39" s="55"/>
      <c r="J39" s="89"/>
      <c r="K39" s="89">
        <v>-4927</v>
      </c>
      <c r="M39" s="211">
        <v>-5832</v>
      </c>
      <c r="N39" s="211">
        <v>-5633</v>
      </c>
      <c r="O39" s="211">
        <v>-5438</v>
      </c>
      <c r="P39" s="211">
        <v>-5181</v>
      </c>
      <c r="Q39" s="390"/>
      <c r="R39" s="390"/>
      <c r="S39" s="144" t="s">
        <v>1103</v>
      </c>
      <c r="T39" s="28"/>
      <c r="U39" s="28"/>
      <c r="V39" s="28"/>
      <c r="W39" s="28"/>
      <c r="X39" s="28"/>
      <c r="Y39" s="28"/>
    </row>
    <row r="40" spans="1:29" s="38" customFormat="1" ht="25.5" x14ac:dyDescent="0.25">
      <c r="A40" s="45" t="s">
        <v>22</v>
      </c>
      <c r="B40" s="45" t="s">
        <v>1104</v>
      </c>
      <c r="C40" s="98" t="s">
        <v>1105</v>
      </c>
      <c r="D40" s="79"/>
      <c r="E40" s="41" t="s">
        <v>22</v>
      </c>
      <c r="F40" s="60" t="s">
        <v>24</v>
      </c>
      <c r="G40" s="25"/>
      <c r="H40" s="25"/>
      <c r="I40" s="55"/>
      <c r="J40" s="89"/>
      <c r="K40" s="89">
        <v>-11569</v>
      </c>
      <c r="L40" s="90"/>
      <c r="M40" s="211">
        <v>-10672</v>
      </c>
      <c r="N40" s="211">
        <v>-10672</v>
      </c>
      <c r="O40" s="211">
        <v>-10672</v>
      </c>
      <c r="P40" s="211">
        <v>-10672</v>
      </c>
      <c r="Q40" s="390"/>
      <c r="R40" s="390"/>
      <c r="S40" s="144" t="s">
        <v>1103</v>
      </c>
      <c r="T40" s="28"/>
      <c r="U40" s="28"/>
      <c r="V40" s="28"/>
      <c r="W40" s="28"/>
      <c r="X40" s="28"/>
      <c r="Y40" s="28"/>
    </row>
    <row r="41" spans="1:29" s="38" customFormat="1" ht="18.75" customHeight="1" x14ac:dyDescent="0.25">
      <c r="A41" s="43"/>
      <c r="B41" s="43"/>
      <c r="C41" s="3" t="s">
        <v>76</v>
      </c>
      <c r="D41" s="3"/>
      <c r="E41" s="63"/>
      <c r="F41" s="63"/>
      <c r="G41" s="9"/>
      <c r="H41" s="9">
        <f t="shared" ref="H41:P41" si="7">SUMIF($A:$A,"SENT.INNT",H:H)</f>
        <v>0</v>
      </c>
      <c r="I41" s="9">
        <f t="shared" si="7"/>
        <v>-195005</v>
      </c>
      <c r="J41" s="9">
        <f t="shared" si="7"/>
        <v>-232663</v>
      </c>
      <c r="K41" s="9">
        <f t="shared" si="7"/>
        <v>-257681</v>
      </c>
      <c r="L41" s="9">
        <f t="shared" si="7"/>
        <v>0</v>
      </c>
      <c r="M41" s="9">
        <f t="shared" si="7"/>
        <v>-321601</v>
      </c>
      <c r="N41" s="9">
        <f t="shared" si="7"/>
        <v>-351657</v>
      </c>
      <c r="O41" s="9">
        <f t="shared" si="7"/>
        <v>-385628</v>
      </c>
      <c r="P41" s="9">
        <f t="shared" si="7"/>
        <v>-394526</v>
      </c>
      <c r="Q41" s="9"/>
      <c r="R41" s="9"/>
      <c r="S41" s="28"/>
      <c r="T41" s="28"/>
      <c r="U41" s="28"/>
      <c r="V41" s="28"/>
      <c r="W41" s="28"/>
      <c r="X41" s="28"/>
      <c r="Y41" s="28"/>
    </row>
    <row r="42" spans="1:29" s="1" customFormat="1" ht="18.75" customHeight="1" x14ac:dyDescent="0.25">
      <c r="A42" s="48"/>
      <c r="B42" s="48"/>
      <c r="C42" s="13" t="s">
        <v>1106</v>
      </c>
      <c r="D42" s="13"/>
      <c r="E42" s="50"/>
      <c r="F42" s="50"/>
      <c r="G42" s="24"/>
      <c r="H42" s="24"/>
      <c r="I42" s="14"/>
      <c r="J42" s="14"/>
      <c r="K42" s="14"/>
      <c r="L42" s="14"/>
      <c r="M42" s="14"/>
      <c r="N42" s="14"/>
      <c r="O42" s="14"/>
      <c r="P42" s="265"/>
      <c r="Q42" s="265"/>
      <c r="R42" s="265"/>
      <c r="S42" s="29"/>
      <c r="T42" s="28"/>
      <c r="U42" s="28"/>
      <c r="V42" s="29"/>
      <c r="W42" s="29"/>
      <c r="X42" s="29"/>
      <c r="Y42" s="29"/>
    </row>
    <row r="43" spans="1:29" s="38" customFormat="1" ht="18.75" customHeight="1" x14ac:dyDescent="0.25">
      <c r="A43" s="41"/>
      <c r="B43" s="44"/>
      <c r="C43" s="88" t="s">
        <v>80</v>
      </c>
      <c r="D43" s="88"/>
      <c r="E43" s="50"/>
      <c r="F43" s="50"/>
      <c r="G43" s="31"/>
      <c r="H43" s="31"/>
      <c r="I43" s="40"/>
      <c r="J43" s="40"/>
      <c r="K43" s="40"/>
      <c r="L43" s="40"/>
      <c r="M43" s="40"/>
      <c r="N43" s="40"/>
      <c r="O43" s="40"/>
      <c r="P43" s="261"/>
      <c r="Q43" s="261"/>
      <c r="R43" s="261"/>
      <c r="S43" s="28"/>
      <c r="T43" s="28"/>
      <c r="U43" s="28"/>
      <c r="V43" s="99" t="s">
        <v>817</v>
      </c>
      <c r="W43" s="99" t="s">
        <v>818</v>
      </c>
      <c r="X43" s="99" t="s">
        <v>819</v>
      </c>
      <c r="Y43" s="28"/>
    </row>
    <row r="44" spans="1:29" s="38" customFormat="1" ht="18.75" customHeight="1" x14ac:dyDescent="0.25">
      <c r="A44" s="41" t="s">
        <v>1107</v>
      </c>
      <c r="B44" s="45" t="str">
        <f>IF(U44,T44&amp;U44,"")</f>
        <v>S1</v>
      </c>
      <c r="C44" s="76" t="s">
        <v>1108</v>
      </c>
      <c r="D44" s="79" t="s">
        <v>1109</v>
      </c>
      <c r="E44" s="72" t="s">
        <v>1110</v>
      </c>
      <c r="F44" s="60" t="s">
        <v>84</v>
      </c>
      <c r="G44" s="31"/>
      <c r="H44" s="31"/>
      <c r="I44" s="40"/>
      <c r="J44" s="40"/>
      <c r="K44" s="40">
        <v>91</v>
      </c>
      <c r="L44" s="70">
        <v>7978</v>
      </c>
      <c r="M44" s="223">
        <f>11987-7978</f>
        <v>4009</v>
      </c>
      <c r="N44" s="223">
        <f>11987-7978</f>
        <v>4009</v>
      </c>
      <c r="O44" s="223">
        <f>11987-7978</f>
        <v>4009</v>
      </c>
      <c r="P44" s="266">
        <f t="shared" ref="P44:P52" si="8">O44</f>
        <v>4009</v>
      </c>
      <c r="Q44" s="256"/>
      <c r="R44" s="256"/>
      <c r="S44" s="25">
        <f t="shared" ref="S44:S63" si="9">IF(D44="INTERNHUSLEIE",K44,"0")</f>
        <v>91</v>
      </c>
      <c r="T44" s="28" t="s">
        <v>1111</v>
      </c>
      <c r="U44" s="28">
        <v>1</v>
      </c>
      <c r="V44" s="99"/>
      <c r="W44" s="99"/>
      <c r="X44" s="99"/>
      <c r="Y44" s="28"/>
    </row>
    <row r="45" spans="1:29" s="38" customFormat="1" ht="18.75" customHeight="1" x14ac:dyDescent="0.25">
      <c r="A45" s="41" t="s">
        <v>1107</v>
      </c>
      <c r="B45" s="45" t="str">
        <f t="shared" ref="B45:B94" si="10">IF(U45,T45&amp;U45,"")</f>
        <v>S2</v>
      </c>
      <c r="C45" s="76" t="s">
        <v>1108</v>
      </c>
      <c r="D45" s="79" t="s">
        <v>1112</v>
      </c>
      <c r="E45" s="72" t="s">
        <v>1110</v>
      </c>
      <c r="F45" s="60" t="s">
        <v>84</v>
      </c>
      <c r="G45" s="31"/>
      <c r="H45" s="31"/>
      <c r="I45" s="40"/>
      <c r="J45" s="40"/>
      <c r="K45" s="40">
        <v>13</v>
      </c>
      <c r="L45" s="70">
        <v>852</v>
      </c>
      <c r="M45" s="279">
        <f>1278-L45</f>
        <v>426</v>
      </c>
      <c r="N45" s="279">
        <f>1278-M45</f>
        <v>852</v>
      </c>
      <c r="O45" s="279">
        <f>1278-N45</f>
        <v>426</v>
      </c>
      <c r="P45" s="280">
        <f t="shared" si="8"/>
        <v>426</v>
      </c>
      <c r="Q45" s="431"/>
      <c r="R45" s="431"/>
      <c r="S45" s="25" t="str">
        <f t="shared" si="9"/>
        <v>0</v>
      </c>
      <c r="T45" s="28" t="s">
        <v>1111</v>
      </c>
      <c r="U45" s="28">
        <f>U44+1</f>
        <v>2</v>
      </c>
      <c r="V45" s="99"/>
      <c r="W45" s="99"/>
      <c r="X45" s="99"/>
      <c r="Y45" s="28"/>
    </row>
    <row r="46" spans="1:29" s="38" customFormat="1" ht="18.75" customHeight="1" x14ac:dyDescent="0.25">
      <c r="A46" s="41" t="s">
        <v>1107</v>
      </c>
      <c r="B46" s="45" t="str">
        <f t="shared" si="10"/>
        <v>S3</v>
      </c>
      <c r="C46" s="76" t="s">
        <v>1108</v>
      </c>
      <c r="D46" s="79" t="s">
        <v>1113</v>
      </c>
      <c r="E46" s="72" t="s">
        <v>1110</v>
      </c>
      <c r="F46" s="60" t="s">
        <v>84</v>
      </c>
      <c r="G46" s="31"/>
      <c r="H46" s="31"/>
      <c r="I46" s="40"/>
      <c r="J46" s="40"/>
      <c r="K46" s="40">
        <v>6</v>
      </c>
      <c r="L46" s="70">
        <v>426</v>
      </c>
      <c r="M46" s="279">
        <f>639-L46</f>
        <v>213</v>
      </c>
      <c r="N46" s="279">
        <f>639-M46</f>
        <v>426</v>
      </c>
      <c r="O46" s="279">
        <f>639-N46</f>
        <v>213</v>
      </c>
      <c r="P46" s="280">
        <f t="shared" si="8"/>
        <v>213</v>
      </c>
      <c r="Q46" s="431"/>
      <c r="R46" s="431"/>
      <c r="S46" s="25" t="str">
        <f t="shared" si="9"/>
        <v>0</v>
      </c>
      <c r="T46" s="28" t="s">
        <v>1111</v>
      </c>
      <c r="U46" s="28">
        <f t="shared" ref="U46:U93" si="11">U45+1</f>
        <v>3</v>
      </c>
      <c r="V46" s="99"/>
      <c r="W46" s="99"/>
      <c r="X46" s="99"/>
      <c r="Y46" s="28"/>
    </row>
    <row r="47" spans="1:29" s="38" customFormat="1" ht="18.75" customHeight="1" x14ac:dyDescent="0.25">
      <c r="A47" s="41" t="s">
        <v>1107</v>
      </c>
      <c r="B47" s="45" t="str">
        <f t="shared" si="10"/>
        <v>S4</v>
      </c>
      <c r="C47" s="76" t="s">
        <v>1114</v>
      </c>
      <c r="D47" s="79" t="s">
        <v>1109</v>
      </c>
      <c r="E47" s="72" t="s">
        <v>1110</v>
      </c>
      <c r="F47" s="60" t="s">
        <v>84</v>
      </c>
      <c r="G47" s="31"/>
      <c r="H47" s="31"/>
      <c r="I47" s="40"/>
      <c r="J47" s="40"/>
      <c r="K47" s="40">
        <v>1005</v>
      </c>
      <c r="L47" s="70">
        <v>-300</v>
      </c>
      <c r="M47" s="279">
        <f>225-L47</f>
        <v>525</v>
      </c>
      <c r="N47" s="279">
        <f>225-M47</f>
        <v>-300</v>
      </c>
      <c r="O47" s="279">
        <f>225-N47</f>
        <v>525</v>
      </c>
      <c r="P47" s="280">
        <f t="shared" si="8"/>
        <v>525</v>
      </c>
      <c r="Q47" s="431"/>
      <c r="R47" s="431"/>
      <c r="S47" s="25">
        <f t="shared" si="9"/>
        <v>1005</v>
      </c>
      <c r="T47" s="28" t="s">
        <v>1111</v>
      </c>
      <c r="U47" s="28">
        <f t="shared" si="11"/>
        <v>4</v>
      </c>
      <c r="V47" s="99"/>
      <c r="W47" s="99"/>
      <c r="X47" s="99"/>
      <c r="Y47" s="28"/>
    </row>
    <row r="48" spans="1:29" s="38" customFormat="1" ht="18.75" customHeight="1" x14ac:dyDescent="0.25">
      <c r="A48" s="41" t="s">
        <v>1107</v>
      </c>
      <c r="B48" s="45" t="str">
        <f t="shared" si="10"/>
        <v>S5</v>
      </c>
      <c r="C48" s="76" t="s">
        <v>1114</v>
      </c>
      <c r="D48" s="79" t="s">
        <v>1112</v>
      </c>
      <c r="E48" s="72" t="s">
        <v>1110</v>
      </c>
      <c r="F48" s="60" t="s">
        <v>84</v>
      </c>
      <c r="G48" s="31"/>
      <c r="H48" s="31"/>
      <c r="I48" s="40"/>
      <c r="J48" s="40"/>
      <c r="K48" s="40">
        <v>120</v>
      </c>
      <c r="L48" s="70">
        <v>-441</v>
      </c>
      <c r="M48" s="279">
        <f>-662-L48</f>
        <v>-221</v>
      </c>
      <c r="N48" s="279">
        <f>-662-M48</f>
        <v>-441</v>
      </c>
      <c r="O48" s="279">
        <f>-662-N48</f>
        <v>-221</v>
      </c>
      <c r="P48" s="280">
        <f t="shared" si="8"/>
        <v>-221</v>
      </c>
      <c r="Q48" s="431"/>
      <c r="R48" s="431"/>
      <c r="S48" s="25" t="str">
        <f t="shared" si="9"/>
        <v>0</v>
      </c>
      <c r="T48" s="28" t="s">
        <v>1111</v>
      </c>
      <c r="U48" s="28">
        <f t="shared" si="11"/>
        <v>5</v>
      </c>
      <c r="V48" s="99"/>
      <c r="W48" s="99"/>
      <c r="X48" s="99"/>
      <c r="Y48" s="28"/>
    </row>
    <row r="49" spans="1:29" s="38" customFormat="1" ht="18.75" customHeight="1" x14ac:dyDescent="0.25">
      <c r="A49" s="41" t="s">
        <v>1107</v>
      </c>
      <c r="B49" s="45" t="str">
        <f t="shared" si="10"/>
        <v>S6</v>
      </c>
      <c r="C49" s="76" t="s">
        <v>1114</v>
      </c>
      <c r="D49" s="79" t="s">
        <v>1113</v>
      </c>
      <c r="E49" s="72" t="s">
        <v>1110</v>
      </c>
      <c r="F49" s="60" t="s">
        <v>84</v>
      </c>
      <c r="G49" s="31"/>
      <c r="H49" s="31"/>
      <c r="I49" s="40"/>
      <c r="J49" s="40"/>
      <c r="K49" s="40">
        <v>60</v>
      </c>
      <c r="L49" s="70">
        <v>-263</v>
      </c>
      <c r="M49" s="279">
        <f>-395-L49</f>
        <v>-132</v>
      </c>
      <c r="N49" s="279">
        <f>-395-M49</f>
        <v>-263</v>
      </c>
      <c r="O49" s="279">
        <f>-395-N49</f>
        <v>-132</v>
      </c>
      <c r="P49" s="280">
        <f t="shared" si="8"/>
        <v>-132</v>
      </c>
      <c r="Q49" s="431"/>
      <c r="R49" s="431"/>
      <c r="S49" s="25" t="str">
        <f t="shared" si="9"/>
        <v>0</v>
      </c>
      <c r="T49" s="28" t="s">
        <v>1111</v>
      </c>
      <c r="U49" s="28">
        <f t="shared" si="11"/>
        <v>6</v>
      </c>
      <c r="V49" s="99"/>
      <c r="W49" s="99"/>
      <c r="X49" s="99"/>
      <c r="Y49" s="28"/>
    </row>
    <row r="50" spans="1:29" s="38" customFormat="1" ht="18.75" customHeight="1" x14ac:dyDescent="0.25">
      <c r="A50" s="41" t="s">
        <v>1107</v>
      </c>
      <c r="B50" s="45" t="str">
        <f t="shared" si="10"/>
        <v>S7</v>
      </c>
      <c r="C50" s="76" t="s">
        <v>1115</v>
      </c>
      <c r="D50" s="79" t="s">
        <v>1109</v>
      </c>
      <c r="E50" s="72" t="s">
        <v>1110</v>
      </c>
      <c r="F50" s="60" t="s">
        <v>84</v>
      </c>
      <c r="G50" s="31"/>
      <c r="H50" s="31"/>
      <c r="I50" s="40"/>
      <c r="J50" s="40"/>
      <c r="K50" s="40">
        <v>405</v>
      </c>
      <c r="L50" s="70">
        <v>8886</v>
      </c>
      <c r="M50" s="223">
        <f>11848-L50</f>
        <v>2962</v>
      </c>
      <c r="N50" s="223">
        <v>2962</v>
      </c>
      <c r="O50" s="223">
        <v>2962</v>
      </c>
      <c r="P50" s="266">
        <f t="shared" si="8"/>
        <v>2962</v>
      </c>
      <c r="Q50" s="256"/>
      <c r="R50" s="256"/>
      <c r="S50" s="25">
        <f t="shared" si="9"/>
        <v>405</v>
      </c>
      <c r="T50" s="28" t="s">
        <v>1111</v>
      </c>
      <c r="U50" s="28">
        <f t="shared" si="11"/>
        <v>7</v>
      </c>
      <c r="V50" s="99"/>
      <c r="W50" s="99"/>
      <c r="X50" s="99"/>
      <c r="Y50" s="28"/>
    </row>
    <row r="51" spans="1:29" s="38" customFormat="1" ht="18.75" customHeight="1" x14ac:dyDescent="0.25">
      <c r="A51" s="45" t="s">
        <v>1107</v>
      </c>
      <c r="B51" s="45" t="str">
        <f t="shared" si="10"/>
        <v>S8</v>
      </c>
      <c r="C51" s="76" t="s">
        <v>1116</v>
      </c>
      <c r="D51" s="79" t="s">
        <v>1112</v>
      </c>
      <c r="E51" s="72" t="s">
        <v>1110</v>
      </c>
      <c r="F51" s="60" t="s">
        <v>84</v>
      </c>
      <c r="G51" s="25"/>
      <c r="H51" s="25"/>
      <c r="I51" s="55"/>
      <c r="J51" s="73"/>
      <c r="K51" s="74"/>
      <c r="L51" s="70">
        <f>547-228</f>
        <v>319</v>
      </c>
      <c r="M51" s="223">
        <f>547-L51</f>
        <v>228</v>
      </c>
      <c r="N51" s="223">
        <v>228</v>
      </c>
      <c r="O51" s="223">
        <v>228</v>
      </c>
      <c r="P51" s="266">
        <f t="shared" si="8"/>
        <v>228</v>
      </c>
      <c r="Q51" s="256"/>
      <c r="R51" s="256"/>
      <c r="S51" s="25" t="str">
        <f t="shared" si="9"/>
        <v>0</v>
      </c>
      <c r="T51" s="28" t="s">
        <v>1111</v>
      </c>
      <c r="U51" s="28">
        <f t="shared" si="11"/>
        <v>8</v>
      </c>
      <c r="V51" s="99" t="str">
        <f t="shared" ref="V51:V62" si="12">IF(F51="VEDTATT","VEDTATT",0)</f>
        <v>VEDTATT</v>
      </c>
      <c r="W51" s="99">
        <f t="shared" ref="W51:W62" si="13">IF(F51="MÅ","Nye tiltak",0)</f>
        <v>0</v>
      </c>
      <c r="X51" s="99"/>
      <c r="Y51" s="28"/>
      <c r="Z51" s="95"/>
      <c r="AA51" s="95"/>
      <c r="AB51" s="95"/>
      <c r="AC51" s="95"/>
    </row>
    <row r="52" spans="1:29" s="38" customFormat="1" ht="18.75" customHeight="1" x14ac:dyDescent="0.25">
      <c r="A52" s="45" t="s">
        <v>1107</v>
      </c>
      <c r="B52" s="45" t="str">
        <f t="shared" si="10"/>
        <v>S9</v>
      </c>
      <c r="C52" s="76" t="s">
        <v>1116</v>
      </c>
      <c r="D52" s="79" t="s">
        <v>1113</v>
      </c>
      <c r="E52" s="72" t="s">
        <v>1110</v>
      </c>
      <c r="F52" s="60" t="s">
        <v>84</v>
      </c>
      <c r="G52" s="25"/>
      <c r="H52" s="25"/>
      <c r="I52" s="55"/>
      <c r="J52" s="73"/>
      <c r="K52" s="74"/>
      <c r="L52" s="70">
        <v>170</v>
      </c>
      <c r="M52" s="223">
        <f>274-L52</f>
        <v>104</v>
      </c>
      <c r="N52" s="223">
        <v>104</v>
      </c>
      <c r="O52" s="223">
        <v>104</v>
      </c>
      <c r="P52" s="266">
        <f t="shared" si="8"/>
        <v>104</v>
      </c>
      <c r="Q52" s="256"/>
      <c r="R52" s="256"/>
      <c r="S52" s="25" t="str">
        <f t="shared" si="9"/>
        <v>0</v>
      </c>
      <c r="T52" s="28" t="s">
        <v>1111</v>
      </c>
      <c r="U52" s="28">
        <f t="shared" si="11"/>
        <v>9</v>
      </c>
      <c r="V52" s="99" t="str">
        <f t="shared" si="12"/>
        <v>VEDTATT</v>
      </c>
      <c r="W52" s="99">
        <f t="shared" si="13"/>
        <v>0</v>
      </c>
      <c r="X52" s="99"/>
      <c r="Y52" s="28"/>
      <c r="AA52" s="95"/>
      <c r="AB52" s="95"/>
      <c r="AC52" s="95"/>
    </row>
    <row r="53" spans="1:29" s="38" customFormat="1" ht="18.75" customHeight="1" x14ac:dyDescent="0.25">
      <c r="A53" s="45" t="s">
        <v>1107</v>
      </c>
      <c r="B53" s="45" t="str">
        <f t="shared" si="10"/>
        <v>S10</v>
      </c>
      <c r="C53" s="225" t="s">
        <v>1117</v>
      </c>
      <c r="D53" s="79" t="s">
        <v>1109</v>
      </c>
      <c r="E53" s="72" t="s">
        <v>1110</v>
      </c>
      <c r="F53" s="60" t="s">
        <v>84</v>
      </c>
      <c r="G53" s="25"/>
      <c r="H53" s="25"/>
      <c r="I53" s="55"/>
      <c r="J53" s="73"/>
      <c r="K53" s="74"/>
      <c r="L53" s="70"/>
      <c r="M53" s="70"/>
      <c r="N53" s="70"/>
      <c r="O53" s="70"/>
      <c r="P53" s="70"/>
      <c r="Q53" s="70"/>
      <c r="R53" s="70"/>
      <c r="S53" s="25">
        <f t="shared" si="9"/>
        <v>0</v>
      </c>
      <c r="T53" s="28" t="s">
        <v>1111</v>
      </c>
      <c r="U53" s="28">
        <f t="shared" si="11"/>
        <v>10</v>
      </c>
      <c r="V53" s="99" t="str">
        <f t="shared" si="12"/>
        <v>VEDTATT</v>
      </c>
      <c r="W53" s="99">
        <f t="shared" si="13"/>
        <v>0</v>
      </c>
      <c r="X53" s="99"/>
      <c r="Y53" s="28"/>
      <c r="AB53" s="95"/>
      <c r="AC53" s="95"/>
    </row>
    <row r="54" spans="1:29" s="38" customFormat="1" x14ac:dyDescent="0.25">
      <c r="A54" s="45" t="s">
        <v>1107</v>
      </c>
      <c r="B54" s="45" t="str">
        <f t="shared" si="10"/>
        <v>S11</v>
      </c>
      <c r="C54" s="225" t="s">
        <v>1117</v>
      </c>
      <c r="D54" s="79" t="s">
        <v>1112</v>
      </c>
      <c r="E54" s="72" t="s">
        <v>1110</v>
      </c>
      <c r="F54" s="60" t="s">
        <v>84</v>
      </c>
      <c r="G54" s="25"/>
      <c r="H54" s="25"/>
      <c r="I54" s="55"/>
      <c r="J54" s="55"/>
      <c r="K54" s="74"/>
      <c r="L54" s="70"/>
      <c r="M54" s="70"/>
      <c r="N54" s="70"/>
      <c r="O54" s="70"/>
      <c r="P54" s="70"/>
      <c r="Q54" s="70"/>
      <c r="R54" s="70"/>
      <c r="S54" s="25" t="str">
        <f t="shared" si="9"/>
        <v>0</v>
      </c>
      <c r="T54" s="28" t="s">
        <v>1111</v>
      </c>
      <c r="U54" s="28">
        <f t="shared" si="11"/>
        <v>11</v>
      </c>
      <c r="V54" s="99" t="str">
        <f t="shared" si="12"/>
        <v>VEDTATT</v>
      </c>
      <c r="W54" s="99">
        <f t="shared" si="13"/>
        <v>0</v>
      </c>
      <c r="X54" s="99"/>
      <c r="Y54" s="28"/>
      <c r="AC54" s="95"/>
    </row>
    <row r="55" spans="1:29" s="38" customFormat="1" ht="18.75" customHeight="1" x14ac:dyDescent="0.25">
      <c r="A55" s="45" t="s">
        <v>1107</v>
      </c>
      <c r="B55" s="45" t="str">
        <f t="shared" si="10"/>
        <v>S12</v>
      </c>
      <c r="C55" s="225" t="s">
        <v>1117</v>
      </c>
      <c r="D55" s="79" t="s">
        <v>1113</v>
      </c>
      <c r="E55" s="72" t="s">
        <v>1110</v>
      </c>
      <c r="F55" s="60" t="s">
        <v>84</v>
      </c>
      <c r="G55" s="25"/>
      <c r="H55" s="25"/>
      <c r="I55" s="55"/>
      <c r="J55" s="55"/>
      <c r="K55" s="74">
        <v>228</v>
      </c>
      <c r="L55" s="70"/>
      <c r="M55" s="70"/>
      <c r="N55" s="70"/>
      <c r="O55" s="70"/>
      <c r="P55" s="70"/>
      <c r="Q55" s="70"/>
      <c r="R55" s="70"/>
      <c r="S55" s="25" t="str">
        <f t="shared" si="9"/>
        <v>0</v>
      </c>
      <c r="T55" s="28" t="s">
        <v>1111</v>
      </c>
      <c r="U55" s="28">
        <f t="shared" si="11"/>
        <v>12</v>
      </c>
      <c r="V55" s="99" t="str">
        <f t="shared" si="12"/>
        <v>VEDTATT</v>
      </c>
      <c r="W55" s="99">
        <f t="shared" si="13"/>
        <v>0</v>
      </c>
      <c r="X55" s="100"/>
      <c r="Y55" s="28"/>
    </row>
    <row r="56" spans="1:29" s="38" customFormat="1" ht="18.75" customHeight="1" x14ac:dyDescent="0.25">
      <c r="A56" s="45" t="s">
        <v>1107</v>
      </c>
      <c r="B56" s="45" t="str">
        <f t="shared" si="10"/>
        <v>S13</v>
      </c>
      <c r="C56" s="76" t="s">
        <v>1118</v>
      </c>
      <c r="D56" s="79" t="s">
        <v>1109</v>
      </c>
      <c r="E56" s="72" t="s">
        <v>1110</v>
      </c>
      <c r="F56" s="60" t="s">
        <v>84</v>
      </c>
      <c r="G56" s="25"/>
      <c r="H56" s="25"/>
      <c r="I56" s="55"/>
      <c r="J56" s="73"/>
      <c r="K56" s="74">
        <v>114</v>
      </c>
      <c r="L56" s="70"/>
      <c r="M56" s="223">
        <v>5645</v>
      </c>
      <c r="N56" s="223">
        <v>13548</v>
      </c>
      <c r="O56" s="223">
        <v>13548</v>
      </c>
      <c r="P56" s="266">
        <f>O56</f>
        <v>13548</v>
      </c>
      <c r="Q56" s="256"/>
      <c r="R56" s="256"/>
      <c r="S56" s="25">
        <f t="shared" si="9"/>
        <v>114</v>
      </c>
      <c r="T56" s="28" t="s">
        <v>1111</v>
      </c>
      <c r="U56" s="28">
        <f t="shared" si="11"/>
        <v>13</v>
      </c>
      <c r="V56" s="99" t="str">
        <f t="shared" si="12"/>
        <v>VEDTATT</v>
      </c>
      <c r="W56" s="99">
        <f t="shared" si="13"/>
        <v>0</v>
      </c>
      <c r="X56" s="100"/>
      <c r="Y56" s="28"/>
    </row>
    <row r="57" spans="1:29" s="38" customFormat="1" ht="18.75" customHeight="1" x14ac:dyDescent="0.25">
      <c r="A57" s="45" t="s">
        <v>1107</v>
      </c>
      <c r="B57" s="45" t="str">
        <f t="shared" si="10"/>
        <v>S14</v>
      </c>
      <c r="C57" s="76" t="s">
        <v>1118</v>
      </c>
      <c r="D57" s="79" t="s">
        <v>1112</v>
      </c>
      <c r="E57" s="72" t="s">
        <v>1110</v>
      </c>
      <c r="F57" s="60" t="s">
        <v>84</v>
      </c>
      <c r="G57" s="25"/>
      <c r="H57" s="25"/>
      <c r="I57" s="55"/>
      <c r="J57" s="55"/>
      <c r="K57" s="74"/>
      <c r="L57" s="70"/>
      <c r="M57" s="223">
        <v>918</v>
      </c>
      <c r="N57" s="223">
        <v>1836</v>
      </c>
      <c r="O57" s="223">
        <v>1836</v>
      </c>
      <c r="P57" s="266">
        <f>O57</f>
        <v>1836</v>
      </c>
      <c r="Q57" s="256"/>
      <c r="R57" s="256"/>
      <c r="S57" s="25" t="str">
        <f t="shared" si="9"/>
        <v>0</v>
      </c>
      <c r="T57" s="28" t="s">
        <v>1111</v>
      </c>
      <c r="U57" s="28">
        <f t="shared" si="11"/>
        <v>14</v>
      </c>
      <c r="V57" s="99" t="str">
        <f t="shared" si="12"/>
        <v>VEDTATT</v>
      </c>
      <c r="W57" s="99">
        <f t="shared" si="13"/>
        <v>0</v>
      </c>
      <c r="X57" s="100"/>
      <c r="Y57" s="28"/>
    </row>
    <row r="58" spans="1:29" s="38" customFormat="1" ht="18.75" customHeight="1" x14ac:dyDescent="0.25">
      <c r="A58" s="45" t="s">
        <v>1107</v>
      </c>
      <c r="B58" s="45" t="str">
        <f t="shared" si="10"/>
        <v>S15</v>
      </c>
      <c r="C58" s="76" t="s">
        <v>1118</v>
      </c>
      <c r="D58" s="79" t="s">
        <v>1113</v>
      </c>
      <c r="E58" s="72" t="s">
        <v>1110</v>
      </c>
      <c r="F58" s="60" t="s">
        <v>84</v>
      </c>
      <c r="G58" s="25"/>
      <c r="H58" s="25"/>
      <c r="I58" s="55"/>
      <c r="J58" s="108"/>
      <c r="K58" s="74"/>
      <c r="L58" s="70"/>
      <c r="M58" s="223">
        <v>459</v>
      </c>
      <c r="N58" s="223">
        <v>918</v>
      </c>
      <c r="O58" s="223">
        <v>918</v>
      </c>
      <c r="P58" s="266">
        <f>O58</f>
        <v>918</v>
      </c>
      <c r="Q58" s="256"/>
      <c r="R58" s="256"/>
      <c r="S58" s="25" t="str">
        <f t="shared" si="9"/>
        <v>0</v>
      </c>
      <c r="T58" s="28" t="s">
        <v>1111</v>
      </c>
      <c r="U58" s="28">
        <f t="shared" si="11"/>
        <v>15</v>
      </c>
      <c r="V58" s="99" t="str">
        <f t="shared" si="12"/>
        <v>VEDTATT</v>
      </c>
      <c r="W58" s="99">
        <f t="shared" si="13"/>
        <v>0</v>
      </c>
      <c r="X58" s="100"/>
      <c r="Y58" s="28"/>
    </row>
    <row r="59" spans="1:29" s="38" customFormat="1" ht="18.75" customHeight="1" x14ac:dyDescent="0.25">
      <c r="A59" s="45" t="s">
        <v>1107</v>
      </c>
      <c r="B59" s="45" t="str">
        <f t="shared" si="10"/>
        <v>S16</v>
      </c>
      <c r="C59" s="225" t="s">
        <v>1119</v>
      </c>
      <c r="D59" s="79" t="s">
        <v>1109</v>
      </c>
      <c r="E59" s="72" t="s">
        <v>1110</v>
      </c>
      <c r="F59" s="60" t="s">
        <v>84</v>
      </c>
      <c r="G59" s="25"/>
      <c r="H59" s="25"/>
      <c r="I59" s="55"/>
      <c r="J59" s="55"/>
      <c r="K59" s="74"/>
      <c r="L59" s="70"/>
      <c r="M59" s="70"/>
      <c r="N59" s="70"/>
      <c r="O59" s="70"/>
      <c r="P59" s="70"/>
      <c r="Q59" s="70"/>
      <c r="R59" s="70"/>
      <c r="S59" s="25">
        <f t="shared" si="9"/>
        <v>0</v>
      </c>
      <c r="T59" s="28" t="s">
        <v>1111</v>
      </c>
      <c r="U59" s="28">
        <f t="shared" si="11"/>
        <v>16</v>
      </c>
      <c r="V59" s="99" t="str">
        <f t="shared" si="12"/>
        <v>VEDTATT</v>
      </c>
      <c r="W59" s="99">
        <f t="shared" si="13"/>
        <v>0</v>
      </c>
      <c r="X59" s="102"/>
      <c r="Y59" s="28"/>
    </row>
    <row r="60" spans="1:29" s="38" customFormat="1" ht="18.75" customHeight="1" x14ac:dyDescent="0.25">
      <c r="A60" s="45" t="s">
        <v>1107</v>
      </c>
      <c r="B60" s="45" t="str">
        <f t="shared" si="10"/>
        <v>S17</v>
      </c>
      <c r="C60" s="225" t="s">
        <v>1119</v>
      </c>
      <c r="D60" s="71" t="s">
        <v>1112</v>
      </c>
      <c r="E60" s="72" t="s">
        <v>1110</v>
      </c>
      <c r="F60" s="60" t="s">
        <v>84</v>
      </c>
      <c r="G60" s="25"/>
      <c r="H60" s="25"/>
      <c r="I60" s="55"/>
      <c r="J60" s="55"/>
      <c r="K60" s="74"/>
      <c r="L60" s="70"/>
      <c r="M60" s="70"/>
      <c r="N60" s="70"/>
      <c r="O60" s="70"/>
      <c r="P60" s="70"/>
      <c r="Q60" s="70"/>
      <c r="R60" s="70"/>
      <c r="S60" s="25" t="str">
        <f t="shared" si="9"/>
        <v>0</v>
      </c>
      <c r="T60" s="28" t="s">
        <v>1111</v>
      </c>
      <c r="U60" s="28">
        <f t="shared" si="11"/>
        <v>17</v>
      </c>
      <c r="V60" s="99" t="str">
        <f t="shared" si="12"/>
        <v>VEDTATT</v>
      </c>
      <c r="W60" s="99">
        <f t="shared" si="13"/>
        <v>0</v>
      </c>
      <c r="X60" s="102"/>
      <c r="Y60" s="28"/>
    </row>
    <row r="61" spans="1:29" s="38" customFormat="1" ht="18.75" customHeight="1" x14ac:dyDescent="0.25">
      <c r="A61" s="45" t="s">
        <v>1107</v>
      </c>
      <c r="B61" s="45" t="str">
        <f t="shared" si="10"/>
        <v>S18</v>
      </c>
      <c r="C61" s="225" t="s">
        <v>1119</v>
      </c>
      <c r="D61" s="111" t="s">
        <v>1113</v>
      </c>
      <c r="E61" s="72" t="s">
        <v>1110</v>
      </c>
      <c r="F61" s="60" t="s">
        <v>84</v>
      </c>
      <c r="G61" s="25"/>
      <c r="H61" s="25"/>
      <c r="I61" s="55"/>
      <c r="J61" s="55"/>
      <c r="K61" s="74"/>
      <c r="L61" s="70"/>
      <c r="M61" s="70"/>
      <c r="N61" s="70"/>
      <c r="O61" s="70"/>
      <c r="P61" s="70"/>
      <c r="Q61" s="70"/>
      <c r="R61" s="70"/>
      <c r="S61" s="25" t="str">
        <f t="shared" si="9"/>
        <v>0</v>
      </c>
      <c r="T61" s="28" t="s">
        <v>1111</v>
      </c>
      <c r="U61" s="28">
        <f t="shared" si="11"/>
        <v>18</v>
      </c>
      <c r="V61" s="99" t="str">
        <f t="shared" si="12"/>
        <v>VEDTATT</v>
      </c>
      <c r="W61" s="99">
        <f t="shared" si="13"/>
        <v>0</v>
      </c>
      <c r="X61" s="102"/>
      <c r="Y61" s="28"/>
    </row>
    <row r="62" spans="1:29" s="38" customFormat="1" ht="18.75" customHeight="1" x14ac:dyDescent="0.25">
      <c r="A62" s="45" t="s">
        <v>1107</v>
      </c>
      <c r="B62" s="45" t="str">
        <f t="shared" si="10"/>
        <v>S19</v>
      </c>
      <c r="C62" s="225" t="s">
        <v>1120</v>
      </c>
      <c r="D62" s="111" t="s">
        <v>1109</v>
      </c>
      <c r="E62" s="72" t="s">
        <v>1110</v>
      </c>
      <c r="F62" s="60" t="s">
        <v>84</v>
      </c>
      <c r="G62" s="25"/>
      <c r="H62" s="25"/>
      <c r="I62" s="55"/>
      <c r="J62" s="55"/>
      <c r="K62" s="74"/>
      <c r="L62" s="70"/>
      <c r="M62" s="70"/>
      <c r="N62" s="70"/>
      <c r="O62" s="70"/>
      <c r="P62" s="70"/>
      <c r="Q62" s="70"/>
      <c r="R62" s="70"/>
      <c r="S62" s="25">
        <f t="shared" si="9"/>
        <v>0</v>
      </c>
      <c r="T62" s="28" t="s">
        <v>1111</v>
      </c>
      <c r="U62" s="28">
        <f t="shared" si="11"/>
        <v>19</v>
      </c>
      <c r="V62" s="99" t="str">
        <f t="shared" si="12"/>
        <v>VEDTATT</v>
      </c>
      <c r="W62" s="99">
        <f t="shared" si="13"/>
        <v>0</v>
      </c>
      <c r="X62" s="102"/>
      <c r="Y62" s="28"/>
    </row>
    <row r="63" spans="1:29" s="38" customFormat="1" ht="18.75" customHeight="1" x14ac:dyDescent="0.25">
      <c r="A63" s="45" t="s">
        <v>1107</v>
      </c>
      <c r="B63" s="45" t="str">
        <f t="shared" si="10"/>
        <v>S20</v>
      </c>
      <c r="C63" s="225" t="s">
        <v>1120</v>
      </c>
      <c r="D63" s="111" t="s">
        <v>1112</v>
      </c>
      <c r="E63" s="72" t="s">
        <v>1110</v>
      </c>
      <c r="F63" s="60" t="s">
        <v>84</v>
      </c>
      <c r="G63" s="25"/>
      <c r="H63" s="25"/>
      <c r="I63" s="55"/>
      <c r="J63" s="55"/>
      <c r="K63" s="74"/>
      <c r="L63" s="70"/>
      <c r="M63" s="70"/>
      <c r="N63" s="70"/>
      <c r="O63" s="70"/>
      <c r="P63" s="70"/>
      <c r="Q63" s="70"/>
      <c r="R63" s="70"/>
      <c r="S63" s="25" t="str">
        <f t="shared" si="9"/>
        <v>0</v>
      </c>
      <c r="T63" s="28" t="s">
        <v>1111</v>
      </c>
      <c r="U63" s="28">
        <f t="shared" si="11"/>
        <v>20</v>
      </c>
      <c r="V63" s="99"/>
      <c r="W63" s="99"/>
      <c r="X63" s="102"/>
      <c r="Y63" s="28"/>
    </row>
    <row r="64" spans="1:29" s="38" customFormat="1" ht="18.75" customHeight="1" x14ac:dyDescent="0.25">
      <c r="A64" s="45" t="s">
        <v>1107</v>
      </c>
      <c r="B64" s="45" t="str">
        <f t="shared" si="10"/>
        <v>S21</v>
      </c>
      <c r="C64" s="225" t="s">
        <v>1120</v>
      </c>
      <c r="D64" s="111" t="s">
        <v>1113</v>
      </c>
      <c r="E64" s="72" t="s">
        <v>1110</v>
      </c>
      <c r="F64" s="60" t="s">
        <v>84</v>
      </c>
      <c r="G64" s="25"/>
      <c r="H64" s="25"/>
      <c r="I64" s="55"/>
      <c r="J64" s="55"/>
      <c r="K64" s="74"/>
      <c r="L64" s="70"/>
      <c r="M64" s="70"/>
      <c r="N64" s="70"/>
      <c r="O64" s="70"/>
      <c r="P64" s="70"/>
      <c r="Q64" s="70"/>
      <c r="R64" s="70"/>
      <c r="S64" s="25"/>
      <c r="T64" s="28" t="s">
        <v>1111</v>
      </c>
      <c r="U64" s="28">
        <f t="shared" si="11"/>
        <v>21</v>
      </c>
      <c r="V64" s="99"/>
      <c r="W64" s="99"/>
      <c r="X64" s="102"/>
      <c r="Y64" s="28"/>
    </row>
    <row r="65" spans="1:25" s="444" customFormat="1" ht="18.75" customHeight="1" x14ac:dyDescent="0.25">
      <c r="A65" s="433" t="s">
        <v>1107</v>
      </c>
      <c r="B65" s="433" t="str">
        <f t="shared" si="10"/>
        <v>S22</v>
      </c>
      <c r="C65" s="434" t="s">
        <v>1121</v>
      </c>
      <c r="D65" s="447" t="s">
        <v>1109</v>
      </c>
      <c r="E65" s="436" t="s">
        <v>1110</v>
      </c>
      <c r="F65" s="435" t="s">
        <v>84</v>
      </c>
      <c r="G65" s="437"/>
      <c r="H65" s="437"/>
      <c r="I65" s="438"/>
      <c r="J65" s="438"/>
      <c r="K65" s="438"/>
      <c r="L65" s="439"/>
      <c r="M65" s="448"/>
      <c r="N65" s="441">
        <v>3428</v>
      </c>
      <c r="O65" s="441">
        <v>7054</v>
      </c>
      <c r="P65" s="442">
        <f t="shared" ref="P65:P88" si="14">O65</f>
        <v>7054</v>
      </c>
      <c r="Q65" s="443"/>
      <c r="R65" s="443"/>
      <c r="S65" s="437">
        <f>IF(D65="INTERNHUSLEIE",K65,"0")</f>
        <v>0</v>
      </c>
      <c r="T65" s="444" t="s">
        <v>1111</v>
      </c>
      <c r="U65" s="444">
        <f t="shared" si="11"/>
        <v>22</v>
      </c>
      <c r="V65" s="445"/>
      <c r="W65" s="445"/>
      <c r="X65" s="446"/>
    </row>
    <row r="66" spans="1:25" s="444" customFormat="1" ht="18.75" customHeight="1" x14ac:dyDescent="0.25">
      <c r="A66" s="433" t="s">
        <v>1107</v>
      </c>
      <c r="B66" s="433" t="str">
        <f t="shared" si="10"/>
        <v>S23</v>
      </c>
      <c r="C66" s="434" t="s">
        <v>1121</v>
      </c>
      <c r="D66" s="447" t="s">
        <v>1112</v>
      </c>
      <c r="E66" s="436" t="s">
        <v>1110</v>
      </c>
      <c r="F66" s="435" t="s">
        <v>84</v>
      </c>
      <c r="G66" s="437"/>
      <c r="H66" s="437"/>
      <c r="I66" s="438"/>
      <c r="J66" s="438"/>
      <c r="K66" s="438"/>
      <c r="L66" s="439"/>
      <c r="M66" s="448"/>
      <c r="N66" s="441">
        <v>420</v>
      </c>
      <c r="O66" s="441">
        <v>842</v>
      </c>
      <c r="P66" s="442">
        <f t="shared" si="14"/>
        <v>842</v>
      </c>
      <c r="Q66" s="443"/>
      <c r="R66" s="443"/>
      <c r="S66" s="437" t="str">
        <f>IF(D66="INTERNHUSLEIE",K66,"0")</f>
        <v>0</v>
      </c>
      <c r="T66" s="444" t="s">
        <v>1111</v>
      </c>
      <c r="U66" s="444">
        <f t="shared" si="11"/>
        <v>23</v>
      </c>
      <c r="V66" s="445"/>
      <c r="W66" s="445"/>
      <c r="X66" s="446"/>
    </row>
    <row r="67" spans="1:25" s="444" customFormat="1" ht="18.75" customHeight="1" x14ac:dyDescent="0.25">
      <c r="A67" s="433" t="s">
        <v>1107</v>
      </c>
      <c r="B67" s="433" t="str">
        <f t="shared" si="10"/>
        <v>S24</v>
      </c>
      <c r="C67" s="434" t="s">
        <v>1121</v>
      </c>
      <c r="D67" s="447" t="s">
        <v>1113</v>
      </c>
      <c r="E67" s="436" t="s">
        <v>1110</v>
      </c>
      <c r="F67" s="435" t="s">
        <v>84</v>
      </c>
      <c r="G67" s="437"/>
      <c r="H67" s="437"/>
      <c r="I67" s="438"/>
      <c r="J67" s="438"/>
      <c r="K67" s="438"/>
      <c r="L67" s="439"/>
      <c r="M67" s="448"/>
      <c r="N67" s="441">
        <v>210</v>
      </c>
      <c r="O67" s="441">
        <v>421</v>
      </c>
      <c r="P67" s="442">
        <f t="shared" si="14"/>
        <v>421</v>
      </c>
      <c r="Q67" s="443"/>
      <c r="R67" s="443"/>
      <c r="S67" s="437" t="str">
        <f>IF(D67="INTERNHUSLEIE",K67,"0")</f>
        <v>0</v>
      </c>
      <c r="T67" s="444" t="s">
        <v>1111</v>
      </c>
      <c r="U67" s="444">
        <f t="shared" si="11"/>
        <v>24</v>
      </c>
      <c r="V67" s="445" t="str">
        <f>IF(F67="VEDTATT","VEDTATT",0)</f>
        <v>VEDTATT</v>
      </c>
      <c r="W67" s="445">
        <f>IF(F67="MÅ","Nye tiltak",0)</f>
        <v>0</v>
      </c>
      <c r="X67" s="446"/>
    </row>
    <row r="68" spans="1:25" s="38" customFormat="1" ht="18.75" customHeight="1" x14ac:dyDescent="0.25">
      <c r="A68" s="45" t="s">
        <v>1107</v>
      </c>
      <c r="B68" s="45" t="str">
        <f t="shared" si="10"/>
        <v>S25</v>
      </c>
      <c r="C68" s="76" t="s">
        <v>1122</v>
      </c>
      <c r="D68" s="111" t="s">
        <v>1109</v>
      </c>
      <c r="E68" s="72" t="s">
        <v>1110</v>
      </c>
      <c r="F68" s="60" t="s">
        <v>84</v>
      </c>
      <c r="G68" s="25"/>
      <c r="H68" s="25"/>
      <c r="I68" s="55"/>
      <c r="J68" s="55"/>
      <c r="K68" s="74"/>
      <c r="L68" s="70"/>
      <c r="M68" s="223"/>
      <c r="N68" s="223">
        <v>-216</v>
      </c>
      <c r="O68" s="223">
        <v>-432</v>
      </c>
      <c r="P68" s="266">
        <f t="shared" si="14"/>
        <v>-432</v>
      </c>
      <c r="Q68" s="256"/>
      <c r="R68" s="256"/>
      <c r="S68" s="25">
        <f>IF(D68="INTERNHUSLEIE",K68,"0")</f>
        <v>0</v>
      </c>
      <c r="T68" s="28" t="s">
        <v>1111</v>
      </c>
      <c r="U68" s="28">
        <f t="shared" si="11"/>
        <v>25</v>
      </c>
      <c r="V68" s="99" t="str">
        <f>IF(F68="VEDTATT","VEDTATT",0)</f>
        <v>VEDTATT</v>
      </c>
      <c r="W68" s="99">
        <f>IF(F68="MÅ","Nye tiltak",0)</f>
        <v>0</v>
      </c>
      <c r="X68" s="102"/>
      <c r="Y68" s="28"/>
    </row>
    <row r="69" spans="1:25" s="38" customFormat="1" ht="18.75" customHeight="1" x14ac:dyDescent="0.25">
      <c r="A69" s="45" t="s">
        <v>1107</v>
      </c>
      <c r="B69" s="45" t="str">
        <f>IF(U69,T69&amp;U69,"")</f>
        <v>S26</v>
      </c>
      <c r="C69" s="76" t="s">
        <v>1122</v>
      </c>
      <c r="D69" s="111" t="s">
        <v>1112</v>
      </c>
      <c r="E69" s="72" t="s">
        <v>1110</v>
      </c>
      <c r="F69" s="60" t="s">
        <v>84</v>
      </c>
      <c r="G69" s="25"/>
      <c r="H69" s="25"/>
      <c r="I69" s="55"/>
      <c r="J69" s="55"/>
      <c r="K69" s="74"/>
      <c r="L69" s="70"/>
      <c r="M69" s="223"/>
      <c r="N69" s="223">
        <v>-300</v>
      </c>
      <c r="O69" s="223">
        <v>-600</v>
      </c>
      <c r="P69" s="266">
        <f t="shared" si="14"/>
        <v>-600</v>
      </c>
      <c r="Q69" s="256"/>
      <c r="R69" s="256"/>
      <c r="S69" s="25" t="str">
        <f>IF(D69="INTERNHUSLEIE",K69,"0")</f>
        <v>0</v>
      </c>
      <c r="T69" s="28" t="s">
        <v>1111</v>
      </c>
      <c r="U69" s="28">
        <f t="shared" si="11"/>
        <v>26</v>
      </c>
      <c r="V69" s="99" t="str">
        <f>IF(F69="VEDTATT","VEDTATT",0)</f>
        <v>VEDTATT</v>
      </c>
      <c r="W69" s="99">
        <f>IF(F69="MÅ","Nye tiltak",0)</f>
        <v>0</v>
      </c>
      <c r="X69" s="102"/>
      <c r="Y69" s="28"/>
    </row>
    <row r="70" spans="1:25" s="38" customFormat="1" ht="18.75" customHeight="1" x14ac:dyDescent="0.25">
      <c r="A70" s="45" t="s">
        <v>1107</v>
      </c>
      <c r="B70" s="45" t="str">
        <f t="shared" si="10"/>
        <v>S27</v>
      </c>
      <c r="C70" s="76" t="s">
        <v>1122</v>
      </c>
      <c r="D70" s="111" t="s">
        <v>1113</v>
      </c>
      <c r="E70" s="72" t="s">
        <v>1110</v>
      </c>
      <c r="F70" s="60" t="s">
        <v>84</v>
      </c>
      <c r="G70" s="25"/>
      <c r="H70" s="25"/>
      <c r="I70" s="55"/>
      <c r="J70" s="55"/>
      <c r="K70" s="74"/>
      <c r="L70" s="70"/>
      <c r="M70" s="223"/>
      <c r="N70" s="223">
        <v>-179</v>
      </c>
      <c r="O70" s="223">
        <v>-358</v>
      </c>
      <c r="P70" s="266">
        <f t="shared" si="14"/>
        <v>-358</v>
      </c>
      <c r="Q70" s="256"/>
      <c r="R70" s="256"/>
      <c r="S70" s="25"/>
      <c r="T70" s="28" t="s">
        <v>1111</v>
      </c>
      <c r="U70" s="28">
        <f t="shared" si="11"/>
        <v>27</v>
      </c>
      <c r="V70" s="99"/>
      <c r="W70" s="99"/>
      <c r="X70" s="102"/>
      <c r="Y70" s="28"/>
    </row>
    <row r="71" spans="1:25" s="444" customFormat="1" ht="18.75" customHeight="1" x14ac:dyDescent="0.25">
      <c r="A71" s="433" t="s">
        <v>1107</v>
      </c>
      <c r="B71" s="433" t="str">
        <f t="shared" si="10"/>
        <v>S28</v>
      </c>
      <c r="C71" s="434" t="s">
        <v>1123</v>
      </c>
      <c r="D71" s="435" t="s">
        <v>1109</v>
      </c>
      <c r="E71" s="436" t="s">
        <v>1110</v>
      </c>
      <c r="F71" s="435" t="s">
        <v>84</v>
      </c>
      <c r="G71" s="437"/>
      <c r="H71" s="437"/>
      <c r="I71" s="438"/>
      <c r="J71" s="438"/>
      <c r="K71" s="438"/>
      <c r="L71" s="439"/>
      <c r="M71" s="441"/>
      <c r="N71" s="441"/>
      <c r="O71" s="441">
        <v>1507</v>
      </c>
      <c r="P71" s="442">
        <f t="shared" si="14"/>
        <v>1507</v>
      </c>
      <c r="Q71" s="443"/>
      <c r="R71" s="443"/>
      <c r="S71" s="437"/>
      <c r="T71" s="444" t="s">
        <v>1111</v>
      </c>
      <c r="U71" s="444">
        <f t="shared" si="11"/>
        <v>28</v>
      </c>
      <c r="V71" s="445"/>
      <c r="W71" s="445"/>
      <c r="X71" s="446"/>
    </row>
    <row r="72" spans="1:25" s="444" customFormat="1" ht="18.75" customHeight="1" x14ac:dyDescent="0.25">
      <c r="A72" s="433" t="s">
        <v>1107</v>
      </c>
      <c r="B72" s="433" t="str">
        <f t="shared" si="10"/>
        <v>S29</v>
      </c>
      <c r="C72" s="434" t="s">
        <v>1123</v>
      </c>
      <c r="D72" s="435" t="s">
        <v>1112</v>
      </c>
      <c r="E72" s="436" t="s">
        <v>1110</v>
      </c>
      <c r="F72" s="435" t="s">
        <v>84</v>
      </c>
      <c r="G72" s="437"/>
      <c r="H72" s="437"/>
      <c r="I72" s="438"/>
      <c r="J72" s="438"/>
      <c r="K72" s="438"/>
      <c r="L72" s="439"/>
      <c r="M72" s="441"/>
      <c r="N72" s="441"/>
      <c r="O72" s="441">
        <v>140</v>
      </c>
      <c r="P72" s="442">
        <f t="shared" si="14"/>
        <v>140</v>
      </c>
      <c r="Q72" s="443"/>
      <c r="R72" s="443"/>
      <c r="S72" s="437"/>
      <c r="T72" s="444" t="s">
        <v>1111</v>
      </c>
      <c r="U72" s="444">
        <f t="shared" si="11"/>
        <v>29</v>
      </c>
      <c r="V72" s="445"/>
      <c r="W72" s="445"/>
      <c r="X72" s="446"/>
    </row>
    <row r="73" spans="1:25" s="444" customFormat="1" ht="18.75" customHeight="1" x14ac:dyDescent="0.25">
      <c r="A73" s="433" t="s">
        <v>1107</v>
      </c>
      <c r="B73" s="433" t="str">
        <f t="shared" si="10"/>
        <v>S30</v>
      </c>
      <c r="C73" s="434" t="s">
        <v>1123</v>
      </c>
      <c r="D73" s="435" t="s">
        <v>1113</v>
      </c>
      <c r="E73" s="436" t="s">
        <v>1110</v>
      </c>
      <c r="F73" s="435" t="s">
        <v>84</v>
      </c>
      <c r="G73" s="437"/>
      <c r="H73" s="437"/>
      <c r="I73" s="438"/>
      <c r="J73" s="438"/>
      <c r="K73" s="438"/>
      <c r="L73" s="439"/>
      <c r="M73" s="441"/>
      <c r="N73" s="441"/>
      <c r="O73" s="441">
        <v>143</v>
      </c>
      <c r="P73" s="442">
        <f t="shared" si="14"/>
        <v>143</v>
      </c>
      <c r="Q73" s="443"/>
      <c r="R73" s="443"/>
      <c r="S73" s="437"/>
      <c r="T73" s="444" t="s">
        <v>1111</v>
      </c>
      <c r="U73" s="444">
        <f t="shared" si="11"/>
        <v>30</v>
      </c>
      <c r="V73" s="445"/>
      <c r="W73" s="445"/>
      <c r="X73" s="446"/>
    </row>
    <row r="74" spans="1:25" s="444" customFormat="1" ht="18.75" customHeight="1" x14ac:dyDescent="0.25">
      <c r="A74" s="433" t="s">
        <v>1107</v>
      </c>
      <c r="B74" s="433" t="str">
        <f t="shared" si="10"/>
        <v>S31</v>
      </c>
      <c r="C74" s="434" t="s">
        <v>1124</v>
      </c>
      <c r="D74" s="435" t="s">
        <v>1109</v>
      </c>
      <c r="E74" s="436" t="s">
        <v>1110</v>
      </c>
      <c r="F74" s="435" t="s">
        <v>84</v>
      </c>
      <c r="G74" s="437"/>
      <c r="H74" s="437"/>
      <c r="I74" s="438"/>
      <c r="J74" s="438"/>
      <c r="K74" s="438"/>
      <c r="L74" s="439"/>
      <c r="M74" s="440"/>
      <c r="N74" s="441">
        <v>2417</v>
      </c>
      <c r="O74" s="441">
        <v>5800</v>
      </c>
      <c r="P74" s="442">
        <f t="shared" si="14"/>
        <v>5800</v>
      </c>
      <c r="Q74" s="443"/>
      <c r="R74" s="443"/>
      <c r="S74" s="437"/>
      <c r="T74" s="444" t="s">
        <v>1111</v>
      </c>
      <c r="U74" s="444">
        <f t="shared" si="11"/>
        <v>31</v>
      </c>
      <c r="V74" s="445"/>
      <c r="W74" s="445"/>
      <c r="X74" s="446"/>
    </row>
    <row r="75" spans="1:25" s="444" customFormat="1" ht="18.75" customHeight="1" x14ac:dyDescent="0.25">
      <c r="A75" s="433" t="s">
        <v>1107</v>
      </c>
      <c r="B75" s="433" t="str">
        <f t="shared" si="10"/>
        <v>S32</v>
      </c>
      <c r="C75" s="434" t="s">
        <v>1124</v>
      </c>
      <c r="D75" s="435" t="s">
        <v>1112</v>
      </c>
      <c r="E75" s="436" t="s">
        <v>1110</v>
      </c>
      <c r="F75" s="435" t="s">
        <v>84</v>
      </c>
      <c r="G75" s="437"/>
      <c r="H75" s="437"/>
      <c r="I75" s="438"/>
      <c r="J75" s="438"/>
      <c r="K75" s="438"/>
      <c r="L75" s="439"/>
      <c r="M75" s="440"/>
      <c r="N75" s="441">
        <v>161</v>
      </c>
      <c r="O75" s="441">
        <v>386</v>
      </c>
      <c r="P75" s="442">
        <f t="shared" si="14"/>
        <v>386</v>
      </c>
      <c r="Q75" s="443"/>
      <c r="R75" s="443"/>
      <c r="S75" s="437"/>
      <c r="T75" s="444" t="s">
        <v>1111</v>
      </c>
      <c r="U75" s="444">
        <f t="shared" si="11"/>
        <v>32</v>
      </c>
      <c r="V75" s="445"/>
      <c r="W75" s="445"/>
      <c r="X75" s="446"/>
    </row>
    <row r="76" spans="1:25" s="444" customFormat="1" ht="18.75" customHeight="1" x14ac:dyDescent="0.25">
      <c r="A76" s="433" t="s">
        <v>1107</v>
      </c>
      <c r="B76" s="433" t="str">
        <f t="shared" si="10"/>
        <v>S33</v>
      </c>
      <c r="C76" s="434" t="s">
        <v>1124</v>
      </c>
      <c r="D76" s="435" t="s">
        <v>1113</v>
      </c>
      <c r="E76" s="436" t="s">
        <v>1110</v>
      </c>
      <c r="F76" s="435" t="s">
        <v>84</v>
      </c>
      <c r="G76" s="437"/>
      <c r="H76" s="437"/>
      <c r="I76" s="438"/>
      <c r="J76" s="438"/>
      <c r="K76" s="438"/>
      <c r="L76" s="439"/>
      <c r="M76" s="440"/>
      <c r="N76" s="441">
        <v>80</v>
      </c>
      <c r="O76" s="441">
        <v>193</v>
      </c>
      <c r="P76" s="442">
        <f t="shared" si="14"/>
        <v>193</v>
      </c>
      <c r="Q76" s="443"/>
      <c r="R76" s="443"/>
      <c r="S76" s="437"/>
      <c r="T76" s="444" t="s">
        <v>1111</v>
      </c>
      <c r="U76" s="444">
        <f t="shared" si="11"/>
        <v>33</v>
      </c>
      <c r="V76" s="445"/>
      <c r="W76" s="445"/>
      <c r="X76" s="446"/>
    </row>
    <row r="77" spans="1:25" s="38" customFormat="1" ht="18.75" customHeight="1" x14ac:dyDescent="0.25">
      <c r="A77" s="45" t="s">
        <v>1107</v>
      </c>
      <c r="B77" s="45" t="str">
        <f t="shared" si="10"/>
        <v>S34</v>
      </c>
      <c r="C77" s="76" t="s">
        <v>1125</v>
      </c>
      <c r="D77" s="79" t="s">
        <v>1109</v>
      </c>
      <c r="E77" s="72" t="s">
        <v>1110</v>
      </c>
      <c r="F77" s="60" t="s">
        <v>84</v>
      </c>
      <c r="G77" s="25"/>
      <c r="H77" s="25"/>
      <c r="I77" s="55"/>
      <c r="J77" s="55"/>
      <c r="K77" s="74"/>
      <c r="L77" s="70"/>
      <c r="M77" s="184"/>
      <c r="N77" s="223">
        <v>-180</v>
      </c>
      <c r="O77" s="223">
        <v>-360</v>
      </c>
      <c r="P77" s="266">
        <f t="shared" si="14"/>
        <v>-360</v>
      </c>
      <c r="Q77" s="256"/>
      <c r="R77" s="256"/>
      <c r="S77" s="25"/>
      <c r="T77" s="28" t="s">
        <v>1111</v>
      </c>
      <c r="U77" s="28">
        <f t="shared" si="11"/>
        <v>34</v>
      </c>
      <c r="V77" s="99"/>
      <c r="W77" s="99"/>
      <c r="X77" s="102"/>
      <c r="Y77" s="28"/>
    </row>
    <row r="78" spans="1:25" s="38" customFormat="1" ht="18.75" customHeight="1" x14ac:dyDescent="0.25">
      <c r="A78" s="45" t="s">
        <v>1107</v>
      </c>
      <c r="B78" s="45" t="str">
        <f t="shared" si="10"/>
        <v>S35</v>
      </c>
      <c r="C78" s="76" t="s">
        <v>1125</v>
      </c>
      <c r="D78" s="79" t="s">
        <v>1112</v>
      </c>
      <c r="E78" s="72" t="s">
        <v>1110</v>
      </c>
      <c r="F78" s="60" t="s">
        <v>84</v>
      </c>
      <c r="G78" s="25"/>
      <c r="H78" s="25"/>
      <c r="I78" s="55"/>
      <c r="J78" s="55"/>
      <c r="K78" s="74"/>
      <c r="L78" s="70"/>
      <c r="M78" s="184"/>
      <c r="N78" s="223">
        <v>-253</v>
      </c>
      <c r="O78" s="223">
        <v>-506</v>
      </c>
      <c r="P78" s="266">
        <f t="shared" si="14"/>
        <v>-506</v>
      </c>
      <c r="Q78" s="256"/>
      <c r="R78" s="256"/>
      <c r="S78" s="25"/>
      <c r="T78" s="28" t="s">
        <v>1111</v>
      </c>
      <c r="U78" s="28">
        <f t="shared" si="11"/>
        <v>35</v>
      </c>
      <c r="V78" s="99"/>
      <c r="W78" s="99"/>
      <c r="X78" s="102"/>
      <c r="Y78" s="28"/>
    </row>
    <row r="79" spans="1:25" s="38" customFormat="1" ht="18.75" customHeight="1" x14ac:dyDescent="0.25">
      <c r="A79" s="45" t="s">
        <v>1107</v>
      </c>
      <c r="B79" s="45" t="str">
        <f t="shared" si="10"/>
        <v>S36</v>
      </c>
      <c r="C79" s="76" t="s">
        <v>1125</v>
      </c>
      <c r="D79" s="79" t="s">
        <v>1113</v>
      </c>
      <c r="E79" s="72" t="s">
        <v>1110</v>
      </c>
      <c r="F79" s="60" t="s">
        <v>84</v>
      </c>
      <c r="G79" s="25"/>
      <c r="H79" s="25"/>
      <c r="I79" s="55"/>
      <c r="J79" s="55"/>
      <c r="K79" s="74"/>
      <c r="L79" s="70"/>
      <c r="M79" s="184"/>
      <c r="N79" s="223">
        <v>-151</v>
      </c>
      <c r="O79" s="223">
        <v>-302</v>
      </c>
      <c r="P79" s="266">
        <f t="shared" si="14"/>
        <v>-302</v>
      </c>
      <c r="Q79" s="256"/>
      <c r="R79" s="256"/>
      <c r="S79" s="25"/>
      <c r="T79" s="28" t="s">
        <v>1111</v>
      </c>
      <c r="U79" s="28">
        <f t="shared" si="11"/>
        <v>36</v>
      </c>
      <c r="V79" s="99"/>
      <c r="W79" s="99"/>
      <c r="X79" s="102"/>
      <c r="Y79" s="28"/>
    </row>
    <row r="80" spans="1:25" s="444" customFormat="1" ht="18.75" customHeight="1" x14ac:dyDescent="0.25">
      <c r="A80" s="433" t="s">
        <v>1107</v>
      </c>
      <c r="B80" s="433" t="str">
        <f t="shared" si="10"/>
        <v>S37</v>
      </c>
      <c r="C80" s="434" t="s">
        <v>1126</v>
      </c>
      <c r="D80" s="435" t="s">
        <v>1109</v>
      </c>
      <c r="E80" s="436" t="s">
        <v>1110</v>
      </c>
      <c r="F80" s="435" t="s">
        <v>84</v>
      </c>
      <c r="G80" s="437"/>
      <c r="H80" s="437"/>
      <c r="I80" s="438"/>
      <c r="J80" s="438"/>
      <c r="K80" s="438"/>
      <c r="L80" s="439"/>
      <c r="M80" s="449"/>
      <c r="N80" s="441">
        <v>5824</v>
      </c>
      <c r="O80" s="441">
        <v>13979</v>
      </c>
      <c r="P80" s="442">
        <f t="shared" si="14"/>
        <v>13979</v>
      </c>
      <c r="Q80" s="443"/>
      <c r="R80" s="443"/>
      <c r="S80" s="437"/>
      <c r="T80" s="444" t="s">
        <v>1111</v>
      </c>
      <c r="U80" s="444">
        <f t="shared" si="11"/>
        <v>37</v>
      </c>
      <c r="V80" s="445"/>
      <c r="W80" s="445"/>
      <c r="X80" s="446"/>
    </row>
    <row r="81" spans="1:61" s="444" customFormat="1" ht="18.75" customHeight="1" x14ac:dyDescent="0.25">
      <c r="A81" s="433" t="s">
        <v>1107</v>
      </c>
      <c r="B81" s="433" t="str">
        <f t="shared" si="10"/>
        <v>S38</v>
      </c>
      <c r="C81" s="434" t="s">
        <v>1126</v>
      </c>
      <c r="D81" s="450" t="s">
        <v>1112</v>
      </c>
      <c r="E81" s="436" t="s">
        <v>1110</v>
      </c>
      <c r="F81" s="435" t="s">
        <v>84</v>
      </c>
      <c r="G81" s="437"/>
      <c r="H81" s="437"/>
      <c r="I81" s="438"/>
      <c r="J81" s="438"/>
      <c r="K81" s="438"/>
      <c r="L81" s="439"/>
      <c r="M81" s="449"/>
      <c r="N81" s="441">
        <v>540</v>
      </c>
      <c r="O81" s="441">
        <v>1080</v>
      </c>
      <c r="P81" s="442">
        <f t="shared" si="14"/>
        <v>1080</v>
      </c>
      <c r="Q81" s="443"/>
      <c r="R81" s="443"/>
      <c r="S81" s="437"/>
      <c r="T81" s="444" t="s">
        <v>1111</v>
      </c>
      <c r="U81" s="444">
        <f t="shared" si="11"/>
        <v>38</v>
      </c>
      <c r="V81" s="445"/>
      <c r="W81" s="445"/>
      <c r="X81" s="446"/>
    </row>
    <row r="82" spans="1:61" s="444" customFormat="1" ht="18.75" customHeight="1" x14ac:dyDescent="0.25">
      <c r="A82" s="433" t="s">
        <v>1107</v>
      </c>
      <c r="B82" s="433" t="str">
        <f t="shared" si="10"/>
        <v>S39</v>
      </c>
      <c r="C82" s="434" t="s">
        <v>1126</v>
      </c>
      <c r="D82" s="447" t="s">
        <v>1113</v>
      </c>
      <c r="E82" s="436" t="s">
        <v>1110</v>
      </c>
      <c r="F82" s="435" t="s">
        <v>84</v>
      </c>
      <c r="G82" s="437"/>
      <c r="H82" s="437"/>
      <c r="I82" s="438"/>
      <c r="J82" s="438"/>
      <c r="K82" s="438"/>
      <c r="L82" s="439"/>
      <c r="M82" s="449"/>
      <c r="N82" s="441">
        <v>270</v>
      </c>
      <c r="O82" s="441">
        <v>540</v>
      </c>
      <c r="P82" s="442">
        <f t="shared" si="14"/>
        <v>540</v>
      </c>
      <c r="Q82" s="443"/>
      <c r="R82" s="443"/>
      <c r="S82" s="437"/>
      <c r="T82" s="444" t="s">
        <v>1111</v>
      </c>
      <c r="U82" s="444">
        <f t="shared" si="11"/>
        <v>39</v>
      </c>
      <c r="V82" s="445"/>
      <c r="W82" s="445"/>
      <c r="X82" s="446"/>
    </row>
    <row r="83" spans="1:61" s="444" customFormat="1" ht="18.75" customHeight="1" x14ac:dyDescent="0.25">
      <c r="A83" s="433" t="s">
        <v>1107</v>
      </c>
      <c r="B83" s="433" t="str">
        <f t="shared" si="10"/>
        <v>S40</v>
      </c>
      <c r="C83" s="434" t="s">
        <v>1127</v>
      </c>
      <c r="D83" s="447" t="s">
        <v>1109</v>
      </c>
      <c r="E83" s="436" t="s">
        <v>1110</v>
      </c>
      <c r="F83" s="435" t="s">
        <v>84</v>
      </c>
      <c r="G83" s="437"/>
      <c r="H83" s="437"/>
      <c r="I83" s="438"/>
      <c r="J83" s="438"/>
      <c r="K83" s="438"/>
      <c r="L83" s="439"/>
      <c r="M83" s="449"/>
      <c r="N83" s="441">
        <v>1384</v>
      </c>
      <c r="O83" s="441">
        <v>3321</v>
      </c>
      <c r="P83" s="442">
        <f t="shared" si="14"/>
        <v>3321</v>
      </c>
      <c r="Q83" s="443"/>
      <c r="R83" s="443"/>
      <c r="S83" s="437"/>
      <c r="T83" s="444" t="s">
        <v>1111</v>
      </c>
      <c r="U83" s="444">
        <f t="shared" si="11"/>
        <v>40</v>
      </c>
      <c r="V83" s="445"/>
      <c r="W83" s="445"/>
      <c r="X83" s="446"/>
    </row>
    <row r="84" spans="1:61" s="444" customFormat="1" ht="18.75" customHeight="1" x14ac:dyDescent="0.25">
      <c r="A84" s="433" t="s">
        <v>1107</v>
      </c>
      <c r="B84" s="433" t="str">
        <f t="shared" si="10"/>
        <v>S41</v>
      </c>
      <c r="C84" s="434" t="s">
        <v>1127</v>
      </c>
      <c r="D84" s="447" t="s">
        <v>1112</v>
      </c>
      <c r="E84" s="436" t="s">
        <v>1110</v>
      </c>
      <c r="F84" s="435" t="s">
        <v>84</v>
      </c>
      <c r="G84" s="437"/>
      <c r="H84" s="437"/>
      <c r="I84" s="438"/>
      <c r="J84" s="438"/>
      <c r="K84" s="438"/>
      <c r="L84" s="439"/>
      <c r="M84" s="449"/>
      <c r="N84" s="441">
        <v>284</v>
      </c>
      <c r="O84" s="441">
        <v>567</v>
      </c>
      <c r="P84" s="442">
        <f t="shared" si="14"/>
        <v>567</v>
      </c>
      <c r="Q84" s="443"/>
      <c r="R84" s="443"/>
      <c r="S84" s="437"/>
      <c r="T84" s="444" t="s">
        <v>1111</v>
      </c>
      <c r="U84" s="444">
        <f t="shared" si="11"/>
        <v>41</v>
      </c>
      <c r="V84" s="445"/>
      <c r="W84" s="445"/>
      <c r="X84" s="446"/>
    </row>
    <row r="85" spans="1:61" s="444" customFormat="1" ht="18.75" customHeight="1" x14ac:dyDescent="0.25">
      <c r="A85" s="433" t="s">
        <v>1107</v>
      </c>
      <c r="B85" s="433" t="str">
        <f t="shared" si="10"/>
        <v>S42</v>
      </c>
      <c r="C85" s="434" t="s">
        <v>1127</v>
      </c>
      <c r="D85" s="447" t="s">
        <v>1113</v>
      </c>
      <c r="E85" s="436" t="s">
        <v>1110</v>
      </c>
      <c r="F85" s="435" t="s">
        <v>84</v>
      </c>
      <c r="G85" s="437"/>
      <c r="H85" s="437"/>
      <c r="I85" s="438"/>
      <c r="J85" s="438"/>
      <c r="K85" s="438"/>
      <c r="L85" s="439"/>
      <c r="M85" s="449"/>
      <c r="N85" s="441">
        <v>142</v>
      </c>
      <c r="O85" s="441">
        <v>284</v>
      </c>
      <c r="P85" s="442">
        <f t="shared" si="14"/>
        <v>284</v>
      </c>
      <c r="Q85" s="443"/>
      <c r="R85" s="443"/>
      <c r="S85" s="437"/>
      <c r="T85" s="444" t="s">
        <v>1111</v>
      </c>
      <c r="U85" s="444">
        <f t="shared" si="11"/>
        <v>42</v>
      </c>
      <c r="V85" s="445"/>
      <c r="W85" s="445"/>
      <c r="X85" s="446"/>
    </row>
    <row r="86" spans="1:61" s="38" customFormat="1" ht="18.75" customHeight="1" x14ac:dyDescent="0.25">
      <c r="A86" s="45" t="s">
        <v>1107</v>
      </c>
      <c r="B86" s="45" t="str">
        <f t="shared" si="10"/>
        <v>S43</v>
      </c>
      <c r="C86" s="225" t="s">
        <v>1128</v>
      </c>
      <c r="D86" s="180" t="s">
        <v>1109</v>
      </c>
      <c r="E86" s="72" t="s">
        <v>1110</v>
      </c>
      <c r="F86" s="60" t="s">
        <v>84</v>
      </c>
      <c r="G86" s="25"/>
      <c r="H86" s="25"/>
      <c r="I86" s="55"/>
      <c r="J86" s="55"/>
      <c r="K86" s="74"/>
      <c r="L86" s="70"/>
      <c r="M86" s="223">
        <v>483</v>
      </c>
      <c r="N86" s="223">
        <v>1159</v>
      </c>
      <c r="O86" s="223">
        <v>1159</v>
      </c>
      <c r="P86" s="266">
        <f t="shared" si="14"/>
        <v>1159</v>
      </c>
      <c r="Q86" s="256"/>
      <c r="R86" s="256"/>
      <c r="S86" s="25"/>
      <c r="T86" s="28" t="s">
        <v>1111</v>
      </c>
      <c r="U86" s="28">
        <f t="shared" si="11"/>
        <v>43</v>
      </c>
      <c r="V86" s="99"/>
      <c r="W86" s="99"/>
      <c r="X86" s="102"/>
      <c r="Y86" s="28"/>
    </row>
    <row r="87" spans="1:61" s="38" customFormat="1" ht="18.75" customHeight="1" x14ac:dyDescent="0.25">
      <c r="A87" s="45" t="s">
        <v>1107</v>
      </c>
      <c r="B87" s="45" t="str">
        <f t="shared" si="10"/>
        <v>S44</v>
      </c>
      <c r="C87" s="225" t="s">
        <v>1128</v>
      </c>
      <c r="D87" s="79" t="s">
        <v>1112</v>
      </c>
      <c r="E87" s="72" t="s">
        <v>1110</v>
      </c>
      <c r="F87" s="60" t="s">
        <v>84</v>
      </c>
      <c r="G87" s="25"/>
      <c r="H87" s="25"/>
      <c r="I87" s="55"/>
      <c r="J87" s="55"/>
      <c r="K87" s="74"/>
      <c r="L87" s="70"/>
      <c r="M87" s="223">
        <v>68</v>
      </c>
      <c r="N87" s="223">
        <v>135</v>
      </c>
      <c r="O87" s="223">
        <v>135</v>
      </c>
      <c r="P87" s="266">
        <f t="shared" si="14"/>
        <v>135</v>
      </c>
      <c r="Q87" s="256"/>
      <c r="R87" s="256"/>
      <c r="S87" s="25"/>
      <c r="T87" s="28" t="s">
        <v>1111</v>
      </c>
      <c r="U87" s="28">
        <f t="shared" si="11"/>
        <v>44</v>
      </c>
      <c r="V87" s="99"/>
      <c r="W87" s="99"/>
      <c r="X87" s="102"/>
      <c r="Y87" s="28"/>
    </row>
    <row r="88" spans="1:61" s="38" customFormat="1" ht="18.75" customHeight="1" x14ac:dyDescent="0.25">
      <c r="A88" s="45" t="s">
        <v>1107</v>
      </c>
      <c r="B88" s="45" t="str">
        <f t="shared" si="10"/>
        <v>S45</v>
      </c>
      <c r="C88" s="225" t="s">
        <v>1128</v>
      </c>
      <c r="D88" s="79" t="s">
        <v>1113</v>
      </c>
      <c r="E88" s="72" t="s">
        <v>1110</v>
      </c>
      <c r="F88" s="60" t="s">
        <v>84</v>
      </c>
      <c r="G88" s="25"/>
      <c r="H88" s="25"/>
      <c r="I88" s="55"/>
      <c r="J88" s="55"/>
      <c r="K88" s="74"/>
      <c r="L88" s="70"/>
      <c r="M88" s="223">
        <v>34</v>
      </c>
      <c r="N88" s="223">
        <v>68</v>
      </c>
      <c r="O88" s="223">
        <v>68</v>
      </c>
      <c r="P88" s="266">
        <f t="shared" si="14"/>
        <v>68</v>
      </c>
      <c r="Q88" s="256"/>
      <c r="R88" s="256"/>
      <c r="S88" s="25"/>
      <c r="T88" s="28" t="s">
        <v>1111</v>
      </c>
      <c r="U88" s="28">
        <f t="shared" si="11"/>
        <v>45</v>
      </c>
      <c r="V88" s="99"/>
      <c r="W88" s="99"/>
      <c r="X88" s="102"/>
      <c r="Y88" s="28"/>
    </row>
    <row r="89" spans="1:61" s="38" customFormat="1" ht="18.75" customHeight="1" x14ac:dyDescent="0.25">
      <c r="A89" s="45" t="s">
        <v>1107</v>
      </c>
      <c r="B89" s="45" t="str">
        <f t="shared" si="10"/>
        <v>S46</v>
      </c>
      <c r="C89" s="225" t="s">
        <v>1129</v>
      </c>
      <c r="D89" s="180" t="s">
        <v>1109</v>
      </c>
      <c r="E89" s="41" t="s">
        <v>91</v>
      </c>
      <c r="F89" s="60"/>
      <c r="G89" s="25"/>
      <c r="H89" s="25"/>
      <c r="I89" s="55"/>
      <c r="J89" s="55"/>
      <c r="K89" s="74"/>
      <c r="L89" s="70"/>
      <c r="M89" s="70"/>
      <c r="N89" s="70">
        <v>1810</v>
      </c>
      <c r="O89" s="70">
        <v>1810</v>
      </c>
      <c r="P89" s="70">
        <v>1810</v>
      </c>
      <c r="Q89" s="70"/>
      <c r="R89" s="70"/>
      <c r="S89" s="25"/>
      <c r="T89" s="28" t="s">
        <v>1111</v>
      </c>
      <c r="U89" s="28">
        <f t="shared" si="11"/>
        <v>46</v>
      </c>
      <c r="V89" s="99"/>
      <c r="W89" s="99"/>
      <c r="X89" s="102"/>
      <c r="Y89" s="28"/>
    </row>
    <row r="90" spans="1:61" s="38" customFormat="1" ht="18.75" customHeight="1" x14ac:dyDescent="0.25">
      <c r="A90" s="45" t="s">
        <v>1107</v>
      </c>
      <c r="B90" s="45" t="str">
        <f t="shared" si="10"/>
        <v>S47</v>
      </c>
      <c r="C90" s="76" t="s">
        <v>1130</v>
      </c>
      <c r="D90" s="180" t="s">
        <v>1109</v>
      </c>
      <c r="E90" s="41" t="s">
        <v>91</v>
      </c>
      <c r="F90" s="60"/>
      <c r="G90" s="25"/>
      <c r="H90" s="25"/>
      <c r="I90" s="55"/>
      <c r="J90" s="55"/>
      <c r="K90" s="74"/>
      <c r="L90" s="70"/>
      <c r="M90" s="70"/>
      <c r="N90" s="70"/>
      <c r="O90" s="70"/>
      <c r="P90" s="70"/>
      <c r="Q90" s="70"/>
      <c r="R90" s="70"/>
      <c r="S90" s="25"/>
      <c r="T90" s="28" t="s">
        <v>1111</v>
      </c>
      <c r="U90" s="28">
        <f t="shared" si="11"/>
        <v>47</v>
      </c>
      <c r="V90" s="99"/>
      <c r="W90" s="99"/>
      <c r="X90" s="102"/>
      <c r="Y90" s="28"/>
    </row>
    <row r="91" spans="1:61" s="38" customFormat="1" ht="18.75" customHeight="1" x14ac:dyDescent="0.25">
      <c r="A91" s="45" t="s">
        <v>1107</v>
      </c>
      <c r="B91" s="45" t="str">
        <f t="shared" si="10"/>
        <v>S48</v>
      </c>
      <c r="C91" s="76" t="s">
        <v>1131</v>
      </c>
      <c r="D91" s="180" t="s">
        <v>1109</v>
      </c>
      <c r="E91" s="41" t="s">
        <v>91</v>
      </c>
      <c r="F91" s="60"/>
      <c r="G91" s="25"/>
      <c r="H91" s="25"/>
      <c r="I91" s="55"/>
      <c r="J91" s="55"/>
      <c r="K91" s="74"/>
      <c r="L91" s="70"/>
      <c r="M91" s="70"/>
      <c r="N91" s="70"/>
      <c r="O91" s="70"/>
      <c r="P91" s="70"/>
      <c r="Q91" s="70"/>
      <c r="R91" s="70"/>
      <c r="S91" s="25"/>
      <c r="T91" s="28" t="s">
        <v>1111</v>
      </c>
      <c r="U91" s="28">
        <f t="shared" si="11"/>
        <v>48</v>
      </c>
      <c r="V91" s="99"/>
      <c r="W91" s="99"/>
      <c r="X91" s="102"/>
      <c r="Y91" s="28"/>
    </row>
    <row r="92" spans="1:61" s="38" customFormat="1" ht="18.75" customHeight="1" x14ac:dyDescent="0.25">
      <c r="A92" s="45" t="s">
        <v>1107</v>
      </c>
      <c r="B92" s="45" t="str">
        <f t="shared" si="10"/>
        <v>S49</v>
      </c>
      <c r="C92" s="76" t="s">
        <v>1131</v>
      </c>
      <c r="D92" s="79" t="s">
        <v>1112</v>
      </c>
      <c r="E92" s="41" t="s">
        <v>91</v>
      </c>
      <c r="F92" s="60"/>
      <c r="G92" s="25"/>
      <c r="H92" s="25"/>
      <c r="I92" s="55"/>
      <c r="J92" s="55"/>
      <c r="K92" s="74"/>
      <c r="L92" s="70"/>
      <c r="M92" s="70"/>
      <c r="N92" s="70"/>
      <c r="O92" s="70"/>
      <c r="P92" s="70"/>
      <c r="Q92" s="70"/>
      <c r="R92" s="70"/>
      <c r="S92" s="25"/>
      <c r="T92" s="28" t="s">
        <v>1111</v>
      </c>
      <c r="U92" s="28">
        <f t="shared" si="11"/>
        <v>49</v>
      </c>
      <c r="V92" s="99"/>
      <c r="W92" s="99"/>
      <c r="X92" s="102"/>
      <c r="Y92" s="28"/>
    </row>
    <row r="93" spans="1:61" s="38" customFormat="1" ht="18.75" customHeight="1" x14ac:dyDescent="0.25">
      <c r="A93" s="45" t="s">
        <v>1107</v>
      </c>
      <c r="B93" s="45" t="str">
        <f t="shared" si="10"/>
        <v>S50</v>
      </c>
      <c r="C93" s="76" t="s">
        <v>1131</v>
      </c>
      <c r="D93" s="79" t="s">
        <v>1113</v>
      </c>
      <c r="E93" s="41" t="s">
        <v>91</v>
      </c>
      <c r="F93" s="60"/>
      <c r="G93" s="25"/>
      <c r="H93" s="25"/>
      <c r="I93" s="55"/>
      <c r="J93" s="55"/>
      <c r="K93" s="74"/>
      <c r="L93" s="70"/>
      <c r="M93" s="70"/>
      <c r="N93" s="70"/>
      <c r="O93" s="70"/>
      <c r="P93" s="70"/>
      <c r="Q93" s="70"/>
      <c r="R93" s="70"/>
      <c r="S93" s="25"/>
      <c r="T93" s="28" t="s">
        <v>1111</v>
      </c>
      <c r="U93" s="28">
        <f t="shared" si="11"/>
        <v>50</v>
      </c>
      <c r="V93" s="99"/>
      <c r="W93" s="99"/>
      <c r="X93" s="102"/>
      <c r="Y93" s="28"/>
    </row>
    <row r="94" spans="1:61" s="38" customFormat="1" ht="19.5" customHeight="1" x14ac:dyDescent="0.25">
      <c r="A94" s="161"/>
      <c r="B94" s="161" t="str">
        <f t="shared" si="10"/>
        <v/>
      </c>
      <c r="C94" s="162" t="s">
        <v>1067</v>
      </c>
      <c r="D94" s="162"/>
      <c r="E94" s="162"/>
      <c r="F94" s="165" t="s">
        <v>84</v>
      </c>
      <c r="G94" s="162"/>
      <c r="H94" s="162"/>
      <c r="I94" s="162"/>
      <c r="J94" s="162"/>
      <c r="K94" s="163">
        <f>SUMIF(F44:$F$93,$F$94,K44:K93)</f>
        <v>2042</v>
      </c>
      <c r="L94" s="163">
        <f ca="1">SUMIF($F44:G$93,$F$94,L44:L93)</f>
        <v>17627</v>
      </c>
      <c r="M94" s="163">
        <f ca="1">SUMIF($F44:H$93,$F$94,M44:M93)</f>
        <v>15721</v>
      </c>
      <c r="N94" s="163">
        <f ca="1">SUMIF($F44:I$93,$F$94,N44:N93)</f>
        <v>39122</v>
      </c>
      <c r="O94" s="163">
        <f ca="1">SUMIF($F44:J$93,$F$94,O44:O93)</f>
        <v>59477</v>
      </c>
      <c r="P94" s="163">
        <f ca="1">SUMIF($F44:K$93,$F$94,P44:P93)</f>
        <v>59477</v>
      </c>
      <c r="Q94" s="163"/>
      <c r="R94" s="163"/>
      <c r="S94" s="25"/>
      <c r="T94" s="28"/>
      <c r="U94" s="28"/>
      <c r="V94" s="99"/>
      <c r="W94" s="99"/>
      <c r="X94" s="100"/>
      <c r="Y94" s="28"/>
    </row>
    <row r="95" spans="1:61" s="38" customFormat="1" ht="19.5" customHeight="1" x14ac:dyDescent="0.25">
      <c r="A95" s="162"/>
      <c r="B95" s="162"/>
      <c r="C95" s="162" t="s">
        <v>1067</v>
      </c>
      <c r="D95" s="162"/>
      <c r="E95" s="166" t="s">
        <v>91</v>
      </c>
      <c r="F95" s="164"/>
      <c r="G95" s="164"/>
      <c r="H95" s="164"/>
      <c r="I95" s="164"/>
      <c r="J95" s="164"/>
      <c r="K95" s="163">
        <f t="shared" ref="K95:P95" si="15">SUMIF($E$44:$E$93,$E$95,K44:K93)</f>
        <v>0</v>
      </c>
      <c r="L95" s="163">
        <f t="shared" si="15"/>
        <v>0</v>
      </c>
      <c r="M95" s="163">
        <f t="shared" si="15"/>
        <v>0</v>
      </c>
      <c r="N95" s="163">
        <f t="shared" si="15"/>
        <v>1810</v>
      </c>
      <c r="O95" s="163">
        <f t="shared" si="15"/>
        <v>1810</v>
      </c>
      <c r="P95" s="163">
        <f t="shared" si="15"/>
        <v>1810</v>
      </c>
      <c r="Q95" s="163"/>
      <c r="R95" s="163"/>
      <c r="S95" s="25"/>
      <c r="T95" s="28"/>
      <c r="U95" s="28"/>
      <c r="V95" s="99"/>
      <c r="W95" s="99"/>
      <c r="X95" s="100"/>
      <c r="Y95" s="28"/>
    </row>
    <row r="96" spans="1:61" s="38" customFormat="1" ht="18.75" customHeight="1" x14ac:dyDescent="0.25">
      <c r="A96" s="43"/>
      <c r="B96" s="43" t="s">
        <v>127</v>
      </c>
      <c r="C96" s="3" t="s">
        <v>1132</v>
      </c>
      <c r="D96" s="3"/>
      <c r="E96" s="52"/>
      <c r="F96" s="52"/>
      <c r="G96" s="9"/>
      <c r="H96" s="9">
        <f t="shared" ref="H96:P96" si="16">SUMIF($A:$A,"SKOLE",H:H)</f>
        <v>0</v>
      </c>
      <c r="I96" s="56">
        <f t="shared" si="16"/>
        <v>0</v>
      </c>
      <c r="J96" s="56">
        <f t="shared" si="16"/>
        <v>0</v>
      </c>
      <c r="K96" s="56">
        <f t="shared" si="16"/>
        <v>2042</v>
      </c>
      <c r="L96" s="56">
        <f t="shared" si="16"/>
        <v>17627</v>
      </c>
      <c r="M96" s="56">
        <f t="shared" si="16"/>
        <v>15721</v>
      </c>
      <c r="N96" s="56">
        <f t="shared" si="16"/>
        <v>40932</v>
      </c>
      <c r="O96" s="56">
        <f t="shared" si="16"/>
        <v>61287</v>
      </c>
      <c r="P96" s="56">
        <f t="shared" si="16"/>
        <v>61287</v>
      </c>
      <c r="Q96" s="56"/>
      <c r="R96" s="56"/>
      <c r="S96" s="25" t="str">
        <f>IF(D96="INTERNHUSLEIE",K96,"0")</f>
        <v>0</v>
      </c>
      <c r="T96" s="28"/>
      <c r="U96" s="28"/>
      <c r="V96" s="99">
        <f>IF(F96="VEDTATT","VEDTATT",0)</f>
        <v>0</v>
      </c>
      <c r="W96" s="99">
        <f>IF(F96="MÅ","Nye tiltak",0)</f>
        <v>0</v>
      </c>
      <c r="X96" s="102"/>
      <c r="Y96" s="28"/>
      <c r="BF96" s="95"/>
      <c r="BG96" s="95"/>
      <c r="BH96" s="95"/>
      <c r="BI96" s="95"/>
    </row>
    <row r="97" spans="1:30" s="38" customFormat="1" ht="18.75" customHeight="1" x14ac:dyDescent="0.25">
      <c r="A97" s="48"/>
      <c r="B97" s="48"/>
      <c r="C97" s="13" t="s">
        <v>841</v>
      </c>
      <c r="D97" s="13"/>
      <c r="E97" s="50"/>
      <c r="F97" s="50"/>
      <c r="G97" s="24"/>
      <c r="H97" s="2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25" t="str">
        <f>IF(D97="INTERNHUSLEIE",K97,"0")</f>
        <v>0</v>
      </c>
      <c r="T97" s="28"/>
      <c r="U97" s="28"/>
      <c r="V97" s="99">
        <f>IF(F97="VEDTATT","VEDTATT",0)</f>
        <v>0</v>
      </c>
      <c r="W97" s="99">
        <f>IF(F97="MÅ","Nye tiltak",0)</f>
        <v>0</v>
      </c>
      <c r="X97" s="101"/>
      <c r="Y97" s="28"/>
    </row>
    <row r="98" spans="1:30" s="1" customFormat="1" ht="18.75" customHeight="1" x14ac:dyDescent="0.25">
      <c r="A98" s="41"/>
      <c r="B98" s="44"/>
      <c r="C98" s="88" t="s">
        <v>112</v>
      </c>
      <c r="D98" s="88"/>
      <c r="E98" s="50"/>
      <c r="F98" s="50"/>
      <c r="G98" s="31"/>
      <c r="H98" s="31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25" t="str">
        <f>IF(D98="INTERNHUSLEIE",K98,"0")</f>
        <v>0</v>
      </c>
      <c r="T98" s="28"/>
      <c r="U98" s="28"/>
      <c r="V98" s="99">
        <f>IF(F98="VEDTATT","VEDTATT",0)</f>
        <v>0</v>
      </c>
      <c r="W98" s="99">
        <f>IF(F98="MÅ","Nye tiltak",0)</f>
        <v>0</v>
      </c>
      <c r="X98" s="103"/>
      <c r="Y98" s="29"/>
    </row>
    <row r="99" spans="1:30" s="38" customFormat="1" ht="18.75" customHeight="1" x14ac:dyDescent="0.25">
      <c r="A99" s="45" t="s">
        <v>802</v>
      </c>
      <c r="B99" s="45" t="str">
        <f>IF(U99,T99&amp;U99,"")</f>
        <v>B1</v>
      </c>
      <c r="C99" s="225" t="s">
        <v>1133</v>
      </c>
      <c r="D99" s="79" t="s">
        <v>1109</v>
      </c>
      <c r="E99" s="41" t="s">
        <v>91</v>
      </c>
      <c r="F99" s="60"/>
      <c r="G99" s="25"/>
      <c r="H99" s="25"/>
      <c r="I99" s="55"/>
      <c r="J99" s="55"/>
      <c r="K99" s="74"/>
      <c r="L99" s="70">
        <v>9</v>
      </c>
      <c r="M99" s="70">
        <v>25</v>
      </c>
      <c r="N99" s="70">
        <v>50</v>
      </c>
      <c r="O99" s="70">
        <v>50</v>
      </c>
      <c r="P99" s="70">
        <v>50</v>
      </c>
      <c r="Q99" s="70"/>
      <c r="R99" s="70"/>
      <c r="S99" s="25">
        <f>IF(D99="INTERNHUSLEIE",K99,"0")</f>
        <v>0</v>
      </c>
      <c r="T99" s="28" t="s">
        <v>1134</v>
      </c>
      <c r="U99" s="28">
        <v>1</v>
      </c>
      <c r="V99" s="99">
        <f>IF(F99="VEDTATT","VEDTATT",0)</f>
        <v>0</v>
      </c>
      <c r="W99" s="99">
        <f>IF(F99="MÅ","Nye tiltak",0)</f>
        <v>0</v>
      </c>
      <c r="X99" s="101"/>
      <c r="Y99" s="28"/>
    </row>
    <row r="100" spans="1:30" s="38" customFormat="1" ht="18.75" customHeight="1" x14ac:dyDescent="0.25">
      <c r="A100" s="161"/>
      <c r="B100" s="161" t="str">
        <f t="shared" ref="B100:B110" si="17">IF(U100,T100&amp;U100,"")</f>
        <v/>
      </c>
      <c r="C100" s="215" t="s">
        <v>1069</v>
      </c>
      <c r="D100" s="162"/>
      <c r="E100" s="162"/>
      <c r="F100" s="165" t="s">
        <v>84</v>
      </c>
      <c r="G100" s="162"/>
      <c r="H100" s="162"/>
      <c r="I100" s="162"/>
      <c r="J100" s="162"/>
      <c r="K100" s="163">
        <f>SUMIF(F99:$F$99,$F$100,K99:K99)</f>
        <v>0</v>
      </c>
      <c r="L100" s="216">
        <f ca="1">SUMIF($F99:G$99,$F$100,L99:L99)</f>
        <v>0</v>
      </c>
      <c r="M100" s="216">
        <f ca="1">SUMIF($F99:H$99,$F$100,M99:M99)</f>
        <v>0</v>
      </c>
      <c r="N100" s="216">
        <f ca="1">SUMIF($F99:I$99,$F$100,N99:N99)</f>
        <v>0</v>
      </c>
      <c r="O100" s="216">
        <f ca="1">SUMIF($F99:J$99,$F$100,O99:O99)</f>
        <v>0</v>
      </c>
      <c r="P100" s="216"/>
      <c r="Q100" s="216"/>
      <c r="R100" s="216"/>
      <c r="S100" s="25" t="str">
        <f>IF(D100="INTERNHUSLEIE",K100,"0")</f>
        <v>0</v>
      </c>
      <c r="T100" s="28"/>
      <c r="U100" s="28"/>
      <c r="V100" s="99" t="str">
        <f>IF(F100="VEDTATT","VEDTATT",0)</f>
        <v>VEDTATT</v>
      </c>
      <c r="W100" s="99">
        <f>IF(F100="MÅ","Nye tiltak",0)</f>
        <v>0</v>
      </c>
      <c r="X100" s="104"/>
      <c r="Y100" s="28"/>
      <c r="Z100" s="2"/>
      <c r="AA100" s="2"/>
      <c r="AB100" s="2"/>
      <c r="AC100" s="2"/>
      <c r="AD100" s="2"/>
    </row>
    <row r="101" spans="1:30" s="38" customFormat="1" ht="18.75" customHeight="1" x14ac:dyDescent="0.25">
      <c r="A101" s="161"/>
      <c r="B101" s="161"/>
      <c r="C101" s="162" t="s">
        <v>1069</v>
      </c>
      <c r="D101" s="162"/>
      <c r="E101" s="166" t="s">
        <v>91</v>
      </c>
      <c r="F101" s="164"/>
      <c r="G101" s="164"/>
      <c r="H101" s="164"/>
      <c r="I101" s="164"/>
      <c r="J101" s="164"/>
      <c r="K101" s="163">
        <f>SUMIF($E$99:$E$99,$E$101,K99:K99)</f>
        <v>0</v>
      </c>
      <c r="L101" s="163">
        <f>SUMIF($E$99:$E$99,$E$101,L99:L99)</f>
        <v>9</v>
      </c>
      <c r="M101" s="163">
        <f>SUMIF($E$99:$E$99,$E$101,M99:M99)</f>
        <v>25</v>
      </c>
      <c r="N101" s="163">
        <f>SUMIF($E$99:$E$99,$E$101,N99:N99)</f>
        <v>50</v>
      </c>
      <c r="O101" s="163">
        <f>SUMIF($E$99:$E$99,$E$101,O99:O99)</f>
        <v>50</v>
      </c>
      <c r="P101" s="163">
        <f>P99</f>
        <v>50</v>
      </c>
      <c r="Q101" s="163"/>
      <c r="R101" s="163"/>
      <c r="S101" s="25"/>
      <c r="T101" s="28"/>
      <c r="U101" s="28"/>
      <c r="V101" s="99"/>
      <c r="W101" s="99"/>
      <c r="X101" s="104"/>
      <c r="Y101" s="28"/>
      <c r="Z101" s="2"/>
      <c r="AA101" s="2"/>
      <c r="AB101" s="2"/>
      <c r="AC101" s="2"/>
      <c r="AD101" s="2"/>
    </row>
    <row r="102" spans="1:30" s="38" customFormat="1" ht="18.75" customHeight="1" x14ac:dyDescent="0.25">
      <c r="A102" s="78"/>
      <c r="B102" s="45" t="str">
        <f t="shared" si="17"/>
        <v/>
      </c>
      <c r="C102" s="16" t="s">
        <v>117</v>
      </c>
      <c r="D102" s="79"/>
      <c r="E102" s="96"/>
      <c r="F102" s="71"/>
      <c r="G102" s="267"/>
      <c r="H102" s="267"/>
      <c r="I102" s="75"/>
      <c r="J102" s="75"/>
      <c r="K102" s="75"/>
      <c r="L102" s="75"/>
      <c r="M102" s="75"/>
      <c r="N102" s="75"/>
      <c r="O102" s="75"/>
      <c r="P102" s="70"/>
      <c r="Q102" s="70"/>
      <c r="R102" s="70"/>
      <c r="S102" s="25" t="str">
        <f>IF(D102="INTERNHUSLEIE",K102,"0")</f>
        <v>0</v>
      </c>
      <c r="T102" s="28"/>
      <c r="U102" s="28"/>
      <c r="V102" s="99">
        <f>IF(F102="VEDTATT","VEDTATT",0)</f>
        <v>0</v>
      </c>
      <c r="W102" s="99">
        <f>IF(F102="MÅ","Nye tiltak",0)</f>
        <v>0</v>
      </c>
      <c r="X102" s="104"/>
      <c r="Y102" s="28"/>
      <c r="Z102" s="2"/>
      <c r="AA102" s="2"/>
      <c r="AB102" s="2"/>
      <c r="AC102" s="2"/>
      <c r="AD102" s="2"/>
    </row>
    <row r="103" spans="1:30" s="38" customFormat="1" ht="18.75" customHeight="1" x14ac:dyDescent="0.25">
      <c r="A103" s="45" t="s">
        <v>802</v>
      </c>
      <c r="B103" s="45" t="str">
        <f t="shared" si="17"/>
        <v>B2</v>
      </c>
      <c r="C103" s="76" t="s">
        <v>1135</v>
      </c>
      <c r="D103" s="79" t="s">
        <v>1109</v>
      </c>
      <c r="E103" s="214" t="s">
        <v>1110</v>
      </c>
      <c r="F103" s="272" t="s">
        <v>84</v>
      </c>
      <c r="G103" s="261"/>
      <c r="H103" s="261"/>
      <c r="I103" s="273"/>
      <c r="J103" s="273"/>
      <c r="K103" s="254">
        <v>879</v>
      </c>
      <c r="L103" s="254"/>
      <c r="M103" s="254">
        <v>293</v>
      </c>
      <c r="N103" s="254">
        <v>1757</v>
      </c>
      <c r="O103" s="254">
        <v>1757</v>
      </c>
      <c r="P103" s="275">
        <v>1757</v>
      </c>
      <c r="Q103" s="254"/>
      <c r="R103" s="254"/>
      <c r="S103" s="25">
        <f>IF(D103="INTERNHUSLEIE",K103,"0")</f>
        <v>879</v>
      </c>
      <c r="T103" s="28" t="s">
        <v>1134</v>
      </c>
      <c r="U103" s="28">
        <f>U99+1</f>
        <v>2</v>
      </c>
      <c r="V103" s="99" t="str">
        <f>IF(F103="VEDTATT","VEDTATT",0)</f>
        <v>VEDTATT</v>
      </c>
      <c r="W103" s="99">
        <f>IF(F103="MÅ","Nye tiltak",0)</f>
        <v>0</v>
      </c>
      <c r="X103" s="104"/>
      <c r="Y103" s="28"/>
    </row>
    <row r="104" spans="1:30" s="38" customFormat="1" ht="18.75" customHeight="1" x14ac:dyDescent="0.25">
      <c r="A104" s="45" t="s">
        <v>802</v>
      </c>
      <c r="B104" s="45" t="str">
        <f t="shared" si="17"/>
        <v>B3</v>
      </c>
      <c r="C104" s="109" t="s">
        <v>1135</v>
      </c>
      <c r="D104" s="79" t="s">
        <v>1112</v>
      </c>
      <c r="E104" s="214" t="s">
        <v>1110</v>
      </c>
      <c r="F104" s="272" t="s">
        <v>84</v>
      </c>
      <c r="G104" s="261"/>
      <c r="H104" s="261"/>
      <c r="I104" s="273">
        <v>-1265</v>
      </c>
      <c r="J104" s="273">
        <v>-4000</v>
      </c>
      <c r="K104" s="254">
        <v>158</v>
      </c>
      <c r="L104" s="254"/>
      <c r="M104" s="254">
        <v>34</v>
      </c>
      <c r="N104" s="254">
        <v>189</v>
      </c>
      <c r="O104" s="254">
        <v>189</v>
      </c>
      <c r="P104" s="275">
        <v>189</v>
      </c>
      <c r="Q104" s="254"/>
      <c r="R104" s="254"/>
      <c r="S104" s="25" t="str">
        <f>IF(D104="INTERNHUSLEIE",K104,"0")</f>
        <v>0</v>
      </c>
      <c r="T104" s="28" t="s">
        <v>1134</v>
      </c>
      <c r="U104" s="28">
        <f t="shared" ref="U104" si="18">U103+1</f>
        <v>3</v>
      </c>
      <c r="V104" s="99" t="str">
        <f>IF(F104="VEDTATT","VEDTATT",0)</f>
        <v>VEDTATT</v>
      </c>
      <c r="W104" s="99">
        <f>IF(F104="MÅ","Nye tiltak",0)</f>
        <v>0</v>
      </c>
      <c r="X104" s="101"/>
      <c r="Y104" s="28"/>
    </row>
    <row r="105" spans="1:30" s="38" customFormat="1" ht="18.75" customHeight="1" x14ac:dyDescent="0.25">
      <c r="A105" s="45" t="s">
        <v>802</v>
      </c>
      <c r="B105" s="45" t="str">
        <f t="shared" si="17"/>
        <v>B4</v>
      </c>
      <c r="C105" s="76" t="s">
        <v>1135</v>
      </c>
      <c r="D105" s="79" t="s">
        <v>1113</v>
      </c>
      <c r="E105" s="214" t="s">
        <v>1110</v>
      </c>
      <c r="F105" s="272" t="s">
        <v>84</v>
      </c>
      <c r="G105" s="261"/>
      <c r="H105" s="261"/>
      <c r="I105" s="273"/>
      <c r="J105" s="274">
        <v>1800</v>
      </c>
      <c r="K105" s="254">
        <v>51</v>
      </c>
      <c r="L105" s="254"/>
      <c r="M105" s="254">
        <v>25</v>
      </c>
      <c r="N105" s="254">
        <v>144</v>
      </c>
      <c r="O105" s="254">
        <v>144</v>
      </c>
      <c r="P105" s="275">
        <v>144</v>
      </c>
      <c r="Q105" s="254"/>
      <c r="R105" s="254"/>
      <c r="S105" s="25" t="str">
        <f>IF(D105="INTERNHUSLEIE",K105,"0")</f>
        <v>0</v>
      </c>
      <c r="T105" s="28" t="s">
        <v>1134</v>
      </c>
      <c r="U105" s="28">
        <f>U104+1</f>
        <v>4</v>
      </c>
      <c r="V105" s="99" t="str">
        <f>IF(F105="VEDTATT","VEDTATT",0)</f>
        <v>VEDTATT</v>
      </c>
      <c r="W105" s="99">
        <f>IF(F105="MÅ","Nye tiltak",0)</f>
        <v>0</v>
      </c>
      <c r="X105" s="101"/>
      <c r="Y105" s="28"/>
    </row>
    <row r="106" spans="1:30" s="38" customFormat="1" ht="18.75" customHeight="1" x14ac:dyDescent="0.25">
      <c r="A106" s="45" t="s">
        <v>802</v>
      </c>
      <c r="B106" s="45" t="str">
        <f t="shared" si="17"/>
        <v>B5</v>
      </c>
      <c r="C106" s="76" t="s">
        <v>1136</v>
      </c>
      <c r="D106" s="79" t="s">
        <v>1109</v>
      </c>
      <c r="E106" s="214" t="s">
        <v>91</v>
      </c>
      <c r="F106" s="272"/>
      <c r="G106" s="261"/>
      <c r="H106" s="261"/>
      <c r="I106" s="273"/>
      <c r="J106" s="274"/>
      <c r="K106" s="254"/>
      <c r="L106" s="254"/>
      <c r="M106" s="254">
        <v>145</v>
      </c>
      <c r="N106" s="254">
        <v>290</v>
      </c>
      <c r="O106" s="254">
        <v>290</v>
      </c>
      <c r="P106" s="275">
        <v>290</v>
      </c>
      <c r="Q106" s="254"/>
      <c r="R106" s="254"/>
      <c r="S106" s="25"/>
      <c r="T106" s="28" t="s">
        <v>1134</v>
      </c>
      <c r="U106" s="28">
        <f>U105+1</f>
        <v>5</v>
      </c>
      <c r="V106" s="99"/>
      <c r="W106" s="99"/>
      <c r="X106" s="101"/>
      <c r="Y106" s="28"/>
    </row>
    <row r="107" spans="1:30" s="38" customFormat="1" ht="18.75" customHeight="1" x14ac:dyDescent="0.25">
      <c r="A107" s="45" t="s">
        <v>802</v>
      </c>
      <c r="B107" s="45" t="str">
        <f t="shared" si="17"/>
        <v>B6</v>
      </c>
      <c r="C107" s="76" t="s">
        <v>1137</v>
      </c>
      <c r="D107" s="79" t="s">
        <v>1112</v>
      </c>
      <c r="E107" s="214" t="s">
        <v>91</v>
      </c>
      <c r="F107" s="214"/>
      <c r="G107" s="261"/>
      <c r="H107" s="261"/>
      <c r="I107" s="273"/>
      <c r="J107" s="274"/>
      <c r="K107" s="254"/>
      <c r="L107" s="254">
        <v>800</v>
      </c>
      <c r="M107" s="254">
        <v>40</v>
      </c>
      <c r="N107" s="254">
        <v>80</v>
      </c>
      <c r="O107" s="254">
        <v>80</v>
      </c>
      <c r="P107" s="70">
        <v>80</v>
      </c>
      <c r="Q107" s="70"/>
      <c r="R107" s="70"/>
      <c r="S107" s="25"/>
      <c r="T107" s="28" t="s">
        <v>1134</v>
      </c>
      <c r="U107" s="28">
        <f t="shared" ref="U107:U109" si="19">U106+1</f>
        <v>6</v>
      </c>
      <c r="V107" s="99"/>
      <c r="W107" s="99"/>
      <c r="X107" s="101"/>
      <c r="Y107" s="28"/>
    </row>
    <row r="108" spans="1:30" s="38" customFormat="1" ht="18.75" customHeight="1" x14ac:dyDescent="0.25">
      <c r="A108" s="45" t="s">
        <v>802</v>
      </c>
      <c r="B108" s="45" t="str">
        <f t="shared" si="17"/>
        <v>B7</v>
      </c>
      <c r="C108" s="76" t="s">
        <v>1138</v>
      </c>
      <c r="D108" s="79" t="s">
        <v>1113</v>
      </c>
      <c r="E108" s="268" t="s">
        <v>91</v>
      </c>
      <c r="F108" s="268"/>
      <c r="G108" s="33"/>
      <c r="H108" s="33"/>
      <c r="I108" s="269"/>
      <c r="J108" s="270"/>
      <c r="K108" s="271"/>
      <c r="L108" s="271">
        <v>98</v>
      </c>
      <c r="M108" s="271">
        <v>25</v>
      </c>
      <c r="N108" s="271">
        <v>50</v>
      </c>
      <c r="O108" s="271">
        <v>50</v>
      </c>
      <c r="P108" s="70">
        <v>50</v>
      </c>
      <c r="Q108" s="70"/>
      <c r="R108" s="70"/>
      <c r="S108" s="25"/>
      <c r="T108" s="28" t="s">
        <v>1134</v>
      </c>
      <c r="U108" s="28">
        <f t="shared" si="19"/>
        <v>7</v>
      </c>
      <c r="V108" s="99"/>
      <c r="W108" s="99"/>
      <c r="X108" s="101"/>
      <c r="Y108" s="28"/>
    </row>
    <row r="109" spans="1:30" s="38" customFormat="1" ht="18.75" customHeight="1" x14ac:dyDescent="0.25">
      <c r="A109" s="45" t="s">
        <v>802</v>
      </c>
      <c r="B109" s="45" t="str">
        <f t="shared" si="17"/>
        <v>B8</v>
      </c>
      <c r="C109" s="227"/>
      <c r="E109" s="72" t="s">
        <v>91</v>
      </c>
      <c r="F109" s="72"/>
      <c r="G109" s="40"/>
      <c r="H109" s="40"/>
      <c r="I109" s="59"/>
      <c r="J109" s="107">
        <v>-1200</v>
      </c>
      <c r="K109" s="70"/>
      <c r="L109" s="70">
        <v>65</v>
      </c>
      <c r="M109" s="70"/>
      <c r="N109" s="70"/>
      <c r="O109" s="70"/>
      <c r="P109" s="70"/>
      <c r="Q109" s="70"/>
      <c r="R109" s="70"/>
      <c r="S109" s="25"/>
      <c r="T109" s="28" t="s">
        <v>1134</v>
      </c>
      <c r="U109" s="28">
        <f t="shared" si="19"/>
        <v>8</v>
      </c>
      <c r="V109" s="99">
        <f>IF(F109="VEDTATT","VEDTATT",0)</f>
        <v>0</v>
      </c>
      <c r="W109" s="99">
        <f>IF(F109="MÅ","Nye tiltak",0)</f>
        <v>0</v>
      </c>
      <c r="X109" s="101"/>
      <c r="Y109" s="28"/>
    </row>
    <row r="110" spans="1:30" s="38" customFormat="1" ht="18.75" customHeight="1" x14ac:dyDescent="0.25">
      <c r="A110" s="161"/>
      <c r="B110" s="161" t="str">
        <f t="shared" si="17"/>
        <v/>
      </c>
      <c r="C110" s="162" t="s">
        <v>1070</v>
      </c>
      <c r="D110" s="162"/>
      <c r="E110" s="162"/>
      <c r="F110" s="165" t="s">
        <v>84</v>
      </c>
      <c r="G110" s="162"/>
      <c r="H110" s="162"/>
      <c r="I110" s="162"/>
      <c r="J110" s="162"/>
      <c r="K110" s="163">
        <f>SUMIF(F103:$F$109,$F$110,K103:K109)</f>
        <v>1088</v>
      </c>
      <c r="L110" s="163">
        <f ca="1">SUMIF($F103:G$109,$F$110,L103:L109)</f>
        <v>0</v>
      </c>
      <c r="M110" s="163">
        <f ca="1">SUMIF($F103:H$109,$F$110,M103:M109)</f>
        <v>352</v>
      </c>
      <c r="N110" s="163">
        <f ca="1">SUMIF($F103:I$109,$F$110,N103:N109)</f>
        <v>2090</v>
      </c>
      <c r="O110" s="163">
        <f ca="1">SUMIF($F103:J$109,$F$110,O103:O109)</f>
        <v>2090</v>
      </c>
      <c r="P110" s="163">
        <f ca="1">SUMIF($F103:K$109,$F$110,P103:P109)</f>
        <v>2090</v>
      </c>
      <c r="Q110" s="163"/>
      <c r="R110" s="163"/>
      <c r="S110" s="25"/>
      <c r="T110" s="28"/>
      <c r="U110" s="28"/>
      <c r="V110" s="99"/>
      <c r="W110" s="99"/>
      <c r="X110" s="101"/>
      <c r="Y110" s="28"/>
    </row>
    <row r="111" spans="1:30" s="38" customFormat="1" ht="18.75" customHeight="1" x14ac:dyDescent="0.25">
      <c r="A111" s="162"/>
      <c r="B111" s="162"/>
      <c r="C111" s="162" t="s">
        <v>1070</v>
      </c>
      <c r="D111" s="166"/>
      <c r="E111" s="166" t="s">
        <v>91</v>
      </c>
      <c r="F111" s="164"/>
      <c r="G111" s="164"/>
      <c r="H111" s="164"/>
      <c r="I111" s="164"/>
      <c r="J111" s="164"/>
      <c r="K111" s="163">
        <f t="shared" ref="K111:P111" si="20">SUMIF($E$103:$E$109,$E$111,K103:K109)</f>
        <v>0</v>
      </c>
      <c r="L111" s="163">
        <f t="shared" si="20"/>
        <v>963</v>
      </c>
      <c r="M111" s="163">
        <f t="shared" si="20"/>
        <v>210</v>
      </c>
      <c r="N111" s="163">
        <f t="shared" si="20"/>
        <v>420</v>
      </c>
      <c r="O111" s="163">
        <f t="shared" si="20"/>
        <v>420</v>
      </c>
      <c r="P111" s="163">
        <f t="shared" si="20"/>
        <v>420</v>
      </c>
      <c r="Q111" s="163"/>
      <c r="R111" s="163"/>
      <c r="S111" s="25"/>
      <c r="T111" s="28"/>
      <c r="U111" s="28"/>
      <c r="V111" s="99"/>
      <c r="W111" s="99"/>
      <c r="X111" s="101"/>
      <c r="Y111" s="28"/>
    </row>
    <row r="112" spans="1:30" s="38" customFormat="1" ht="18.75" customHeight="1" x14ac:dyDescent="0.25">
      <c r="A112" s="43"/>
      <c r="B112" s="43" t="s">
        <v>127</v>
      </c>
      <c r="C112" s="3" t="s">
        <v>1139</v>
      </c>
      <c r="D112" s="3"/>
      <c r="E112" s="52"/>
      <c r="F112" s="52"/>
      <c r="G112" s="9"/>
      <c r="H112" s="9">
        <f t="shared" ref="H112:P112" si="21">SUMIF($A:$A,"B/U",H:H)</f>
        <v>0</v>
      </c>
      <c r="I112" s="56">
        <f t="shared" si="21"/>
        <v>-1265</v>
      </c>
      <c r="J112" s="56">
        <f t="shared" si="21"/>
        <v>-3400</v>
      </c>
      <c r="K112" s="56">
        <f t="shared" si="21"/>
        <v>1088</v>
      </c>
      <c r="L112" s="56">
        <f t="shared" si="21"/>
        <v>972</v>
      </c>
      <c r="M112" s="56">
        <f t="shared" si="21"/>
        <v>587</v>
      </c>
      <c r="N112" s="56">
        <f t="shared" si="21"/>
        <v>2560</v>
      </c>
      <c r="O112" s="56">
        <f t="shared" si="21"/>
        <v>2560</v>
      </c>
      <c r="P112" s="56">
        <f t="shared" si="21"/>
        <v>2560</v>
      </c>
      <c r="Q112" s="56"/>
      <c r="R112" s="56"/>
      <c r="S112" s="25" t="str">
        <f t="shared" ref="S112:S118" si="22">IF(D112="INTERNHUSLEIE",K112,"0")</f>
        <v>0</v>
      </c>
      <c r="T112" s="28"/>
      <c r="U112" s="28"/>
      <c r="V112" s="99">
        <f t="shared" ref="V112:V117" si="23">IF(F112="VEDTATT","VEDTATT",0)</f>
        <v>0</v>
      </c>
      <c r="W112" s="99">
        <f t="shared" ref="W112:W117" si="24">IF(F112="MÅ","Nye tiltak",0)</f>
        <v>0</v>
      </c>
      <c r="X112" s="101"/>
      <c r="Y112" s="28"/>
    </row>
    <row r="113" spans="1:25" s="38" customFormat="1" ht="18.75" customHeight="1" x14ac:dyDescent="0.25">
      <c r="A113" s="48"/>
      <c r="B113" s="48"/>
      <c r="C113" s="13" t="s">
        <v>803</v>
      </c>
      <c r="D113" s="13"/>
      <c r="E113" s="50"/>
      <c r="F113" s="61"/>
      <c r="G113" s="24"/>
      <c r="H113" s="24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25" t="str">
        <f t="shared" si="22"/>
        <v>0</v>
      </c>
      <c r="T113" s="28"/>
      <c r="U113" s="28"/>
      <c r="V113" s="99">
        <f t="shared" si="23"/>
        <v>0</v>
      </c>
      <c r="W113" s="99">
        <f t="shared" si="24"/>
        <v>0</v>
      </c>
      <c r="X113" s="101"/>
      <c r="Y113" s="28"/>
    </row>
    <row r="114" spans="1:25" s="38" customFormat="1" ht="18.75" customHeight="1" x14ac:dyDescent="0.25">
      <c r="A114" s="44"/>
      <c r="B114" s="44"/>
      <c r="C114" s="16" t="s">
        <v>1140</v>
      </c>
      <c r="D114" s="16"/>
      <c r="E114" s="50"/>
      <c r="F114" s="61"/>
      <c r="G114" s="31"/>
      <c r="H114" s="31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25" t="str">
        <f t="shared" si="22"/>
        <v>0</v>
      </c>
      <c r="T114" s="28"/>
      <c r="U114" s="28"/>
      <c r="V114" s="99">
        <f t="shared" si="23"/>
        <v>0</v>
      </c>
      <c r="W114" s="99">
        <f t="shared" si="24"/>
        <v>0</v>
      </c>
      <c r="X114" s="101"/>
      <c r="Y114" s="28"/>
    </row>
    <row r="115" spans="1:25" s="38" customFormat="1" ht="18.75" customHeight="1" x14ac:dyDescent="0.25">
      <c r="A115" s="45"/>
      <c r="B115" s="45" t="str">
        <f t="shared" ref="B115:B146" si="25">IF(U115,T115&amp;U115,"")</f>
        <v/>
      </c>
      <c r="C115" s="16" t="s">
        <v>1141</v>
      </c>
      <c r="D115" s="79"/>
      <c r="E115" s="50"/>
      <c r="F115" s="61"/>
      <c r="G115" s="31"/>
      <c r="H115" s="31"/>
      <c r="I115" s="59"/>
      <c r="J115" s="59"/>
      <c r="K115" s="70"/>
      <c r="L115" s="70"/>
      <c r="M115" s="70"/>
      <c r="N115" s="70"/>
      <c r="O115" s="70"/>
      <c r="P115" s="70"/>
      <c r="Q115" s="70"/>
      <c r="R115" s="70"/>
      <c r="S115" s="25" t="str">
        <f t="shared" si="22"/>
        <v>0</v>
      </c>
      <c r="T115" s="28"/>
      <c r="U115" s="28"/>
      <c r="V115" s="99">
        <f t="shared" si="23"/>
        <v>0</v>
      </c>
      <c r="W115" s="99">
        <f t="shared" si="24"/>
        <v>0</v>
      </c>
      <c r="X115" s="101"/>
      <c r="Y115" s="28"/>
    </row>
    <row r="116" spans="1:25" s="38" customFormat="1" ht="25.5" x14ac:dyDescent="0.25">
      <c r="A116" s="45" t="s">
        <v>1142</v>
      </c>
      <c r="B116" s="45" t="str">
        <f t="shared" si="25"/>
        <v>L1</v>
      </c>
      <c r="C116" s="276" t="s">
        <v>1143</v>
      </c>
      <c r="D116" s="79" t="s">
        <v>1109</v>
      </c>
      <c r="E116" s="72" t="s">
        <v>91</v>
      </c>
      <c r="F116" s="61"/>
      <c r="G116" s="40"/>
      <c r="H116" s="40"/>
      <c r="I116" s="59"/>
      <c r="J116" s="59"/>
      <c r="K116" s="69">
        <v>81</v>
      </c>
      <c r="L116" s="70"/>
      <c r="M116" s="223"/>
      <c r="N116" s="223"/>
      <c r="O116" s="223"/>
      <c r="P116" s="223">
        <v>529</v>
      </c>
      <c r="Q116" s="254"/>
      <c r="R116" s="254"/>
      <c r="S116" s="25">
        <f t="shared" si="22"/>
        <v>81</v>
      </c>
      <c r="T116" s="28" t="s">
        <v>1144</v>
      </c>
      <c r="U116" s="28">
        <v>1</v>
      </c>
      <c r="V116" s="99">
        <f t="shared" si="23"/>
        <v>0</v>
      </c>
      <c r="W116" s="99">
        <f t="shared" si="24"/>
        <v>0</v>
      </c>
      <c r="X116" s="101"/>
      <c r="Y116" s="28"/>
    </row>
    <row r="117" spans="1:25" s="38" customFormat="1" ht="25.5" x14ac:dyDescent="0.25">
      <c r="A117" s="45" t="s">
        <v>1142</v>
      </c>
      <c r="B117" s="45" t="str">
        <f t="shared" si="25"/>
        <v>L2</v>
      </c>
      <c r="C117" s="276" t="s">
        <v>1143</v>
      </c>
      <c r="D117" s="79" t="s">
        <v>1113</v>
      </c>
      <c r="E117" s="72" t="s">
        <v>91</v>
      </c>
      <c r="F117" s="61"/>
      <c r="G117" s="40"/>
      <c r="H117" s="40"/>
      <c r="I117" s="59"/>
      <c r="J117" s="59"/>
      <c r="K117" s="70">
        <v>5</v>
      </c>
      <c r="L117" s="70"/>
      <c r="M117" s="223"/>
      <c r="N117" s="223"/>
      <c r="O117" s="223"/>
      <c r="P117" s="223">
        <v>42</v>
      </c>
      <c r="Q117" s="254"/>
      <c r="R117" s="254"/>
      <c r="S117" s="25" t="str">
        <f t="shared" si="22"/>
        <v>0</v>
      </c>
      <c r="T117" s="28" t="s">
        <v>1144</v>
      </c>
      <c r="U117" s="28">
        <f>U116+1</f>
        <v>2</v>
      </c>
      <c r="V117" s="99">
        <f t="shared" si="23"/>
        <v>0</v>
      </c>
      <c r="W117" s="99">
        <f t="shared" si="24"/>
        <v>0</v>
      </c>
      <c r="X117" s="101"/>
      <c r="Y117" s="28"/>
    </row>
    <row r="118" spans="1:25" s="38" customFormat="1" x14ac:dyDescent="0.2">
      <c r="A118" s="45" t="s">
        <v>1142</v>
      </c>
      <c r="B118" s="45" t="str">
        <f t="shared" si="25"/>
        <v>L3</v>
      </c>
      <c r="C118" s="277" t="s">
        <v>1145</v>
      </c>
      <c r="D118" s="79" t="s">
        <v>1109</v>
      </c>
      <c r="E118" s="72" t="s">
        <v>1146</v>
      </c>
      <c r="F118" s="61" t="s">
        <v>84</v>
      </c>
      <c r="G118" s="40"/>
      <c r="H118" s="40"/>
      <c r="I118" s="59"/>
      <c r="J118" s="59"/>
      <c r="K118" s="70"/>
      <c r="L118" s="70">
        <v>585</v>
      </c>
      <c r="M118" s="223"/>
      <c r="N118" s="223"/>
      <c r="O118" s="223"/>
      <c r="P118" s="223">
        <v>2883</v>
      </c>
      <c r="Q118" s="254"/>
      <c r="R118" s="254"/>
      <c r="S118" s="25">
        <f t="shared" si="22"/>
        <v>0</v>
      </c>
      <c r="T118" s="28" t="s">
        <v>1144</v>
      </c>
      <c r="U118" s="28">
        <f t="shared" ref="U118:U122" si="26">U117+1</f>
        <v>3</v>
      </c>
      <c r="V118" s="99"/>
      <c r="W118" s="99"/>
      <c r="X118" s="101"/>
      <c r="Y118" s="28"/>
    </row>
    <row r="119" spans="1:25" s="38" customFormat="1" x14ac:dyDescent="0.2">
      <c r="A119" s="45" t="s">
        <v>1142</v>
      </c>
      <c r="B119" s="45" t="str">
        <f t="shared" si="25"/>
        <v>L4</v>
      </c>
      <c r="C119" s="277" t="s">
        <v>1145</v>
      </c>
      <c r="D119" s="79" t="s">
        <v>1113</v>
      </c>
      <c r="E119" s="72" t="s">
        <v>1146</v>
      </c>
      <c r="F119" s="61" t="s">
        <v>84</v>
      </c>
      <c r="G119" s="40"/>
      <c r="H119" s="40"/>
      <c r="I119" s="59"/>
      <c r="J119" s="59"/>
      <c r="K119" s="70"/>
      <c r="L119" s="191">
        <v>884</v>
      </c>
      <c r="M119" s="70"/>
      <c r="N119" s="70"/>
      <c r="O119" s="70"/>
      <c r="P119" s="70">
        <f>472</f>
        <v>472</v>
      </c>
      <c r="Q119" s="70"/>
      <c r="R119" s="70"/>
      <c r="S119" s="25" t="e">
        <f>IF(#REF!="INTERNHUSLEIE",#REF!,"0")</f>
        <v>#REF!</v>
      </c>
      <c r="T119" s="28" t="s">
        <v>1144</v>
      </c>
      <c r="U119" s="28">
        <f t="shared" si="26"/>
        <v>4</v>
      </c>
      <c r="V119" s="99"/>
      <c r="W119" s="99"/>
      <c r="X119" s="101"/>
      <c r="Y119" s="28"/>
    </row>
    <row r="120" spans="1:25" s="38" customFormat="1" x14ac:dyDescent="0.25">
      <c r="A120" s="45" t="s">
        <v>1142</v>
      </c>
      <c r="B120" s="45" t="str">
        <f t="shared" si="25"/>
        <v>L5</v>
      </c>
      <c r="C120" s="226"/>
      <c r="D120" s="79"/>
      <c r="E120" s="41"/>
      <c r="F120" s="61"/>
      <c r="G120" s="40"/>
      <c r="H120" s="40"/>
      <c r="I120" s="59"/>
      <c r="J120" s="59"/>
      <c r="K120" s="70"/>
      <c r="L120" s="70"/>
      <c r="M120" s="70"/>
      <c r="N120" s="70"/>
      <c r="O120" s="70"/>
      <c r="P120" s="70"/>
      <c r="Q120" s="70"/>
      <c r="R120" s="70"/>
      <c r="S120" s="25"/>
      <c r="T120" s="28" t="s">
        <v>1144</v>
      </c>
      <c r="U120" s="28">
        <f t="shared" si="26"/>
        <v>5</v>
      </c>
      <c r="V120" s="99"/>
      <c r="W120" s="99"/>
      <c r="X120" s="101"/>
      <c r="Y120" s="28"/>
    </row>
    <row r="121" spans="1:25" s="38" customFormat="1" x14ac:dyDescent="0.25">
      <c r="A121" s="45" t="s">
        <v>1142</v>
      </c>
      <c r="B121" s="45" t="str">
        <f t="shared" si="25"/>
        <v>L6</v>
      </c>
      <c r="C121" s="54"/>
      <c r="D121" s="79"/>
      <c r="E121" s="41"/>
      <c r="F121" s="61"/>
      <c r="G121" s="40"/>
      <c r="H121" s="40"/>
      <c r="I121" s="59"/>
      <c r="J121" s="59"/>
      <c r="K121" s="70"/>
      <c r="L121" s="70"/>
      <c r="M121" s="70"/>
      <c r="N121" s="70"/>
      <c r="O121" s="70"/>
      <c r="P121" s="70"/>
      <c r="Q121" s="70"/>
      <c r="R121" s="70"/>
      <c r="S121" s="25"/>
      <c r="T121" s="28" t="s">
        <v>1144</v>
      </c>
      <c r="U121" s="28">
        <f t="shared" si="26"/>
        <v>6</v>
      </c>
      <c r="V121" s="99"/>
      <c r="W121" s="99"/>
      <c r="X121" s="101"/>
      <c r="Y121" s="28"/>
    </row>
    <row r="122" spans="1:25" s="38" customFormat="1" x14ac:dyDescent="0.25">
      <c r="A122" s="45" t="s">
        <v>1142</v>
      </c>
      <c r="B122" s="45" t="str">
        <f t="shared" si="25"/>
        <v>L7</v>
      </c>
      <c r="C122" s="54"/>
      <c r="D122" s="79"/>
      <c r="E122" s="41"/>
      <c r="F122" s="61"/>
      <c r="G122" s="40"/>
      <c r="H122" s="40"/>
      <c r="I122" s="59"/>
      <c r="J122" s="59"/>
      <c r="K122" s="70"/>
      <c r="L122" s="70"/>
      <c r="M122" s="70"/>
      <c r="N122" s="70"/>
      <c r="O122" s="70"/>
      <c r="P122" s="70"/>
      <c r="Q122" s="70"/>
      <c r="R122" s="70"/>
      <c r="S122" s="25"/>
      <c r="T122" s="28" t="s">
        <v>1144</v>
      </c>
      <c r="U122" s="28">
        <f t="shared" si="26"/>
        <v>7</v>
      </c>
      <c r="V122" s="99"/>
      <c r="W122" s="99"/>
      <c r="X122" s="101"/>
      <c r="Y122" s="28"/>
    </row>
    <row r="123" spans="1:25" s="38" customFormat="1" ht="18.75" customHeight="1" x14ac:dyDescent="0.25">
      <c r="A123" s="161"/>
      <c r="B123" s="161"/>
      <c r="C123" s="162" t="s">
        <v>1072</v>
      </c>
      <c r="D123" s="162"/>
      <c r="E123" s="162"/>
      <c r="F123" s="165" t="s">
        <v>84</v>
      </c>
      <c r="G123" s="162"/>
      <c r="H123" s="162"/>
      <c r="I123" s="162"/>
      <c r="J123" s="162"/>
      <c r="K123" s="163">
        <f>SUMIF(F$116:$F122,$F$123,K116:K122)</f>
        <v>0</v>
      </c>
      <c r="L123" s="163">
        <f ca="1">SUMIF($F$116:G122,$F$123,L116:L122)</f>
        <v>1469</v>
      </c>
      <c r="M123" s="163">
        <f ca="1">SUMIF($F$116:H122,$F$123,M116:M122)</f>
        <v>0</v>
      </c>
      <c r="N123" s="163">
        <f ca="1">SUMIF($F$116:I122,$F$123,N116:N122)</f>
        <v>0</v>
      </c>
      <c r="O123" s="163">
        <f ca="1">SUMIF($F$116:J122,$F$123,O116:O122)</f>
        <v>0</v>
      </c>
      <c r="P123" s="163">
        <f ca="1">SUMIF($F$116:K122,$F$123,P116:P122)</f>
        <v>3355</v>
      </c>
      <c r="Q123" s="163"/>
      <c r="R123" s="163"/>
      <c r="S123" s="25"/>
      <c r="T123" s="28" t="s">
        <v>1144</v>
      </c>
      <c r="U123" s="28"/>
      <c r="V123" s="99"/>
      <c r="W123" s="99"/>
      <c r="X123" s="101"/>
      <c r="Y123" s="28"/>
    </row>
    <row r="124" spans="1:25" s="38" customFormat="1" ht="18.75" customHeight="1" x14ac:dyDescent="0.25">
      <c r="A124" s="161"/>
      <c r="B124" s="161"/>
      <c r="C124" s="162" t="s">
        <v>1072</v>
      </c>
      <c r="D124" s="162"/>
      <c r="E124" s="166" t="s">
        <v>91</v>
      </c>
      <c r="F124" s="164"/>
      <c r="G124" s="164"/>
      <c r="H124" s="164"/>
      <c r="I124" s="164"/>
      <c r="J124" s="164"/>
      <c r="K124" s="163">
        <f t="shared" ref="K124:P124" si="27">SUMIF($E$116:$E$122,$E$124,K116:K122)</f>
        <v>86</v>
      </c>
      <c r="L124" s="163">
        <f t="shared" si="27"/>
        <v>0</v>
      </c>
      <c r="M124" s="163">
        <f t="shared" si="27"/>
        <v>0</v>
      </c>
      <c r="N124" s="163">
        <f t="shared" si="27"/>
        <v>0</v>
      </c>
      <c r="O124" s="163">
        <f t="shared" si="27"/>
        <v>0</v>
      </c>
      <c r="P124" s="163">
        <f t="shared" si="27"/>
        <v>571</v>
      </c>
      <c r="Q124" s="163"/>
      <c r="R124" s="163"/>
      <c r="S124" s="25"/>
      <c r="T124" s="28" t="s">
        <v>1144</v>
      </c>
      <c r="U124" s="28"/>
      <c r="V124" s="99"/>
      <c r="W124" s="99"/>
      <c r="X124" s="101"/>
      <c r="Y124" s="28"/>
    </row>
    <row r="125" spans="1:25" s="38" customFormat="1" ht="18.75" customHeight="1" x14ac:dyDescent="0.25">
      <c r="A125" s="45"/>
      <c r="B125" s="45"/>
      <c r="C125" s="16" t="s">
        <v>130</v>
      </c>
      <c r="D125" s="79"/>
      <c r="E125" s="41"/>
      <c r="F125" s="61"/>
      <c r="G125" s="40"/>
      <c r="H125" s="40"/>
      <c r="I125" s="59">
        <v>-4795</v>
      </c>
      <c r="J125" s="59"/>
      <c r="K125" s="70"/>
      <c r="L125" s="70"/>
      <c r="M125" s="75"/>
      <c r="N125" s="75"/>
      <c r="O125" s="75"/>
      <c r="P125" s="75"/>
      <c r="Q125" s="75"/>
      <c r="R125" s="75"/>
      <c r="S125" s="25" t="str">
        <f t="shared" ref="S125:S136" si="28">IF(D125="INTERNHUSLEIE",K125,"0")</f>
        <v>0</v>
      </c>
      <c r="T125" s="28" t="s">
        <v>1144</v>
      </c>
      <c r="U125" s="28"/>
      <c r="V125" s="99">
        <f t="shared" ref="V125:V136" si="29">IF(F125="VEDTATT","VEDTATT",0)</f>
        <v>0</v>
      </c>
      <c r="W125" s="99">
        <f t="shared" ref="W125:W136" si="30">IF(F125="MÅ","Nye tiltak",0)</f>
        <v>0</v>
      </c>
      <c r="X125" s="101"/>
      <c r="Y125" s="28"/>
    </row>
    <row r="126" spans="1:25" s="38" customFormat="1" ht="18.75" customHeight="1" x14ac:dyDescent="0.25">
      <c r="A126" s="45" t="s">
        <v>1142</v>
      </c>
      <c r="B126" s="45" t="str">
        <f t="shared" si="25"/>
        <v>L8</v>
      </c>
      <c r="C126" s="54" t="s">
        <v>1147</v>
      </c>
      <c r="D126" s="79" t="s">
        <v>1109</v>
      </c>
      <c r="E126" s="72" t="s">
        <v>1110</v>
      </c>
      <c r="F126" s="61" t="s">
        <v>84</v>
      </c>
      <c r="G126" s="40"/>
      <c r="H126" s="40"/>
      <c r="I126" s="59"/>
      <c r="J126" s="59"/>
      <c r="K126" s="70">
        <v>242</v>
      </c>
      <c r="L126" s="70"/>
      <c r="M126" s="254"/>
      <c r="O126" s="254">
        <v>2066</v>
      </c>
      <c r="P126" s="254">
        <v>4131</v>
      </c>
      <c r="Q126" s="254"/>
      <c r="R126" s="254"/>
      <c r="S126" s="25">
        <f t="shared" si="28"/>
        <v>242</v>
      </c>
      <c r="T126" s="28" t="s">
        <v>1144</v>
      </c>
      <c r="U126" s="28">
        <f>U122+1</f>
        <v>8</v>
      </c>
      <c r="V126" s="99" t="str">
        <f t="shared" si="29"/>
        <v>VEDTATT</v>
      </c>
      <c r="W126" s="99">
        <f t="shared" si="30"/>
        <v>0</v>
      </c>
      <c r="X126" s="101"/>
      <c r="Y126" s="28"/>
    </row>
    <row r="127" spans="1:25" s="38" customFormat="1" ht="18.75" customHeight="1" x14ac:dyDescent="0.25">
      <c r="A127" s="45" t="s">
        <v>1142</v>
      </c>
      <c r="B127" s="45" t="str">
        <f t="shared" si="25"/>
        <v>L9</v>
      </c>
      <c r="C127" s="54" t="s">
        <v>1147</v>
      </c>
      <c r="D127" s="79" t="s">
        <v>1113</v>
      </c>
      <c r="E127" s="72" t="s">
        <v>1110</v>
      </c>
      <c r="F127" s="71" t="s">
        <v>84</v>
      </c>
      <c r="G127" s="106"/>
      <c r="H127" s="106"/>
      <c r="I127" s="69">
        <v>-4794</v>
      </c>
      <c r="J127" s="69">
        <v>5500</v>
      </c>
      <c r="K127" s="69"/>
      <c r="L127" s="70"/>
      <c r="M127" s="254"/>
      <c r="O127" s="254">
        <v>152</v>
      </c>
      <c r="P127" s="254">
        <v>304</v>
      </c>
      <c r="Q127" s="254"/>
      <c r="R127" s="254"/>
      <c r="S127" s="25" t="str">
        <f t="shared" si="28"/>
        <v>0</v>
      </c>
      <c r="T127" s="28" t="s">
        <v>1144</v>
      </c>
      <c r="U127" s="28">
        <f t="shared" ref="U127:U158" si="31">U126+1</f>
        <v>9</v>
      </c>
      <c r="V127" s="99" t="str">
        <f t="shared" si="29"/>
        <v>VEDTATT</v>
      </c>
      <c r="W127" s="99">
        <f t="shared" si="30"/>
        <v>0</v>
      </c>
      <c r="X127" s="101"/>
      <c r="Y127" s="28"/>
    </row>
    <row r="128" spans="1:25" s="444" customFormat="1" ht="25.5" x14ac:dyDescent="0.25">
      <c r="A128" s="454" t="s">
        <v>1142</v>
      </c>
      <c r="B128" s="433" t="str">
        <f t="shared" si="25"/>
        <v>L10</v>
      </c>
      <c r="C128" s="455" t="s">
        <v>1148</v>
      </c>
      <c r="D128" s="435" t="s">
        <v>1109</v>
      </c>
      <c r="E128" s="436" t="s">
        <v>1110</v>
      </c>
      <c r="F128" s="450" t="s">
        <v>84</v>
      </c>
      <c r="G128" s="451"/>
      <c r="H128" s="451"/>
      <c r="I128" s="439">
        <v>-4793</v>
      </c>
      <c r="J128" s="439">
        <v>11000</v>
      </c>
      <c r="K128" s="439"/>
      <c r="L128" s="439"/>
      <c r="M128" s="452"/>
      <c r="N128" s="452">
        <v>1175</v>
      </c>
      <c r="O128" s="452">
        <v>2351</v>
      </c>
      <c r="P128" s="452">
        <v>2351</v>
      </c>
      <c r="Q128" s="452"/>
      <c r="R128" s="452"/>
      <c r="S128" s="437">
        <f t="shared" si="28"/>
        <v>0</v>
      </c>
      <c r="T128" s="444" t="s">
        <v>1144</v>
      </c>
      <c r="U128" s="444">
        <f t="shared" si="31"/>
        <v>10</v>
      </c>
      <c r="V128" s="445" t="str">
        <f t="shared" si="29"/>
        <v>VEDTATT</v>
      </c>
      <c r="W128" s="445">
        <f t="shared" si="30"/>
        <v>0</v>
      </c>
      <c r="X128" s="453"/>
    </row>
    <row r="129" spans="1:28" s="38" customFormat="1" ht="25.5" x14ac:dyDescent="0.25">
      <c r="A129" s="80" t="s">
        <v>1142</v>
      </c>
      <c r="B129" s="78" t="str">
        <f t="shared" si="25"/>
        <v>L11</v>
      </c>
      <c r="C129" s="206" t="s">
        <v>1148</v>
      </c>
      <c r="D129" s="79" t="s">
        <v>1113</v>
      </c>
      <c r="E129" s="72" t="s">
        <v>1110</v>
      </c>
      <c r="F129" s="71" t="s">
        <v>84</v>
      </c>
      <c r="G129" s="456"/>
      <c r="H129" s="456"/>
      <c r="I129" s="421">
        <v>-4792</v>
      </c>
      <c r="J129" s="421">
        <v>5000</v>
      </c>
      <c r="K129" s="421">
        <v>575</v>
      </c>
      <c r="L129" s="421"/>
      <c r="M129" s="373"/>
      <c r="N129" s="373">
        <v>82</v>
      </c>
      <c r="O129" s="373">
        <v>164</v>
      </c>
      <c r="P129" s="373">
        <v>164</v>
      </c>
      <c r="Q129" s="373"/>
      <c r="R129" s="373"/>
      <c r="S129" s="457" t="str">
        <f t="shared" si="28"/>
        <v>0</v>
      </c>
      <c r="T129" s="38" t="s">
        <v>1144</v>
      </c>
      <c r="U129" s="38">
        <f t="shared" si="31"/>
        <v>11</v>
      </c>
      <c r="V129" s="392" t="str">
        <f t="shared" si="29"/>
        <v>VEDTATT</v>
      </c>
      <c r="W129" s="392">
        <f t="shared" si="30"/>
        <v>0</v>
      </c>
      <c r="X129" s="458"/>
    </row>
    <row r="130" spans="1:28" s="38" customFormat="1" ht="18.75" customHeight="1" x14ac:dyDescent="0.25">
      <c r="A130" s="68" t="s">
        <v>1142</v>
      </c>
      <c r="B130" s="45" t="str">
        <f t="shared" si="25"/>
        <v>L12</v>
      </c>
      <c r="C130" s="54" t="s">
        <v>1149</v>
      </c>
      <c r="D130" s="79" t="s">
        <v>1109</v>
      </c>
      <c r="E130" s="72" t="s">
        <v>1110</v>
      </c>
      <c r="F130" s="61" t="s">
        <v>84</v>
      </c>
      <c r="G130" s="40"/>
      <c r="H130" s="40"/>
      <c r="I130" s="59"/>
      <c r="J130" s="59"/>
      <c r="K130" s="70">
        <v>150</v>
      </c>
      <c r="L130" s="70"/>
      <c r="O130" s="254"/>
      <c r="P130" s="254"/>
      <c r="Q130" s="254"/>
      <c r="R130" s="254"/>
      <c r="S130" s="25">
        <f t="shared" si="28"/>
        <v>150</v>
      </c>
      <c r="T130" s="28" t="s">
        <v>1144</v>
      </c>
      <c r="U130" s="28">
        <f>U129+1</f>
        <v>12</v>
      </c>
      <c r="V130" s="99" t="str">
        <f t="shared" si="29"/>
        <v>VEDTATT</v>
      </c>
      <c r="W130" s="99">
        <f t="shared" si="30"/>
        <v>0</v>
      </c>
      <c r="X130" s="101"/>
      <c r="Y130" s="28"/>
    </row>
    <row r="131" spans="1:28" s="38" customFormat="1" ht="18.75" customHeight="1" x14ac:dyDescent="0.25">
      <c r="A131" s="68" t="s">
        <v>1142</v>
      </c>
      <c r="B131" s="45" t="str">
        <f t="shared" si="25"/>
        <v>L13</v>
      </c>
      <c r="C131" s="54" t="s">
        <v>1149</v>
      </c>
      <c r="D131" s="79" t="s">
        <v>1112</v>
      </c>
      <c r="E131" s="72" t="s">
        <v>1110</v>
      </c>
      <c r="F131" s="61" t="s">
        <v>84</v>
      </c>
      <c r="G131" s="40"/>
      <c r="H131" s="40"/>
      <c r="I131" s="59"/>
      <c r="J131" s="59"/>
      <c r="K131" s="70">
        <f>260-173</f>
        <v>87</v>
      </c>
      <c r="L131" s="70"/>
      <c r="M131" s="254"/>
      <c r="N131" s="254"/>
      <c r="O131" s="254"/>
      <c r="P131" s="254"/>
      <c r="Q131" s="254"/>
      <c r="R131" s="254"/>
      <c r="S131" s="25" t="str">
        <f t="shared" si="28"/>
        <v>0</v>
      </c>
      <c r="T131" s="28" t="s">
        <v>1144</v>
      </c>
      <c r="U131" s="28">
        <f t="shared" si="31"/>
        <v>13</v>
      </c>
      <c r="V131" s="99" t="str">
        <f t="shared" si="29"/>
        <v>VEDTATT</v>
      </c>
      <c r="W131" s="99">
        <f t="shared" si="30"/>
        <v>0</v>
      </c>
      <c r="X131" s="101"/>
      <c r="Y131" s="28"/>
    </row>
    <row r="132" spans="1:28" s="38" customFormat="1" ht="18.75" customHeight="1" x14ac:dyDescent="0.25">
      <c r="A132" s="68" t="s">
        <v>1142</v>
      </c>
      <c r="B132" s="45" t="str">
        <f t="shared" si="25"/>
        <v>L14</v>
      </c>
      <c r="C132" s="54" t="s">
        <v>1149</v>
      </c>
      <c r="D132" s="79" t="s">
        <v>1113</v>
      </c>
      <c r="E132" s="72" t="s">
        <v>1110</v>
      </c>
      <c r="F132" s="61" t="s">
        <v>84</v>
      </c>
      <c r="G132" s="40"/>
      <c r="H132" s="40"/>
      <c r="I132" s="59"/>
      <c r="J132" s="59"/>
      <c r="K132" s="70">
        <v>15</v>
      </c>
      <c r="L132" s="70"/>
      <c r="O132" s="254"/>
      <c r="P132" s="254"/>
      <c r="Q132" s="254"/>
      <c r="R132" s="254"/>
      <c r="S132" s="25" t="str">
        <f t="shared" si="28"/>
        <v>0</v>
      </c>
      <c r="T132" s="28" t="s">
        <v>1144</v>
      </c>
      <c r="U132" s="28">
        <f t="shared" si="31"/>
        <v>14</v>
      </c>
      <c r="V132" s="99" t="str">
        <f t="shared" si="29"/>
        <v>VEDTATT</v>
      </c>
      <c r="W132" s="99">
        <f t="shared" si="30"/>
        <v>0</v>
      </c>
      <c r="X132" s="101"/>
      <c r="Y132" s="28"/>
    </row>
    <row r="133" spans="1:28" s="38" customFormat="1" ht="18.75" customHeight="1" x14ac:dyDescent="0.25">
      <c r="A133" s="68" t="s">
        <v>1142</v>
      </c>
      <c r="B133" s="45" t="str">
        <f t="shared" si="25"/>
        <v>L15</v>
      </c>
      <c r="C133" s="226" t="s">
        <v>1150</v>
      </c>
      <c r="D133" s="79" t="s">
        <v>1109</v>
      </c>
      <c r="E133" s="72" t="s">
        <v>1110</v>
      </c>
      <c r="F133" s="61" t="s">
        <v>84</v>
      </c>
      <c r="G133" s="40"/>
      <c r="H133" s="40"/>
      <c r="I133" s="59"/>
      <c r="J133" s="59"/>
      <c r="K133" s="70">
        <v>267</v>
      </c>
      <c r="L133" s="70"/>
      <c r="M133" s="254"/>
      <c r="N133" s="254"/>
      <c r="O133" s="254"/>
      <c r="P133" s="254"/>
      <c r="Q133" s="254"/>
      <c r="R133" s="254"/>
      <c r="S133" s="25">
        <f t="shared" si="28"/>
        <v>267</v>
      </c>
      <c r="T133" s="28" t="s">
        <v>1144</v>
      </c>
      <c r="U133" s="28">
        <f t="shared" si="31"/>
        <v>15</v>
      </c>
      <c r="V133" s="99" t="str">
        <f t="shared" si="29"/>
        <v>VEDTATT</v>
      </c>
      <c r="W133" s="99">
        <f t="shared" si="30"/>
        <v>0</v>
      </c>
      <c r="X133" s="101"/>
      <c r="Y133" s="28"/>
    </row>
    <row r="134" spans="1:28" s="38" customFormat="1" ht="18.75" customHeight="1" x14ac:dyDescent="0.25">
      <c r="A134" s="68" t="s">
        <v>1142</v>
      </c>
      <c r="B134" s="45" t="str">
        <f t="shared" si="25"/>
        <v>L16</v>
      </c>
      <c r="C134" s="226" t="s">
        <v>1150</v>
      </c>
      <c r="D134" s="79" t="s">
        <v>1112</v>
      </c>
      <c r="E134" s="72" t="s">
        <v>1110</v>
      </c>
      <c r="F134" s="61" t="s">
        <v>84</v>
      </c>
      <c r="G134" s="40"/>
      <c r="H134" s="40"/>
      <c r="I134" s="59"/>
      <c r="J134" s="59"/>
      <c r="K134" s="70">
        <v>26</v>
      </c>
      <c r="L134" s="70"/>
      <c r="M134" s="254"/>
      <c r="N134" s="254"/>
      <c r="O134" s="254"/>
      <c r="P134" s="254"/>
      <c r="Q134" s="254"/>
      <c r="R134" s="254"/>
      <c r="S134" s="25" t="str">
        <f t="shared" si="28"/>
        <v>0</v>
      </c>
      <c r="T134" s="28" t="s">
        <v>1144</v>
      </c>
      <c r="U134" s="28">
        <f t="shared" si="31"/>
        <v>16</v>
      </c>
      <c r="V134" s="99" t="str">
        <f t="shared" si="29"/>
        <v>VEDTATT</v>
      </c>
      <c r="W134" s="99">
        <f t="shared" si="30"/>
        <v>0</v>
      </c>
      <c r="X134" s="101"/>
      <c r="Y134" s="28"/>
    </row>
    <row r="135" spans="1:28" s="38" customFormat="1" x14ac:dyDescent="0.25">
      <c r="A135" s="68" t="s">
        <v>1142</v>
      </c>
      <c r="B135" s="45" t="str">
        <f t="shared" si="25"/>
        <v>L17</v>
      </c>
      <c r="C135" s="226" t="s">
        <v>1150</v>
      </c>
      <c r="D135" s="79" t="s">
        <v>1113</v>
      </c>
      <c r="E135" s="72" t="s">
        <v>1110</v>
      </c>
      <c r="F135" s="61" t="s">
        <v>84</v>
      </c>
      <c r="G135" s="40"/>
      <c r="H135" s="40"/>
      <c r="I135" s="59"/>
      <c r="J135" s="59"/>
      <c r="K135" s="70"/>
      <c r="L135" s="70"/>
      <c r="M135" s="254"/>
      <c r="N135" s="254"/>
      <c r="O135" s="254"/>
      <c r="P135" s="254"/>
      <c r="Q135" s="254"/>
      <c r="R135" s="254"/>
      <c r="S135" s="25" t="str">
        <f t="shared" si="28"/>
        <v>0</v>
      </c>
      <c r="T135" s="28" t="s">
        <v>1144</v>
      </c>
      <c r="U135" s="28">
        <f t="shared" si="31"/>
        <v>17</v>
      </c>
      <c r="V135" s="99" t="str">
        <f t="shared" si="29"/>
        <v>VEDTATT</v>
      </c>
      <c r="W135" s="99">
        <f t="shared" si="30"/>
        <v>0</v>
      </c>
      <c r="X135" s="101"/>
      <c r="Y135" s="28"/>
    </row>
    <row r="136" spans="1:28" s="38" customFormat="1" ht="29.45" customHeight="1" x14ac:dyDescent="0.25">
      <c r="A136" s="68" t="s">
        <v>1142</v>
      </c>
      <c r="B136" s="45" t="str">
        <f t="shared" si="25"/>
        <v>L18</v>
      </c>
      <c r="C136" s="54" t="s">
        <v>1151</v>
      </c>
      <c r="D136" s="79" t="s">
        <v>1109</v>
      </c>
      <c r="E136" s="72" t="s">
        <v>1110</v>
      </c>
      <c r="F136" s="61" t="s">
        <v>84</v>
      </c>
      <c r="G136" s="40"/>
      <c r="H136" s="40"/>
      <c r="I136" s="59"/>
      <c r="J136" s="59"/>
      <c r="K136" s="70"/>
      <c r="L136" s="70"/>
      <c r="M136" s="254"/>
      <c r="N136" s="254"/>
      <c r="O136" s="254"/>
      <c r="P136" s="254"/>
      <c r="Q136" s="254"/>
      <c r="R136" s="254"/>
      <c r="S136" s="25">
        <f t="shared" si="28"/>
        <v>0</v>
      </c>
      <c r="T136" s="28" t="s">
        <v>1144</v>
      </c>
      <c r="U136" s="28">
        <f t="shared" si="31"/>
        <v>18</v>
      </c>
      <c r="V136" s="99" t="str">
        <f t="shared" si="29"/>
        <v>VEDTATT</v>
      </c>
      <c r="W136" s="99">
        <f t="shared" si="30"/>
        <v>0</v>
      </c>
      <c r="X136" s="101"/>
      <c r="Y136" s="28"/>
    </row>
    <row r="137" spans="1:28" s="38" customFormat="1" x14ac:dyDescent="0.25">
      <c r="A137" s="68" t="s">
        <v>1142</v>
      </c>
      <c r="B137" s="45" t="str">
        <f t="shared" si="25"/>
        <v>L19</v>
      </c>
      <c r="C137" s="207" t="s">
        <v>1152</v>
      </c>
      <c r="D137" s="79" t="s">
        <v>1109</v>
      </c>
      <c r="E137" s="72" t="s">
        <v>1110</v>
      </c>
      <c r="F137" s="61" t="s">
        <v>84</v>
      </c>
      <c r="G137" s="40"/>
      <c r="H137" s="40"/>
      <c r="I137" s="59"/>
      <c r="J137" s="59"/>
      <c r="K137" s="70"/>
      <c r="L137" s="70">
        <v>248</v>
      </c>
      <c r="M137" s="254"/>
      <c r="N137" s="254"/>
      <c r="O137" s="254"/>
      <c r="P137" s="254"/>
      <c r="Q137" s="254"/>
      <c r="R137" s="254"/>
      <c r="S137" s="25"/>
      <c r="T137" s="28" t="s">
        <v>1144</v>
      </c>
      <c r="U137" s="28">
        <f t="shared" si="31"/>
        <v>19</v>
      </c>
      <c r="V137" s="99"/>
      <c r="W137" s="99"/>
      <c r="X137" s="101"/>
      <c r="Y137" s="28"/>
    </row>
    <row r="138" spans="1:28" s="38" customFormat="1" x14ac:dyDescent="0.25">
      <c r="A138" s="68" t="s">
        <v>1142</v>
      </c>
      <c r="B138" s="45" t="str">
        <f t="shared" si="25"/>
        <v>L20</v>
      </c>
      <c r="C138" s="54" t="s">
        <v>1153</v>
      </c>
      <c r="D138" s="79" t="s">
        <v>1109</v>
      </c>
      <c r="E138" s="72" t="s">
        <v>1110</v>
      </c>
      <c r="F138" s="61" t="s">
        <v>84</v>
      </c>
      <c r="G138" s="40"/>
      <c r="H138" s="40"/>
      <c r="I138" s="59"/>
      <c r="J138" s="59"/>
      <c r="K138" s="70"/>
      <c r="L138" s="191">
        <v>344</v>
      </c>
      <c r="M138" s="254"/>
      <c r="N138" s="254"/>
      <c r="O138" s="254"/>
      <c r="P138" s="254"/>
      <c r="Q138" s="254"/>
      <c r="R138" s="254"/>
      <c r="S138" s="25">
        <f>IF(D138="INTERNHUSLEIE",K138,"0")</f>
        <v>0</v>
      </c>
      <c r="T138" s="28" t="s">
        <v>1144</v>
      </c>
      <c r="U138" s="28">
        <f t="shared" si="31"/>
        <v>20</v>
      </c>
      <c r="V138" s="99"/>
      <c r="W138" s="99"/>
      <c r="X138" s="101"/>
      <c r="Y138" s="28"/>
    </row>
    <row r="139" spans="1:28" s="38" customFormat="1" x14ac:dyDescent="0.25">
      <c r="A139" s="68" t="s">
        <v>1142</v>
      </c>
      <c r="B139" s="45" t="str">
        <f t="shared" si="25"/>
        <v>L21</v>
      </c>
      <c r="C139" s="54" t="s">
        <v>1154</v>
      </c>
      <c r="D139" s="79" t="s">
        <v>1109</v>
      </c>
      <c r="E139" s="72" t="s">
        <v>1110</v>
      </c>
      <c r="F139" s="61" t="s">
        <v>84</v>
      </c>
      <c r="G139" s="40"/>
      <c r="H139" s="40"/>
      <c r="I139" s="59"/>
      <c r="J139" s="59"/>
      <c r="K139" s="70"/>
      <c r="L139" s="191"/>
      <c r="M139" s="254"/>
      <c r="P139" s="254">
        <v>779</v>
      </c>
      <c r="Q139" s="254"/>
      <c r="R139" s="254"/>
      <c r="S139" s="179"/>
      <c r="T139" s="28" t="s">
        <v>1144</v>
      </c>
      <c r="U139" s="28">
        <f t="shared" si="31"/>
        <v>21</v>
      </c>
      <c r="V139" s="99" t="str">
        <f>IF(F139="VEDTATT","VEDTATT",0)</f>
        <v>VEDTATT</v>
      </c>
      <c r="W139" s="99">
        <f>IF(F139="MÅ","Nye tiltak",0)</f>
        <v>0</v>
      </c>
      <c r="X139" s="101"/>
      <c r="Y139" s="28"/>
    </row>
    <row r="140" spans="1:28" s="38" customFormat="1" x14ac:dyDescent="0.25">
      <c r="A140" s="68" t="s">
        <v>1142</v>
      </c>
      <c r="B140" s="45" t="str">
        <f t="shared" si="25"/>
        <v>L22</v>
      </c>
      <c r="C140" s="54" t="s">
        <v>1154</v>
      </c>
      <c r="D140" s="79" t="s">
        <v>1113</v>
      </c>
      <c r="E140" s="72" t="s">
        <v>1110</v>
      </c>
      <c r="F140" s="61" t="s">
        <v>84</v>
      </c>
      <c r="G140" s="40"/>
      <c r="H140" s="40"/>
      <c r="I140" s="59"/>
      <c r="J140" s="59"/>
      <c r="K140" s="70"/>
      <c r="L140" s="191"/>
      <c r="M140" s="254"/>
      <c r="P140" s="254">
        <v>15</v>
      </c>
      <c r="Q140" s="254"/>
      <c r="R140" s="254"/>
      <c r="S140" s="179"/>
      <c r="T140" s="28" t="s">
        <v>1144</v>
      </c>
      <c r="U140" s="28">
        <f t="shared" si="31"/>
        <v>22</v>
      </c>
      <c r="V140" s="99" t="str">
        <f>IF(F140="VEDTATT","VEDTATT",0)</f>
        <v>VEDTATT</v>
      </c>
      <c r="W140" s="99">
        <f>IF(F140="MÅ","Nye tiltak",0)</f>
        <v>0</v>
      </c>
      <c r="X140" s="101"/>
      <c r="Y140" s="28"/>
    </row>
    <row r="141" spans="1:28" s="444" customFormat="1" ht="18.75" customHeight="1" x14ac:dyDescent="0.25">
      <c r="A141" s="454" t="s">
        <v>1142</v>
      </c>
      <c r="B141" s="433" t="str">
        <f t="shared" si="25"/>
        <v>L23</v>
      </c>
      <c r="C141" s="439" t="s">
        <v>1155</v>
      </c>
      <c r="D141" s="435" t="s">
        <v>1109</v>
      </c>
      <c r="E141" s="436" t="s">
        <v>91</v>
      </c>
      <c r="F141" s="450"/>
      <c r="G141" s="451"/>
      <c r="H141" s="451"/>
      <c r="I141" s="439"/>
      <c r="J141" s="439"/>
      <c r="K141" s="439"/>
      <c r="L141" s="459"/>
      <c r="M141" s="460"/>
      <c r="N141" s="460"/>
      <c r="O141" s="460"/>
      <c r="P141" s="460"/>
      <c r="Q141" s="460"/>
      <c r="R141" s="460"/>
      <c r="S141" s="437">
        <f>IF(D141="INTERNHUSLEIE",K141,"0")</f>
        <v>0</v>
      </c>
      <c r="T141" s="444" t="s">
        <v>1144</v>
      </c>
      <c r="U141" s="444">
        <f t="shared" si="31"/>
        <v>23</v>
      </c>
      <c r="V141" s="445">
        <f>IF(F141="VEDTATT","VEDTATT",0)</f>
        <v>0</v>
      </c>
      <c r="W141" s="445">
        <f>IF(F141="MÅ","Nye tiltak",0)</f>
        <v>0</v>
      </c>
      <c r="X141" s="453"/>
      <c r="Y141" s="461" t="s">
        <v>1156</v>
      </c>
      <c r="Z141" s="444">
        <v>2370</v>
      </c>
      <c r="AA141" s="444">
        <v>4740</v>
      </c>
      <c r="AB141" s="444" t="s">
        <v>1157</v>
      </c>
    </row>
    <row r="142" spans="1:28" s="38" customFormat="1" ht="18.75" customHeight="1" x14ac:dyDescent="0.25">
      <c r="A142" s="68" t="s">
        <v>1142</v>
      </c>
      <c r="B142" s="45" t="str">
        <f t="shared" si="25"/>
        <v>L24</v>
      </c>
      <c r="C142" s="70" t="s">
        <v>1155</v>
      </c>
      <c r="D142" s="79" t="s">
        <v>1113</v>
      </c>
      <c r="E142" s="41" t="s">
        <v>91</v>
      </c>
      <c r="F142" s="61"/>
      <c r="G142" s="40"/>
      <c r="H142" s="40"/>
      <c r="I142" s="59"/>
      <c r="J142" s="59"/>
      <c r="K142" s="70"/>
      <c r="L142" s="191"/>
      <c r="M142" s="281"/>
      <c r="N142" s="281"/>
      <c r="O142" s="281"/>
      <c r="P142" s="281"/>
      <c r="Q142" s="281"/>
      <c r="R142" s="281"/>
      <c r="S142" s="25" t="str">
        <f>IF(D142="INTERNHUSLEIE",K142,"0")</f>
        <v>0</v>
      </c>
      <c r="T142" s="28" t="s">
        <v>1144</v>
      </c>
      <c r="U142" s="28">
        <f t="shared" si="31"/>
        <v>24</v>
      </c>
      <c r="V142" s="99">
        <f>IF(F142="VEDTATT","VEDTATT",0)</f>
        <v>0</v>
      </c>
      <c r="W142" s="99">
        <f>IF(F142="MÅ","Nye tiltak",0)</f>
        <v>0</v>
      </c>
      <c r="X142" s="101"/>
      <c r="Y142" s="168" t="s">
        <v>1158</v>
      </c>
      <c r="Z142" s="170">
        <v>297</v>
      </c>
      <c r="AA142" s="170">
        <v>593</v>
      </c>
    </row>
    <row r="143" spans="1:28" s="38" customFormat="1" ht="18.75" customHeight="1" x14ac:dyDescent="0.25">
      <c r="A143" s="68" t="s">
        <v>1142</v>
      </c>
      <c r="B143" s="45" t="str">
        <f t="shared" si="25"/>
        <v>L25</v>
      </c>
      <c r="C143" s="217" t="s">
        <v>1159</v>
      </c>
      <c r="D143" s="79" t="s">
        <v>1109</v>
      </c>
      <c r="E143" s="41" t="s">
        <v>91</v>
      </c>
      <c r="F143" s="61"/>
      <c r="G143" s="40"/>
      <c r="H143" s="40"/>
      <c r="I143" s="59"/>
      <c r="J143" s="59"/>
      <c r="K143" s="70"/>
      <c r="L143" s="191"/>
      <c r="M143" s="191"/>
      <c r="N143" s="191"/>
      <c r="O143" s="191"/>
      <c r="P143" s="191"/>
      <c r="Q143" s="191"/>
      <c r="R143" s="191"/>
      <c r="S143" s="25"/>
      <c r="T143" s="28" t="s">
        <v>1144</v>
      </c>
      <c r="U143" s="28">
        <f t="shared" si="31"/>
        <v>25</v>
      </c>
      <c r="V143" s="99"/>
      <c r="W143" s="99"/>
      <c r="X143" s="101"/>
      <c r="Y143" s="168"/>
      <c r="Z143" s="170"/>
      <c r="AA143" s="170"/>
    </row>
    <row r="144" spans="1:28" s="38" customFormat="1" ht="18.75" customHeight="1" x14ac:dyDescent="0.25">
      <c r="A144" s="68" t="s">
        <v>1142</v>
      </c>
      <c r="B144" s="45" t="str">
        <f t="shared" si="25"/>
        <v>L26</v>
      </c>
      <c r="C144" s="206"/>
      <c r="D144" s="79" t="s">
        <v>1109</v>
      </c>
      <c r="E144" s="41" t="s">
        <v>91</v>
      </c>
      <c r="F144" s="61"/>
      <c r="G144" s="40"/>
      <c r="H144" s="40"/>
      <c r="I144" s="59"/>
      <c r="J144" s="59"/>
      <c r="K144" s="70"/>
      <c r="L144" s="191"/>
      <c r="M144" s="70"/>
      <c r="N144" s="70"/>
      <c r="O144" s="70"/>
      <c r="P144" s="70"/>
      <c r="Q144" s="70"/>
      <c r="R144" s="70"/>
      <c r="S144" s="25">
        <f>IF(D144="INTERNHUSLEIE",K144,"0")</f>
        <v>0</v>
      </c>
      <c r="T144" s="28" t="s">
        <v>1144</v>
      </c>
      <c r="U144" s="28">
        <f t="shared" si="31"/>
        <v>26</v>
      </c>
      <c r="V144" s="99">
        <f>IF(F144="VEDTATT","VEDTATT",0)</f>
        <v>0</v>
      </c>
      <c r="W144" s="99">
        <f>IF(F144="MÅ","Nye tiltak",0)</f>
        <v>0</v>
      </c>
      <c r="X144" s="101"/>
      <c r="Y144" s="28"/>
      <c r="Z144" s="170">
        <f>SUM(Z141:Z142)</f>
        <v>2667</v>
      </c>
      <c r="AA144" s="170">
        <f>SUM(AA141:AA142)</f>
        <v>5333</v>
      </c>
    </row>
    <row r="145" spans="1:28" s="38" customFormat="1" ht="18.75" customHeight="1" x14ac:dyDescent="0.25">
      <c r="A145" s="68" t="s">
        <v>1142</v>
      </c>
      <c r="B145" s="45" t="str">
        <f t="shared" si="25"/>
        <v>L27</v>
      </c>
      <c r="C145" s="54"/>
      <c r="D145" s="79" t="s">
        <v>1113</v>
      </c>
      <c r="E145" s="41" t="s">
        <v>91</v>
      </c>
      <c r="F145" s="61"/>
      <c r="G145" s="40"/>
      <c r="H145" s="40"/>
      <c r="I145" s="59"/>
      <c r="J145" s="59"/>
      <c r="K145" s="70"/>
      <c r="L145" s="191"/>
      <c r="M145" s="70"/>
      <c r="N145" s="70"/>
      <c r="O145" s="70"/>
      <c r="P145" s="70"/>
      <c r="Q145" s="70"/>
      <c r="R145" s="70"/>
      <c r="S145" s="25" t="str">
        <f>IF(D145="INTERNHUSLEIE",K145,"0")</f>
        <v>0</v>
      </c>
      <c r="T145" s="28" t="s">
        <v>1144</v>
      </c>
      <c r="U145" s="28">
        <f t="shared" si="31"/>
        <v>27</v>
      </c>
      <c r="V145" s="99">
        <f>IF(F145="VEDTATT","VEDTATT",0)</f>
        <v>0</v>
      </c>
      <c r="W145" s="99">
        <f>IF(F145="MÅ","Nye tiltak",0)</f>
        <v>0</v>
      </c>
      <c r="X145" s="101"/>
      <c r="Y145" s="28"/>
      <c r="Z145" s="169">
        <v>890</v>
      </c>
      <c r="AA145" s="169">
        <v>1780</v>
      </c>
      <c r="AB145" s="38" t="s">
        <v>1160</v>
      </c>
    </row>
    <row r="146" spans="1:28" s="38" customFormat="1" ht="18.75" customHeight="1" x14ac:dyDescent="0.25">
      <c r="A146" s="161"/>
      <c r="B146" s="161" t="str">
        <f t="shared" si="25"/>
        <v/>
      </c>
      <c r="C146" s="162" t="s">
        <v>1073</v>
      </c>
      <c r="D146" s="162"/>
      <c r="E146" s="162"/>
      <c r="F146" s="165" t="s">
        <v>84</v>
      </c>
      <c r="G146" s="162"/>
      <c r="H146" s="162"/>
      <c r="I146" s="162"/>
      <c r="J146" s="162"/>
      <c r="K146" s="163">
        <f>SUMIF(F$126:$F145,$F$146,K126:K145)</f>
        <v>1362</v>
      </c>
      <c r="L146" s="163">
        <f ca="1">SUMIF($F$126:G145,$F$146,L126:L145)</f>
        <v>592</v>
      </c>
      <c r="M146" s="163">
        <f ca="1">SUMIF($F$126:H145,$F$146,M126:M145)</f>
        <v>0</v>
      </c>
      <c r="N146" s="163">
        <f ca="1">SUMIF($F$126:I145,$F$146,N126:N145)</f>
        <v>1257</v>
      </c>
      <c r="O146" s="163">
        <f ca="1">SUMIF($F$126:J145,$F$146,O126:O145)</f>
        <v>4733</v>
      </c>
      <c r="P146" s="163">
        <f ca="1">SUMIF($F$126:K145,$F$146,P126:P145)</f>
        <v>7744</v>
      </c>
      <c r="Q146" s="163"/>
      <c r="R146" s="163"/>
      <c r="S146" s="25"/>
      <c r="T146" s="28"/>
      <c r="U146" s="28"/>
      <c r="V146" s="99"/>
      <c r="W146" s="99"/>
      <c r="X146" s="101"/>
      <c r="Y146" s="28"/>
      <c r="Z146" s="169">
        <v>552</v>
      </c>
      <c r="AA146" s="169">
        <v>1105</v>
      </c>
    </row>
    <row r="147" spans="1:28" s="38" customFormat="1" ht="18.75" customHeight="1" x14ac:dyDescent="0.25">
      <c r="A147" s="167"/>
      <c r="B147" s="161"/>
      <c r="C147" s="162" t="s">
        <v>1073</v>
      </c>
      <c r="D147" s="162"/>
      <c r="E147" s="166" t="s">
        <v>91</v>
      </c>
      <c r="F147" s="164"/>
      <c r="G147" s="164"/>
      <c r="H147" s="164"/>
      <c r="I147" s="164"/>
      <c r="J147" s="164"/>
      <c r="K147" s="163">
        <f t="shared" ref="K147:P147" si="32">SUMIF($E$126:$E$145,$E$147,K126:K145)</f>
        <v>0</v>
      </c>
      <c r="L147" s="163">
        <f t="shared" si="32"/>
        <v>0</v>
      </c>
      <c r="M147" s="163">
        <f t="shared" si="32"/>
        <v>0</v>
      </c>
      <c r="N147" s="163">
        <f t="shared" si="32"/>
        <v>0</v>
      </c>
      <c r="O147" s="163">
        <f>SUMIF($E$126:$E$145,$E$147,O126:O145)</f>
        <v>0</v>
      </c>
      <c r="P147" s="163">
        <f t="shared" si="32"/>
        <v>0</v>
      </c>
      <c r="Q147" s="163"/>
      <c r="R147" s="163"/>
      <c r="S147" s="25"/>
      <c r="T147" s="28"/>
      <c r="U147" s="28"/>
      <c r="V147" s="99"/>
      <c r="W147" s="99"/>
      <c r="X147" s="101"/>
      <c r="Y147" s="28"/>
      <c r="Z147" s="169">
        <v>297</v>
      </c>
      <c r="AA147" s="169">
        <v>593</v>
      </c>
    </row>
    <row r="148" spans="1:28" s="38" customFormat="1" ht="18.75" customHeight="1" x14ac:dyDescent="0.25">
      <c r="A148" s="80"/>
      <c r="B148" s="78"/>
      <c r="C148" s="82" t="s">
        <v>156</v>
      </c>
      <c r="D148" s="79"/>
      <c r="E148" s="72"/>
      <c r="F148" s="71"/>
      <c r="G148" s="40"/>
      <c r="H148" s="40"/>
      <c r="I148" s="59">
        <v>-4791</v>
      </c>
      <c r="J148" s="59">
        <v>0</v>
      </c>
      <c r="K148" s="70"/>
      <c r="L148" s="70"/>
      <c r="M148" s="70"/>
      <c r="N148" s="70"/>
      <c r="O148" s="70"/>
      <c r="P148" s="70"/>
      <c r="Q148" s="70"/>
      <c r="R148" s="70"/>
      <c r="S148" s="25" t="str">
        <f>IF(D148="INTERNHUSLEIE",K148,"0")</f>
        <v>0</v>
      </c>
      <c r="T148" s="28"/>
      <c r="U148" s="28"/>
      <c r="V148" s="99">
        <f>IF(F148="VEDTATT","VEDTATT",0)</f>
        <v>0</v>
      </c>
      <c r="W148" s="99">
        <f>IF(F148="MÅ","Nye tiltak",0)</f>
        <v>0</v>
      </c>
      <c r="X148" s="101"/>
      <c r="Y148" s="28"/>
      <c r="Z148" s="169">
        <f>SUM(Z145:Z147)</f>
        <v>1739</v>
      </c>
      <c r="AA148" s="169">
        <f>SUM(AA145:AA147)</f>
        <v>3478</v>
      </c>
    </row>
    <row r="149" spans="1:28" s="38" customFormat="1" x14ac:dyDescent="0.25">
      <c r="A149" s="80" t="s">
        <v>1142</v>
      </c>
      <c r="B149" s="80" t="str">
        <f>IF(U149,T149&amp;U149,"")</f>
        <v>L28</v>
      </c>
      <c r="C149" s="70" t="s">
        <v>1161</v>
      </c>
      <c r="D149" s="79" t="s">
        <v>1109</v>
      </c>
      <c r="E149" s="72" t="s">
        <v>1110</v>
      </c>
      <c r="F149" s="61" t="s">
        <v>84</v>
      </c>
      <c r="G149" s="40"/>
      <c r="H149" s="40"/>
      <c r="I149" s="59"/>
      <c r="J149" s="59"/>
      <c r="K149" s="70">
        <v>2072</v>
      </c>
      <c r="L149" s="70">
        <v>1036</v>
      </c>
      <c r="M149" s="70"/>
      <c r="N149" s="70"/>
      <c r="O149" s="70"/>
      <c r="P149" s="70"/>
      <c r="Q149" s="70"/>
      <c r="R149" s="70"/>
      <c r="S149" s="25">
        <f>IF(D149="INTERNHUSLEIE",K149,"0")</f>
        <v>2072</v>
      </c>
      <c r="T149" s="28" t="s">
        <v>1144</v>
      </c>
      <c r="U149" s="28">
        <f>U145+1</f>
        <v>28</v>
      </c>
      <c r="V149" s="99" t="str">
        <f>IF(F149="VEDTATT","VEDTATT",0)</f>
        <v>VEDTATT</v>
      </c>
      <c r="W149" s="99">
        <f>IF(F149="MÅ","Nye tiltak",0)</f>
        <v>0</v>
      </c>
      <c r="X149" s="101"/>
      <c r="Y149" s="28"/>
    </row>
    <row r="150" spans="1:28" s="38" customFormat="1" ht="18.75" customHeight="1" x14ac:dyDescent="0.25">
      <c r="A150" s="78" t="s">
        <v>1142</v>
      </c>
      <c r="B150" s="80" t="str">
        <f t="shared" ref="B150:B159" si="33">IF(U150,T150&amp;U150,"")</f>
        <v>L29</v>
      </c>
      <c r="C150" s="70" t="s">
        <v>1162</v>
      </c>
      <c r="D150" s="79" t="s">
        <v>1113</v>
      </c>
      <c r="E150" s="72" t="s">
        <v>1110</v>
      </c>
      <c r="F150" s="61" t="s">
        <v>84</v>
      </c>
      <c r="G150" s="40"/>
      <c r="H150" s="40"/>
      <c r="I150" s="59"/>
      <c r="J150" s="59"/>
      <c r="K150" s="70">
        <v>362</v>
      </c>
      <c r="L150" s="70">
        <v>181</v>
      </c>
      <c r="M150" s="70"/>
      <c r="N150" s="70"/>
      <c r="O150" s="70"/>
      <c r="P150" s="70"/>
      <c r="Q150" s="70"/>
      <c r="R150" s="70"/>
      <c r="S150" s="25" t="str">
        <f>IF(D150="INTERNHUSLEIE",K150,"0")</f>
        <v>0</v>
      </c>
      <c r="T150" s="28" t="s">
        <v>1144</v>
      </c>
      <c r="U150" s="28">
        <f t="shared" si="31"/>
        <v>29</v>
      </c>
      <c r="V150" s="99" t="str">
        <f>IF(F150="VEDTATT","VEDTATT",0)</f>
        <v>VEDTATT</v>
      </c>
      <c r="W150" s="99">
        <f>IF(F150="MÅ","Nye tiltak",0)</f>
        <v>0</v>
      </c>
      <c r="X150" s="101"/>
      <c r="Y150" s="28"/>
      <c r="Z150" s="38">
        <f>Z144-Z148</f>
        <v>928</v>
      </c>
      <c r="AA150" s="38">
        <f>AA144-AA148</f>
        <v>1855</v>
      </c>
    </row>
    <row r="151" spans="1:28" s="38" customFormat="1" ht="18.75" customHeight="1" x14ac:dyDescent="0.25">
      <c r="A151" s="45" t="s">
        <v>1142</v>
      </c>
      <c r="B151" s="80" t="str">
        <f t="shared" si="33"/>
        <v>L30</v>
      </c>
      <c r="C151" s="70" t="s">
        <v>1163</v>
      </c>
      <c r="D151" s="79" t="s">
        <v>1109</v>
      </c>
      <c r="E151" s="72" t="s">
        <v>1110</v>
      </c>
      <c r="F151" s="61" t="s">
        <v>84</v>
      </c>
      <c r="G151" s="40"/>
      <c r="H151" s="40"/>
      <c r="I151" s="59"/>
      <c r="J151" s="59"/>
      <c r="K151" s="70"/>
      <c r="L151" s="70"/>
      <c r="M151" s="70"/>
      <c r="N151" s="70">
        <v>1430</v>
      </c>
      <c r="O151" s="70">
        <v>1430</v>
      </c>
      <c r="P151" s="70">
        <v>1430</v>
      </c>
      <c r="Q151" s="70"/>
      <c r="R151" s="70"/>
      <c r="S151" s="25">
        <f>IF(D151="INTERNHUSLEIE",K151,"0")</f>
        <v>0</v>
      </c>
      <c r="T151" s="28" t="s">
        <v>1144</v>
      </c>
      <c r="U151" s="28">
        <f t="shared" si="31"/>
        <v>30</v>
      </c>
      <c r="V151" s="99" t="str">
        <f>IF(F151="VEDTATT","VEDTATT",0)</f>
        <v>VEDTATT</v>
      </c>
      <c r="W151" s="99">
        <f>IF(F151="MÅ","Nye tiltak",0)</f>
        <v>0</v>
      </c>
      <c r="X151" s="101"/>
      <c r="Y151" s="28" t="s">
        <v>1164</v>
      </c>
    </row>
    <row r="152" spans="1:28" s="38" customFormat="1" ht="18.75" customHeight="1" x14ac:dyDescent="0.25">
      <c r="A152" s="45" t="s">
        <v>1142</v>
      </c>
      <c r="B152" s="80" t="str">
        <f t="shared" si="33"/>
        <v>L31</v>
      </c>
      <c r="C152" s="70" t="s">
        <v>1163</v>
      </c>
      <c r="D152" s="79" t="s">
        <v>1113</v>
      </c>
      <c r="E152" s="72" t="s">
        <v>1110</v>
      </c>
      <c r="F152" s="61" t="s">
        <v>84</v>
      </c>
      <c r="G152" s="40"/>
      <c r="H152" s="40"/>
      <c r="I152" s="59"/>
      <c r="J152" s="59"/>
      <c r="K152" s="70"/>
      <c r="L152" s="70"/>
      <c r="M152" s="70"/>
      <c r="N152" s="70">
        <v>304</v>
      </c>
      <c r="O152" s="70">
        <v>304</v>
      </c>
      <c r="P152" s="70">
        <v>304</v>
      </c>
      <c r="Q152" s="70"/>
      <c r="R152" s="70"/>
      <c r="S152" s="25" t="str">
        <f>IF(D152="INTERNHUSLEIE",K152,"0")</f>
        <v>0</v>
      </c>
      <c r="T152" s="28" t="s">
        <v>1144</v>
      </c>
      <c r="U152" s="28">
        <f t="shared" si="31"/>
        <v>31</v>
      </c>
      <c r="V152" s="99" t="str">
        <f>IF(F152="VEDTATT","VEDTATT",0)</f>
        <v>VEDTATT</v>
      </c>
      <c r="W152" s="99">
        <f>IF(F152="MÅ","Nye tiltak",0)</f>
        <v>0</v>
      </c>
      <c r="X152" s="101"/>
      <c r="Y152" s="28" t="s">
        <v>1164</v>
      </c>
    </row>
    <row r="153" spans="1:28" s="38" customFormat="1" ht="18.75" customHeight="1" x14ac:dyDescent="0.25">
      <c r="A153" s="45" t="s">
        <v>1142</v>
      </c>
      <c r="B153" s="80" t="str">
        <f t="shared" si="33"/>
        <v>L32</v>
      </c>
      <c r="C153" s="38" t="s">
        <v>1165</v>
      </c>
      <c r="D153" s="79" t="s">
        <v>1109</v>
      </c>
      <c r="E153" s="72" t="s">
        <v>1166</v>
      </c>
      <c r="F153" s="61"/>
      <c r="G153" s="40"/>
      <c r="H153" s="40"/>
      <c r="I153" s="59"/>
      <c r="J153" s="59"/>
      <c r="K153" s="70"/>
      <c r="L153" s="70"/>
      <c r="M153" s="70"/>
      <c r="N153" s="70"/>
      <c r="O153" s="70"/>
      <c r="P153" s="70">
        <v>1578</v>
      </c>
      <c r="Q153" s="70"/>
      <c r="R153" s="70"/>
      <c r="S153" s="25"/>
      <c r="T153" s="28" t="s">
        <v>1144</v>
      </c>
      <c r="U153" s="28">
        <f t="shared" si="31"/>
        <v>32</v>
      </c>
      <c r="V153" s="99"/>
      <c r="W153" s="99"/>
      <c r="X153" s="101"/>
      <c r="Y153" s="28"/>
    </row>
    <row r="154" spans="1:28" s="38" customFormat="1" ht="18.75" customHeight="1" x14ac:dyDescent="0.25">
      <c r="A154" s="45" t="s">
        <v>1142</v>
      </c>
      <c r="B154" s="80" t="str">
        <f t="shared" si="33"/>
        <v>L33</v>
      </c>
      <c r="C154" s="38" t="s">
        <v>1165</v>
      </c>
      <c r="D154" s="79" t="s">
        <v>1113</v>
      </c>
      <c r="E154" s="72" t="s">
        <v>1167</v>
      </c>
      <c r="F154" s="61"/>
      <c r="G154" s="40"/>
      <c r="H154" s="40"/>
      <c r="I154" s="59"/>
      <c r="J154" s="59"/>
      <c r="K154" s="70"/>
      <c r="P154" s="38">
        <v>120</v>
      </c>
      <c r="S154" s="25"/>
      <c r="T154" s="28" t="s">
        <v>1144</v>
      </c>
      <c r="U154" s="28">
        <f t="shared" si="31"/>
        <v>33</v>
      </c>
      <c r="V154" s="99"/>
      <c r="W154" s="99"/>
      <c r="X154" s="101"/>
      <c r="Y154" s="28"/>
    </row>
    <row r="155" spans="1:28" s="38" customFormat="1" ht="18.75" customHeight="1" x14ac:dyDescent="0.25">
      <c r="A155" s="45" t="s">
        <v>1142</v>
      </c>
      <c r="B155" s="80" t="str">
        <f t="shared" si="33"/>
        <v>L34</v>
      </c>
      <c r="C155" s="218" t="s">
        <v>1168</v>
      </c>
      <c r="D155" s="79" t="s">
        <v>1109</v>
      </c>
      <c r="E155" s="41" t="s">
        <v>91</v>
      </c>
      <c r="F155" s="61"/>
      <c r="G155" s="40"/>
      <c r="H155" s="40"/>
      <c r="I155" s="59"/>
      <c r="J155" s="59"/>
      <c r="K155" s="70"/>
      <c r="L155" s="70"/>
      <c r="M155" s="70"/>
      <c r="N155" s="70"/>
      <c r="O155" s="70"/>
      <c r="P155" s="70"/>
      <c r="Q155" s="70"/>
      <c r="R155" s="70"/>
      <c r="S155" s="25"/>
      <c r="T155" s="28" t="s">
        <v>1144</v>
      </c>
      <c r="U155" s="28">
        <f t="shared" si="31"/>
        <v>34</v>
      </c>
      <c r="V155" s="99"/>
      <c r="W155" s="99"/>
      <c r="X155" s="101"/>
      <c r="Y155" s="28"/>
    </row>
    <row r="156" spans="1:28" s="38" customFormat="1" ht="18.75" customHeight="1" x14ac:dyDescent="0.25">
      <c r="A156" s="45" t="s">
        <v>1142</v>
      </c>
      <c r="B156" s="80" t="str">
        <f t="shared" si="33"/>
        <v>L35</v>
      </c>
      <c r="C156" s="70" t="s">
        <v>1169</v>
      </c>
      <c r="D156" s="79" t="s">
        <v>1109</v>
      </c>
      <c r="E156" s="72" t="s">
        <v>1110</v>
      </c>
      <c r="F156" s="61" t="s">
        <v>84</v>
      </c>
      <c r="G156" s="40"/>
      <c r="H156" s="40"/>
      <c r="I156" s="59"/>
      <c r="J156" s="59"/>
      <c r="K156" s="70"/>
      <c r="L156" s="70"/>
      <c r="M156" s="70">
        <v>187</v>
      </c>
      <c r="N156" s="70">
        <v>374</v>
      </c>
      <c r="O156" s="70">
        <v>374</v>
      </c>
      <c r="P156" s="70">
        <v>374</v>
      </c>
      <c r="Q156" s="70"/>
      <c r="R156" s="70"/>
      <c r="S156" s="25">
        <f>IF(D156="INTERNHUSLEIE",K156,"0")</f>
        <v>0</v>
      </c>
      <c r="T156" s="28" t="s">
        <v>1144</v>
      </c>
      <c r="U156" s="28">
        <f t="shared" si="31"/>
        <v>35</v>
      </c>
      <c r="V156" s="99" t="str">
        <f>IF(F156="VEDTATT","VEDTATT",0)</f>
        <v>VEDTATT</v>
      </c>
      <c r="W156" s="99">
        <f>IF(F156="MÅ","Nye tiltak",0)</f>
        <v>0</v>
      </c>
      <c r="X156" s="101"/>
      <c r="Y156" s="28" t="s">
        <v>1164</v>
      </c>
    </row>
    <row r="157" spans="1:28" s="38" customFormat="1" ht="18.75" customHeight="1" x14ac:dyDescent="0.25">
      <c r="A157" s="45" t="s">
        <v>1142</v>
      </c>
      <c r="B157" s="80" t="str">
        <f t="shared" si="33"/>
        <v>L36</v>
      </c>
      <c r="C157" s="70" t="s">
        <v>1170</v>
      </c>
      <c r="D157" s="79" t="s">
        <v>1113</v>
      </c>
      <c r="E157" s="41" t="s">
        <v>91</v>
      </c>
      <c r="F157" s="61"/>
      <c r="G157" s="40"/>
      <c r="H157" s="40"/>
      <c r="I157" s="59"/>
      <c r="J157" s="59"/>
      <c r="K157" s="70"/>
      <c r="L157" s="70"/>
      <c r="M157" s="70"/>
      <c r="N157" s="70"/>
      <c r="O157" s="70"/>
      <c r="P157" s="70"/>
      <c r="Q157" s="70"/>
      <c r="R157" s="70"/>
      <c r="S157" s="25" t="str">
        <f>IF(D157="INTERNHUSLEIE",K157,"0")</f>
        <v>0</v>
      </c>
      <c r="T157" s="28" t="s">
        <v>1144</v>
      </c>
      <c r="U157" s="28">
        <f t="shared" si="31"/>
        <v>36</v>
      </c>
      <c r="V157" s="99">
        <f>IF(F157="VEDTATT","VEDTATT",0)</f>
        <v>0</v>
      </c>
      <c r="W157" s="99">
        <f>IF(F157="MÅ","Nye tiltak",0)</f>
        <v>0</v>
      </c>
      <c r="X157" s="101"/>
      <c r="Y157" s="28" t="s">
        <v>1164</v>
      </c>
    </row>
    <row r="158" spans="1:28" s="38" customFormat="1" ht="18.75" customHeight="1" x14ac:dyDescent="0.25">
      <c r="A158" s="45" t="s">
        <v>1142</v>
      </c>
      <c r="B158" s="80" t="str">
        <f t="shared" si="33"/>
        <v>L37</v>
      </c>
      <c r="C158" s="70"/>
      <c r="D158" s="79" t="s">
        <v>1109</v>
      </c>
      <c r="E158" s="41" t="s">
        <v>91</v>
      </c>
      <c r="F158" s="61"/>
      <c r="G158" s="40"/>
      <c r="H158" s="40"/>
      <c r="I158" s="59"/>
      <c r="J158" s="59">
        <v>280</v>
      </c>
      <c r="K158" s="70">
        <v>280</v>
      </c>
      <c r="L158" s="70"/>
      <c r="M158" s="70"/>
      <c r="N158" s="70"/>
      <c r="O158" s="70"/>
      <c r="P158" s="70"/>
      <c r="Q158" s="70"/>
      <c r="R158" s="70"/>
      <c r="S158" s="25"/>
      <c r="T158" s="28" t="s">
        <v>1144</v>
      </c>
      <c r="U158" s="28">
        <f t="shared" si="31"/>
        <v>37</v>
      </c>
      <c r="V158" s="99"/>
      <c r="W158" s="99"/>
      <c r="X158" s="101"/>
      <c r="Y158" s="28"/>
    </row>
    <row r="159" spans="1:28" s="38" customFormat="1" ht="18.75" customHeight="1" x14ac:dyDescent="0.25">
      <c r="A159" s="161"/>
      <c r="B159" s="161" t="str">
        <f t="shared" si="33"/>
        <v/>
      </c>
      <c r="C159" s="162" t="s">
        <v>1075</v>
      </c>
      <c r="D159" s="162"/>
      <c r="E159" s="162"/>
      <c r="F159" s="165" t="s">
        <v>84</v>
      </c>
      <c r="G159" s="162"/>
      <c r="H159" s="162"/>
      <c r="I159" s="162"/>
      <c r="J159" s="162"/>
      <c r="K159" s="163">
        <f>SUMIF(F$149:$F157,$F$159,K149:K157)</f>
        <v>2434</v>
      </c>
      <c r="L159" s="163">
        <f ca="1">SUMIF($F$149:G157,$F$159,L149:L157)</f>
        <v>1217</v>
      </c>
      <c r="M159" s="163">
        <f ca="1">SUMIF($F$149:H157,$F$159,M149:M157)</f>
        <v>187</v>
      </c>
      <c r="N159" s="163">
        <f ca="1">SUMIF($F$149:I157,$F$159,N149:N157)</f>
        <v>2108</v>
      </c>
      <c r="O159" s="163">
        <f ca="1">SUMIF($F$149:J157,$F$159,O149:O157)</f>
        <v>2108</v>
      </c>
      <c r="P159" s="163">
        <f ca="1">SUMIF($F$149:K157,$F$159,P149:P157)</f>
        <v>2108</v>
      </c>
      <c r="Q159" s="163"/>
      <c r="R159" s="163"/>
      <c r="S159" s="25"/>
      <c r="T159" s="28"/>
      <c r="U159" s="28"/>
      <c r="V159" s="99"/>
      <c r="W159" s="99"/>
      <c r="X159" s="101"/>
      <c r="Y159" s="28"/>
    </row>
    <row r="160" spans="1:28" s="38" customFormat="1" ht="18.75" customHeight="1" x14ac:dyDescent="0.25">
      <c r="A160" s="161"/>
      <c r="B160" s="161"/>
      <c r="C160" s="162" t="s">
        <v>1075</v>
      </c>
      <c r="D160" s="162"/>
      <c r="E160" s="166" t="s">
        <v>91</v>
      </c>
      <c r="F160" s="164"/>
      <c r="G160" s="164"/>
      <c r="H160" s="164"/>
      <c r="I160" s="164"/>
      <c r="J160" s="164"/>
      <c r="K160" s="163">
        <f t="shared" ref="K160:P160" si="34">SUMIF($E$149:$E$158,$E$160,K149:K158)</f>
        <v>280</v>
      </c>
      <c r="L160" s="163">
        <f t="shared" si="34"/>
        <v>0</v>
      </c>
      <c r="M160" s="163">
        <f t="shared" si="34"/>
        <v>0</v>
      </c>
      <c r="N160" s="163">
        <f t="shared" si="34"/>
        <v>0</v>
      </c>
      <c r="O160" s="163">
        <f t="shared" si="34"/>
        <v>0</v>
      </c>
      <c r="P160" s="163">
        <f t="shared" si="34"/>
        <v>0</v>
      </c>
      <c r="Q160" s="163"/>
      <c r="R160" s="163"/>
      <c r="S160" s="25"/>
      <c r="T160" s="28"/>
      <c r="U160" s="28"/>
      <c r="V160" s="99"/>
      <c r="W160" s="99"/>
      <c r="X160" s="101"/>
      <c r="Y160" s="28"/>
    </row>
    <row r="161" spans="1:25" s="38" customFormat="1" ht="18.75" customHeight="1" x14ac:dyDescent="0.25">
      <c r="A161" s="45"/>
      <c r="B161" s="78"/>
      <c r="C161" s="16" t="s">
        <v>172</v>
      </c>
      <c r="D161" s="79"/>
      <c r="E161" s="50"/>
      <c r="F161" s="61"/>
      <c r="G161" s="31"/>
      <c r="H161" s="31"/>
      <c r="I161" s="59"/>
      <c r="J161" s="59"/>
      <c r="K161" s="70"/>
      <c r="L161" s="70"/>
      <c r="M161" s="70"/>
      <c r="N161" s="70"/>
      <c r="O161" s="70"/>
      <c r="P161" s="70"/>
      <c r="Q161" s="70"/>
      <c r="R161" s="70"/>
      <c r="S161" s="25" t="str">
        <f>IF(D161="INTERNHUSLEIE",K161,"0")</f>
        <v>0</v>
      </c>
      <c r="T161" s="28" t="s">
        <v>1144</v>
      </c>
      <c r="U161" s="28"/>
      <c r="V161" s="99">
        <f>IF(F161="VEDTATT","VEDTATT",0)</f>
        <v>0</v>
      </c>
      <c r="W161" s="99">
        <f>IF(F161="MÅ","Nye tiltak",0)</f>
        <v>0</v>
      </c>
      <c r="X161" s="101"/>
      <c r="Y161" s="28"/>
    </row>
    <row r="162" spans="1:25" s="38" customFormat="1" ht="18.75" customHeight="1" x14ac:dyDescent="0.25">
      <c r="A162" s="45" t="s">
        <v>1142</v>
      </c>
      <c r="B162" s="78" t="str">
        <f>IF(U162,T162&amp;U162,"")</f>
        <v>L38</v>
      </c>
      <c r="C162" s="70" t="s">
        <v>1171</v>
      </c>
      <c r="D162" s="79" t="s">
        <v>1109</v>
      </c>
      <c r="E162" s="72" t="s">
        <v>1110</v>
      </c>
      <c r="F162" s="61" t="s">
        <v>84</v>
      </c>
      <c r="G162" s="40"/>
      <c r="H162" s="40"/>
      <c r="I162" s="59"/>
      <c r="J162" s="59"/>
      <c r="K162" s="69">
        <v>90</v>
      </c>
      <c r="L162" s="70">
        <v>91</v>
      </c>
      <c r="M162" s="75"/>
      <c r="N162" s="75"/>
      <c r="O162" s="75"/>
      <c r="P162" s="75"/>
      <c r="Q162" s="75"/>
      <c r="R162" s="75"/>
      <c r="S162" s="25">
        <f>IF(D162="INTERNHUSLEIE",K162,"0")</f>
        <v>90</v>
      </c>
      <c r="T162" s="28" t="s">
        <v>1144</v>
      </c>
      <c r="U162" s="28">
        <f>U158+1</f>
        <v>38</v>
      </c>
      <c r="V162" s="99" t="str">
        <f>IF(F162="VEDTATT","VEDTATT",0)</f>
        <v>VEDTATT</v>
      </c>
      <c r="W162" s="99">
        <f>IF(F162="MÅ","Nye tiltak",0)</f>
        <v>0</v>
      </c>
      <c r="X162" s="101"/>
      <c r="Y162" s="28"/>
    </row>
    <row r="163" spans="1:25" s="38" customFormat="1" ht="18.75" customHeight="1" x14ac:dyDescent="0.25">
      <c r="A163" s="45" t="s">
        <v>1142</v>
      </c>
      <c r="B163" s="78" t="str">
        <f t="shared" ref="B163:B186" si="35">IF(U163,T163&amp;U163,"")</f>
        <v>L39</v>
      </c>
      <c r="C163" s="70" t="s">
        <v>1172</v>
      </c>
      <c r="D163" s="79" t="s">
        <v>1109</v>
      </c>
      <c r="E163" s="72" t="s">
        <v>1110</v>
      </c>
      <c r="F163" s="61" t="s">
        <v>84</v>
      </c>
      <c r="G163" s="40"/>
      <c r="H163" s="40"/>
      <c r="I163" s="59"/>
      <c r="J163" s="59"/>
      <c r="K163" s="69">
        <v>99</v>
      </c>
      <c r="L163" s="70">
        <v>99</v>
      </c>
      <c r="M163" s="254"/>
      <c r="N163" s="254"/>
      <c r="O163" s="254"/>
      <c r="P163" s="254"/>
      <c r="Q163" s="254"/>
      <c r="R163" s="254"/>
      <c r="S163" s="25">
        <f>IF(D163="INTERNHUSLEIE",K163,"0")</f>
        <v>99</v>
      </c>
      <c r="T163" s="28" t="s">
        <v>1144</v>
      </c>
      <c r="U163" s="28">
        <f t="shared" ref="U163:U185" si="36">U162+1</f>
        <v>39</v>
      </c>
      <c r="V163" s="99" t="str">
        <f>IF(F163="VEDTATT","VEDTATT",0)</f>
        <v>VEDTATT</v>
      </c>
      <c r="W163" s="99">
        <f>IF(F163="MÅ","Nye tiltak",0)</f>
        <v>0</v>
      </c>
      <c r="X163" s="101"/>
      <c r="Y163" s="28"/>
    </row>
    <row r="164" spans="1:25" s="38" customFormat="1" ht="18.75" customHeight="1" x14ac:dyDescent="0.25">
      <c r="A164" s="45" t="s">
        <v>1142</v>
      </c>
      <c r="B164" s="78" t="str">
        <f t="shared" si="35"/>
        <v>L40</v>
      </c>
      <c r="C164" s="70" t="s">
        <v>1173</v>
      </c>
      <c r="D164" s="79" t="s">
        <v>1109</v>
      </c>
      <c r="E164" s="72" t="s">
        <v>1110</v>
      </c>
      <c r="F164" s="61" t="s">
        <v>84</v>
      </c>
      <c r="G164" s="40"/>
      <c r="H164" s="40"/>
      <c r="I164" s="59"/>
      <c r="J164" s="59"/>
      <c r="K164" s="69"/>
      <c r="L164" s="70">
        <v>142</v>
      </c>
      <c r="M164" s="254">
        <v>495</v>
      </c>
      <c r="N164" s="254">
        <v>495</v>
      </c>
      <c r="O164" s="254">
        <v>495</v>
      </c>
      <c r="P164" s="254">
        <v>495</v>
      </c>
      <c r="Q164" s="254"/>
      <c r="R164" s="254"/>
      <c r="S164" s="25"/>
      <c r="T164" s="28" t="s">
        <v>1144</v>
      </c>
      <c r="U164" s="28">
        <f t="shared" si="36"/>
        <v>40</v>
      </c>
      <c r="V164" s="99"/>
      <c r="W164" s="99"/>
      <c r="X164" s="101"/>
      <c r="Y164" s="28"/>
    </row>
    <row r="165" spans="1:25" s="38" customFormat="1" ht="18.75" customHeight="1" x14ac:dyDescent="0.25">
      <c r="A165" s="45" t="s">
        <v>1142</v>
      </c>
      <c r="B165" s="78" t="str">
        <f>IF(U165,T165&amp;U165,"")</f>
        <v>41</v>
      </c>
      <c r="C165" s="70" t="s">
        <v>1174</v>
      </c>
      <c r="D165" s="79" t="s">
        <v>1109</v>
      </c>
      <c r="E165" s="72" t="s">
        <v>1110</v>
      </c>
      <c r="F165" s="61" t="s">
        <v>84</v>
      </c>
      <c r="G165" s="40"/>
      <c r="H165" s="40"/>
      <c r="I165" s="59"/>
      <c r="J165" s="59"/>
      <c r="K165" s="70"/>
      <c r="L165" s="70"/>
      <c r="M165" s="254">
        <v>142</v>
      </c>
      <c r="N165" s="254">
        <v>285</v>
      </c>
      <c r="O165" s="254">
        <v>285</v>
      </c>
      <c r="P165" s="254">
        <v>285</v>
      </c>
      <c r="Q165" s="254"/>
      <c r="R165" s="254"/>
      <c r="S165" s="25"/>
      <c r="T165" s="28"/>
      <c r="U165" s="28">
        <f t="shared" si="36"/>
        <v>41</v>
      </c>
      <c r="V165" s="99"/>
      <c r="W165" s="99"/>
      <c r="X165" s="101"/>
      <c r="Y165" s="28"/>
    </row>
    <row r="166" spans="1:25" s="38" customFormat="1" ht="18.75" customHeight="1" x14ac:dyDescent="0.25">
      <c r="A166" s="45" t="s">
        <v>1142</v>
      </c>
      <c r="B166" s="78" t="str">
        <f>IF(U166,T166&amp;U166,"")</f>
        <v>L42</v>
      </c>
      <c r="C166" s="70" t="s">
        <v>1174</v>
      </c>
      <c r="D166" s="79" t="s">
        <v>1109</v>
      </c>
      <c r="E166" s="72" t="s">
        <v>1110</v>
      </c>
      <c r="F166" s="61" t="s">
        <v>84</v>
      </c>
      <c r="G166" s="40"/>
      <c r="H166" s="40"/>
      <c r="I166" s="59"/>
      <c r="J166" s="59"/>
      <c r="K166" s="70"/>
      <c r="L166" s="70"/>
      <c r="M166" s="254">
        <v>142</v>
      </c>
      <c r="N166" s="254">
        <v>285</v>
      </c>
      <c r="O166" s="254">
        <v>285</v>
      </c>
      <c r="P166" s="254">
        <v>285</v>
      </c>
      <c r="Q166" s="254"/>
      <c r="R166" s="254"/>
      <c r="S166" s="25">
        <f>IF(D166="INTERNHUSLEIE",K166,"0")</f>
        <v>0</v>
      </c>
      <c r="T166" s="28" t="s">
        <v>1144</v>
      </c>
      <c r="U166" s="28">
        <f t="shared" si="36"/>
        <v>42</v>
      </c>
      <c r="V166" s="99" t="str">
        <f>IF(F167="VEDTATT","VEDTATT",0)</f>
        <v>VEDTATT</v>
      </c>
      <c r="W166" s="99">
        <f>IF(F167="MÅ","Nye tiltak",0)</f>
        <v>0</v>
      </c>
      <c r="X166" s="101"/>
      <c r="Y166" s="28"/>
    </row>
    <row r="167" spans="1:25" s="38" customFormat="1" ht="18.75" customHeight="1" x14ac:dyDescent="0.25">
      <c r="A167" s="45" t="s">
        <v>1142</v>
      </c>
      <c r="B167" s="78" t="str">
        <f>IF(U167,T167&amp;U167,"")</f>
        <v>L43</v>
      </c>
      <c r="C167" s="70" t="s">
        <v>1175</v>
      </c>
      <c r="D167" s="79" t="s">
        <v>1109</v>
      </c>
      <c r="E167" s="72" t="s">
        <v>1110</v>
      </c>
      <c r="F167" s="61" t="s">
        <v>84</v>
      </c>
      <c r="G167" s="40"/>
      <c r="H167" s="40"/>
      <c r="I167" s="59"/>
      <c r="J167" s="59"/>
      <c r="K167" s="70"/>
      <c r="L167" s="70"/>
      <c r="M167" s="254"/>
      <c r="N167" s="254">
        <v>142</v>
      </c>
      <c r="O167" s="254">
        <v>285</v>
      </c>
      <c r="P167" s="254">
        <v>285</v>
      </c>
      <c r="Q167" s="254"/>
      <c r="R167" s="254"/>
      <c r="S167" s="25">
        <f>IF(D167="INTERNHUSLEIE",K167,"0")</f>
        <v>0</v>
      </c>
      <c r="T167" s="28" t="s">
        <v>1144</v>
      </c>
      <c r="U167" s="28">
        <f t="shared" si="36"/>
        <v>43</v>
      </c>
      <c r="V167" s="99" t="e">
        <f>IF(#REF!="VEDTATT","VEDTATT",0)</f>
        <v>#REF!</v>
      </c>
      <c r="W167" s="99" t="e">
        <f>IF(#REF!="MÅ","Nye tiltak",0)</f>
        <v>#REF!</v>
      </c>
      <c r="X167" s="101"/>
      <c r="Y167" s="28"/>
    </row>
    <row r="168" spans="1:25" s="444" customFormat="1" ht="18.75" customHeight="1" x14ac:dyDescent="0.25">
      <c r="A168" s="433" t="s">
        <v>1142</v>
      </c>
      <c r="B168" s="433" t="str">
        <f>IF(U168,T168&amp;U168,"")</f>
        <v>44</v>
      </c>
      <c r="C168" s="439" t="s">
        <v>1176</v>
      </c>
      <c r="D168" s="435" t="s">
        <v>1109</v>
      </c>
      <c r="E168" s="436" t="s">
        <v>1110</v>
      </c>
      <c r="F168" s="450"/>
      <c r="G168" s="451"/>
      <c r="H168" s="451"/>
      <c r="I168" s="439"/>
      <c r="J168" s="439"/>
      <c r="K168" s="439"/>
      <c r="L168" s="439"/>
      <c r="M168" s="452"/>
      <c r="N168" s="452"/>
      <c r="O168" s="452">
        <v>142</v>
      </c>
      <c r="P168" s="452">
        <v>285</v>
      </c>
      <c r="Q168" s="452"/>
      <c r="R168" s="452"/>
      <c r="S168" s="437"/>
      <c r="U168" s="444">
        <f t="shared" si="36"/>
        <v>44</v>
      </c>
      <c r="V168" s="445"/>
      <c r="W168" s="445"/>
      <c r="X168" s="453"/>
    </row>
    <row r="169" spans="1:25" s="38" customFormat="1" ht="18.75" customHeight="1" x14ac:dyDescent="0.25">
      <c r="A169" s="45" t="s">
        <v>1142</v>
      </c>
      <c r="B169" s="78" t="str">
        <f>IF(U169,T169&amp;U169,"")</f>
        <v>L45</v>
      </c>
      <c r="C169" s="70" t="s">
        <v>1177</v>
      </c>
      <c r="D169" s="79" t="s">
        <v>1109</v>
      </c>
      <c r="E169" s="72" t="s">
        <v>1110</v>
      </c>
      <c r="F169" s="61" t="s">
        <v>84</v>
      </c>
      <c r="G169" s="40"/>
      <c r="H169" s="40"/>
      <c r="I169" s="59"/>
      <c r="J169" s="59"/>
      <c r="K169" s="70">
        <v>402</v>
      </c>
      <c r="L169" s="70">
        <v>402</v>
      </c>
      <c r="M169" s="254"/>
      <c r="N169" s="254"/>
      <c r="O169" s="254"/>
      <c r="P169" s="254"/>
      <c r="Q169" s="254"/>
      <c r="R169" s="254"/>
      <c r="S169" s="25">
        <f t="shared" ref="S169:S185" si="37">IF(D169="INTERNHUSLEIE",K169,"0")</f>
        <v>402</v>
      </c>
      <c r="T169" s="28" t="s">
        <v>1144</v>
      </c>
      <c r="U169" s="28">
        <f t="shared" si="36"/>
        <v>45</v>
      </c>
      <c r="V169" s="99" t="str">
        <f t="shared" ref="V169:V185" si="38">IF(F169="VEDTATT","VEDTATT",0)</f>
        <v>VEDTATT</v>
      </c>
      <c r="W169" s="99">
        <f t="shared" ref="W169:W185" si="39">IF(F169="MÅ","Nye tiltak",0)</f>
        <v>0</v>
      </c>
      <c r="X169" s="101"/>
      <c r="Y169" s="28"/>
    </row>
    <row r="170" spans="1:25" s="444" customFormat="1" ht="18.75" customHeight="1" x14ac:dyDescent="0.25">
      <c r="A170" s="433" t="s">
        <v>1142</v>
      </c>
      <c r="B170" s="433" t="str">
        <f t="shared" si="35"/>
        <v>L46</v>
      </c>
      <c r="C170" s="439" t="s">
        <v>1178</v>
      </c>
      <c r="D170" s="435" t="s">
        <v>1109</v>
      </c>
      <c r="E170" s="436" t="s">
        <v>1110</v>
      </c>
      <c r="F170" s="450" t="s">
        <v>84</v>
      </c>
      <c r="G170" s="451"/>
      <c r="H170" s="451"/>
      <c r="I170" s="439"/>
      <c r="J170" s="439"/>
      <c r="K170" s="439"/>
      <c r="L170" s="439"/>
      <c r="N170" s="452">
        <v>254</v>
      </c>
      <c r="O170" s="452">
        <v>508</v>
      </c>
      <c r="P170" s="452">
        <v>508</v>
      </c>
      <c r="Q170" s="452"/>
      <c r="R170" s="452"/>
      <c r="S170" s="437">
        <f t="shared" si="37"/>
        <v>0</v>
      </c>
      <c r="T170" s="444" t="s">
        <v>1144</v>
      </c>
      <c r="U170" s="444">
        <f t="shared" si="36"/>
        <v>46</v>
      </c>
      <c r="V170" s="445" t="str">
        <f t="shared" si="38"/>
        <v>VEDTATT</v>
      </c>
      <c r="W170" s="445">
        <f t="shared" si="39"/>
        <v>0</v>
      </c>
      <c r="X170" s="453"/>
    </row>
    <row r="171" spans="1:25" s="444" customFormat="1" ht="18.75" customHeight="1" x14ac:dyDescent="0.25">
      <c r="A171" s="433" t="s">
        <v>1142</v>
      </c>
      <c r="B171" s="433" t="str">
        <f t="shared" si="35"/>
        <v>L47</v>
      </c>
      <c r="C171" s="439" t="s">
        <v>1179</v>
      </c>
      <c r="D171" s="435" t="s">
        <v>1109</v>
      </c>
      <c r="E171" s="436" t="s">
        <v>1110</v>
      </c>
      <c r="F171" s="450" t="s">
        <v>84</v>
      </c>
      <c r="G171" s="451"/>
      <c r="H171" s="451"/>
      <c r="I171" s="439"/>
      <c r="J171" s="439"/>
      <c r="K171" s="439"/>
      <c r="L171" s="439"/>
      <c r="N171" s="452">
        <v>302</v>
      </c>
      <c r="O171" s="452">
        <v>557</v>
      </c>
      <c r="P171" s="452">
        <v>557</v>
      </c>
      <c r="Q171" s="452"/>
      <c r="R171" s="452"/>
      <c r="S171" s="437">
        <f t="shared" si="37"/>
        <v>0</v>
      </c>
      <c r="T171" s="444" t="s">
        <v>1144</v>
      </c>
      <c r="U171" s="444">
        <f t="shared" si="36"/>
        <v>47</v>
      </c>
      <c r="V171" s="445" t="str">
        <f t="shared" si="38"/>
        <v>VEDTATT</v>
      </c>
      <c r="W171" s="445">
        <f t="shared" si="39"/>
        <v>0</v>
      </c>
      <c r="X171" s="453"/>
    </row>
    <row r="172" spans="1:25" s="38" customFormat="1" ht="18.75" customHeight="1" x14ac:dyDescent="0.25">
      <c r="A172" s="45" t="s">
        <v>1142</v>
      </c>
      <c r="B172" s="78" t="str">
        <f t="shared" si="35"/>
        <v>L48</v>
      </c>
      <c r="C172" s="70" t="s">
        <v>1180</v>
      </c>
      <c r="D172" s="79" t="s">
        <v>1109</v>
      </c>
      <c r="E172" s="72" t="s">
        <v>1110</v>
      </c>
      <c r="F172" s="61" t="s">
        <v>84</v>
      </c>
      <c r="G172" s="40"/>
      <c r="H172" s="40"/>
      <c r="I172" s="59"/>
      <c r="J172" s="59"/>
      <c r="K172" s="69">
        <v>424</v>
      </c>
      <c r="L172" s="70">
        <v>475</v>
      </c>
      <c r="M172" s="254">
        <v>475</v>
      </c>
      <c r="N172" s="254">
        <v>475</v>
      </c>
      <c r="O172" s="254">
        <v>475</v>
      </c>
      <c r="P172" s="254">
        <v>475</v>
      </c>
      <c r="Q172" s="254"/>
      <c r="R172" s="254"/>
      <c r="S172" s="25">
        <f t="shared" si="37"/>
        <v>424</v>
      </c>
      <c r="T172" s="28" t="s">
        <v>1144</v>
      </c>
      <c r="U172" s="28">
        <f t="shared" si="36"/>
        <v>48</v>
      </c>
      <c r="V172" s="99" t="str">
        <f t="shared" si="38"/>
        <v>VEDTATT</v>
      </c>
      <c r="W172" s="99">
        <f t="shared" si="39"/>
        <v>0</v>
      </c>
      <c r="X172" s="101"/>
      <c r="Y172" s="28"/>
    </row>
    <row r="173" spans="1:25" s="38" customFormat="1" ht="18.75" customHeight="1" x14ac:dyDescent="0.25">
      <c r="A173" s="45" t="s">
        <v>1142</v>
      </c>
      <c r="B173" s="78" t="str">
        <f t="shared" si="35"/>
        <v>L49</v>
      </c>
      <c r="C173" s="70" t="s">
        <v>1181</v>
      </c>
      <c r="D173" s="79" t="s">
        <v>1109</v>
      </c>
      <c r="E173" s="72" t="s">
        <v>1110</v>
      </c>
      <c r="F173" s="61" t="s">
        <v>84</v>
      </c>
      <c r="G173" s="40"/>
      <c r="H173" s="40"/>
      <c r="I173" s="59"/>
      <c r="J173" s="59"/>
      <c r="K173" s="70">
        <v>322</v>
      </c>
      <c r="L173" s="70">
        <v>322</v>
      </c>
      <c r="M173" s="254"/>
      <c r="N173" s="254"/>
      <c r="O173" s="254"/>
      <c r="P173" s="254"/>
      <c r="Q173" s="254"/>
      <c r="R173" s="254"/>
      <c r="S173" s="25">
        <f t="shared" si="37"/>
        <v>322</v>
      </c>
      <c r="T173" s="28" t="s">
        <v>1144</v>
      </c>
      <c r="U173" s="28">
        <f t="shared" si="36"/>
        <v>49</v>
      </c>
      <c r="V173" s="99" t="str">
        <f t="shared" si="38"/>
        <v>VEDTATT</v>
      </c>
      <c r="W173" s="99">
        <f t="shared" si="39"/>
        <v>0</v>
      </c>
      <c r="X173" s="101"/>
      <c r="Y173" s="28"/>
    </row>
    <row r="174" spans="1:25" s="38" customFormat="1" ht="18.75" customHeight="1" x14ac:dyDescent="0.25">
      <c r="A174" s="45" t="s">
        <v>1142</v>
      </c>
      <c r="B174" s="78" t="str">
        <f t="shared" si="35"/>
        <v>L50</v>
      </c>
      <c r="C174" s="70" t="s">
        <v>1181</v>
      </c>
      <c r="D174" s="79" t="s">
        <v>1113</v>
      </c>
      <c r="E174" s="72" t="s">
        <v>1110</v>
      </c>
      <c r="F174" s="61" t="s">
        <v>84</v>
      </c>
      <c r="G174" s="40"/>
      <c r="H174" s="40"/>
      <c r="I174" s="59"/>
      <c r="J174" s="59"/>
      <c r="K174" s="70">
        <v>49</v>
      </c>
      <c r="L174" s="70">
        <v>49</v>
      </c>
      <c r="M174" s="254"/>
      <c r="N174" s="254"/>
      <c r="O174" s="254"/>
      <c r="P174" s="254"/>
      <c r="Q174" s="254"/>
      <c r="R174" s="254"/>
      <c r="S174" s="25" t="str">
        <f t="shared" si="37"/>
        <v>0</v>
      </c>
      <c r="T174" s="28" t="s">
        <v>1144</v>
      </c>
      <c r="U174" s="28">
        <f t="shared" si="36"/>
        <v>50</v>
      </c>
      <c r="V174" s="99" t="str">
        <f t="shared" si="38"/>
        <v>VEDTATT</v>
      </c>
      <c r="W174" s="99">
        <f t="shared" si="39"/>
        <v>0</v>
      </c>
      <c r="X174" s="101"/>
      <c r="Y174" s="28"/>
    </row>
    <row r="175" spans="1:25" s="38" customFormat="1" ht="18.75" customHeight="1" x14ac:dyDescent="0.25">
      <c r="A175" s="45" t="s">
        <v>1142</v>
      </c>
      <c r="B175" s="78" t="str">
        <f>IF(U175,T175&amp;U175,"")</f>
        <v>51</v>
      </c>
      <c r="C175" s="70" t="s">
        <v>1182</v>
      </c>
      <c r="D175" s="79" t="s">
        <v>1109</v>
      </c>
      <c r="E175" s="72" t="s">
        <v>1110</v>
      </c>
      <c r="F175" s="61" t="s">
        <v>84</v>
      </c>
      <c r="G175" s="40"/>
      <c r="H175" s="40"/>
      <c r="I175" s="59"/>
      <c r="J175" s="59"/>
      <c r="K175" s="70">
        <v>564</v>
      </c>
      <c r="L175" s="70">
        <v>1708</v>
      </c>
      <c r="M175" s="254">
        <v>1708</v>
      </c>
      <c r="N175" s="254">
        <v>3415</v>
      </c>
      <c r="O175" s="254">
        <v>3415</v>
      </c>
      <c r="P175" s="254">
        <v>3415</v>
      </c>
      <c r="Q175" s="254"/>
      <c r="R175" s="254"/>
      <c r="S175" s="25"/>
      <c r="T175" s="28"/>
      <c r="U175" s="28">
        <f t="shared" si="36"/>
        <v>51</v>
      </c>
      <c r="V175" s="99"/>
      <c r="W175" s="99"/>
      <c r="X175" s="101"/>
      <c r="Y175" s="28"/>
    </row>
    <row r="176" spans="1:25" s="38" customFormat="1" ht="18.75" customHeight="1" x14ac:dyDescent="0.25">
      <c r="A176" s="45" t="s">
        <v>1142</v>
      </c>
      <c r="B176" s="78" t="str">
        <f t="shared" si="35"/>
        <v>L52</v>
      </c>
      <c r="C176" s="70" t="s">
        <v>1182</v>
      </c>
      <c r="D176" s="79" t="s">
        <v>1109</v>
      </c>
      <c r="E176" s="72" t="s">
        <v>1110</v>
      </c>
      <c r="F176" s="61" t="s">
        <v>84</v>
      </c>
      <c r="G176" s="40"/>
      <c r="H176" s="40"/>
      <c r="I176" s="59"/>
      <c r="J176" s="59"/>
      <c r="K176" s="70">
        <v>564</v>
      </c>
      <c r="L176" s="70">
        <v>1708</v>
      </c>
      <c r="M176" s="254">
        <v>1708</v>
      </c>
      <c r="N176" s="254">
        <v>3415</v>
      </c>
      <c r="O176" s="254">
        <v>3415</v>
      </c>
      <c r="P176" s="254">
        <v>3415</v>
      </c>
      <c r="Q176" s="254"/>
      <c r="R176" s="254"/>
      <c r="S176" s="25">
        <f t="shared" si="37"/>
        <v>564</v>
      </c>
      <c r="T176" s="28" t="s">
        <v>1144</v>
      </c>
      <c r="U176" s="28">
        <f t="shared" si="36"/>
        <v>52</v>
      </c>
      <c r="V176" s="99" t="str">
        <f t="shared" si="38"/>
        <v>VEDTATT</v>
      </c>
      <c r="W176" s="99">
        <f t="shared" si="39"/>
        <v>0</v>
      </c>
      <c r="X176" s="101"/>
      <c r="Y176" s="28"/>
    </row>
    <row r="177" spans="1:25" s="444" customFormat="1" ht="18.75" customHeight="1" x14ac:dyDescent="0.25">
      <c r="A177" s="433" t="s">
        <v>1142</v>
      </c>
      <c r="B177" s="433" t="str">
        <f t="shared" si="35"/>
        <v>L53</v>
      </c>
      <c r="C177" s="439" t="s">
        <v>1183</v>
      </c>
      <c r="D177" s="435" t="s">
        <v>1109</v>
      </c>
      <c r="E177" s="436" t="s">
        <v>1110</v>
      </c>
      <c r="F177" s="450" t="s">
        <v>84</v>
      </c>
      <c r="G177" s="451"/>
      <c r="H177" s="451"/>
      <c r="I177" s="439"/>
      <c r="J177" s="439"/>
      <c r="K177" s="439">
        <v>29</v>
      </c>
      <c r="L177" s="439"/>
      <c r="M177" s="452"/>
      <c r="N177" s="452">
        <v>1708</v>
      </c>
      <c r="O177" s="452">
        <v>3415</v>
      </c>
      <c r="P177" s="452">
        <v>3415</v>
      </c>
      <c r="Q177" s="452"/>
      <c r="R177" s="452"/>
      <c r="S177" s="437">
        <f t="shared" si="37"/>
        <v>29</v>
      </c>
      <c r="T177" s="444" t="s">
        <v>1144</v>
      </c>
      <c r="U177" s="444">
        <f t="shared" si="36"/>
        <v>53</v>
      </c>
      <c r="V177" s="445" t="str">
        <f t="shared" si="38"/>
        <v>VEDTATT</v>
      </c>
      <c r="W177" s="445">
        <f t="shared" si="39"/>
        <v>0</v>
      </c>
      <c r="X177" s="453"/>
    </row>
    <row r="178" spans="1:25" s="38" customFormat="1" ht="18.75" customHeight="1" x14ac:dyDescent="0.25">
      <c r="A178" s="45" t="s">
        <v>1142</v>
      </c>
      <c r="B178" s="78" t="str">
        <f>IF(U178,T178&amp;U178,"")</f>
        <v>L54</v>
      </c>
      <c r="C178" s="70" t="s">
        <v>1184</v>
      </c>
      <c r="D178" s="79" t="s">
        <v>1109</v>
      </c>
      <c r="E178" s="72" t="s">
        <v>1110</v>
      </c>
      <c r="F178" s="61" t="s">
        <v>84</v>
      </c>
      <c r="G178" s="40"/>
      <c r="H178" s="40"/>
      <c r="I178" s="59"/>
      <c r="J178" s="59"/>
      <c r="K178" s="69">
        <v>1675</v>
      </c>
      <c r="L178" s="70"/>
      <c r="M178" s="254"/>
      <c r="N178" s="254"/>
      <c r="O178" s="254">
        <v>1708</v>
      </c>
      <c r="P178" s="254">
        <v>3415</v>
      </c>
      <c r="Q178" s="254"/>
      <c r="R178" s="254"/>
      <c r="S178" s="25">
        <f t="shared" si="37"/>
        <v>1675</v>
      </c>
      <c r="T178" s="28" t="s">
        <v>1144</v>
      </c>
      <c r="U178" s="28">
        <f t="shared" si="36"/>
        <v>54</v>
      </c>
      <c r="V178" s="99" t="str">
        <f t="shared" si="38"/>
        <v>VEDTATT</v>
      </c>
      <c r="W178" s="99">
        <f t="shared" si="39"/>
        <v>0</v>
      </c>
      <c r="X178" s="101"/>
      <c r="Y178" s="28"/>
    </row>
    <row r="179" spans="1:25" s="38" customFormat="1" ht="18.75" customHeight="1" x14ac:dyDescent="0.25">
      <c r="A179" s="45" t="s">
        <v>1142</v>
      </c>
      <c r="B179" s="78" t="str">
        <f t="shared" si="35"/>
        <v>L55</v>
      </c>
      <c r="C179" s="70" t="s">
        <v>1185</v>
      </c>
      <c r="D179" s="210" t="s">
        <v>1109</v>
      </c>
      <c r="E179" s="72" t="s">
        <v>91</v>
      </c>
      <c r="F179" s="41"/>
      <c r="G179" s="40"/>
      <c r="H179" s="40"/>
      <c r="I179" s="59"/>
      <c r="J179" s="59"/>
      <c r="K179" s="70"/>
      <c r="L179" s="70"/>
      <c r="M179" s="254"/>
      <c r="N179" s="254"/>
      <c r="O179" s="254"/>
      <c r="P179" s="254">
        <v>142</v>
      </c>
      <c r="Q179" s="254"/>
      <c r="R179" s="254"/>
      <c r="S179" s="25">
        <f t="shared" si="37"/>
        <v>0</v>
      </c>
      <c r="T179" s="28" t="s">
        <v>1144</v>
      </c>
      <c r="U179" s="28">
        <f t="shared" si="36"/>
        <v>55</v>
      </c>
      <c r="V179" s="99">
        <f t="shared" si="38"/>
        <v>0</v>
      </c>
      <c r="W179" s="99">
        <f t="shared" si="39"/>
        <v>0</v>
      </c>
      <c r="X179" s="101"/>
      <c r="Y179" s="28"/>
    </row>
    <row r="180" spans="1:25" s="38" customFormat="1" ht="18.75" customHeight="1" x14ac:dyDescent="0.25">
      <c r="A180" s="45" t="s">
        <v>1142</v>
      </c>
      <c r="B180" s="78" t="str">
        <f t="shared" si="35"/>
        <v>L56</v>
      </c>
      <c r="C180" s="70" t="s">
        <v>1186</v>
      </c>
      <c r="D180" s="210" t="s">
        <v>1109</v>
      </c>
      <c r="E180" s="72" t="s">
        <v>91</v>
      </c>
      <c r="F180" s="41"/>
      <c r="G180" s="40"/>
      <c r="H180" s="40"/>
      <c r="I180" s="59"/>
      <c r="J180" s="59"/>
      <c r="K180" s="70"/>
      <c r="L180" s="70"/>
      <c r="M180" s="271"/>
      <c r="N180" s="271"/>
      <c r="O180" s="271"/>
      <c r="P180" s="271">
        <v>1708</v>
      </c>
      <c r="Q180" s="271"/>
      <c r="R180" s="271"/>
      <c r="S180" s="25">
        <f t="shared" si="37"/>
        <v>0</v>
      </c>
      <c r="T180" s="28" t="s">
        <v>1144</v>
      </c>
      <c r="U180" s="28">
        <f t="shared" si="36"/>
        <v>56</v>
      </c>
      <c r="V180" s="99">
        <f t="shared" si="38"/>
        <v>0</v>
      </c>
      <c r="W180" s="99">
        <f t="shared" si="39"/>
        <v>0</v>
      </c>
      <c r="X180" s="101"/>
      <c r="Y180" s="28"/>
    </row>
    <row r="181" spans="1:25" s="38" customFormat="1" ht="18.75" customHeight="1" x14ac:dyDescent="0.25">
      <c r="A181" s="45" t="s">
        <v>1142</v>
      </c>
      <c r="B181" s="78" t="str">
        <f t="shared" si="35"/>
        <v>L57</v>
      </c>
      <c r="C181" s="70"/>
      <c r="D181" s="79" t="s">
        <v>1109</v>
      </c>
      <c r="E181" s="41" t="s">
        <v>91</v>
      </c>
      <c r="F181" s="61"/>
      <c r="G181" s="40"/>
      <c r="H181" s="40"/>
      <c r="I181" s="59"/>
      <c r="J181" s="59"/>
      <c r="K181" s="70"/>
      <c r="L181" s="70"/>
      <c r="M181" s="70"/>
      <c r="N181" s="70"/>
      <c r="O181" s="70"/>
      <c r="P181" s="70"/>
      <c r="Q181" s="70"/>
      <c r="R181" s="70"/>
      <c r="S181" s="25">
        <f t="shared" si="37"/>
        <v>0</v>
      </c>
      <c r="T181" s="28" t="s">
        <v>1144</v>
      </c>
      <c r="U181" s="28">
        <f t="shared" si="36"/>
        <v>57</v>
      </c>
      <c r="V181" s="99">
        <f t="shared" si="38"/>
        <v>0</v>
      </c>
      <c r="W181" s="99">
        <f t="shared" si="39"/>
        <v>0</v>
      </c>
      <c r="X181" s="101"/>
      <c r="Y181" s="28"/>
    </row>
    <row r="182" spans="1:25" s="38" customFormat="1" ht="18.75" customHeight="1" x14ac:dyDescent="0.25">
      <c r="A182" s="45" t="s">
        <v>1142</v>
      </c>
      <c r="B182" s="78" t="str">
        <f t="shared" si="35"/>
        <v>L58</v>
      </c>
      <c r="C182" s="70"/>
      <c r="D182" s="79" t="s">
        <v>1109</v>
      </c>
      <c r="E182" s="41" t="s">
        <v>91</v>
      </c>
      <c r="F182" s="61"/>
      <c r="G182" s="40"/>
      <c r="H182" s="40"/>
      <c r="I182" s="59"/>
      <c r="J182" s="59"/>
      <c r="K182" s="69"/>
      <c r="L182" s="70"/>
      <c r="M182" s="70"/>
      <c r="N182" s="70"/>
      <c r="O182" s="70"/>
      <c r="P182" s="70"/>
      <c r="Q182" s="70"/>
      <c r="R182" s="70"/>
      <c r="S182" s="25">
        <f t="shared" si="37"/>
        <v>0</v>
      </c>
      <c r="T182" s="28" t="s">
        <v>1144</v>
      </c>
      <c r="U182" s="28">
        <f t="shared" si="36"/>
        <v>58</v>
      </c>
      <c r="V182" s="99">
        <f t="shared" si="38"/>
        <v>0</v>
      </c>
      <c r="W182" s="99">
        <f t="shared" si="39"/>
        <v>0</v>
      </c>
      <c r="X182" s="101"/>
      <c r="Y182" s="28"/>
    </row>
    <row r="183" spans="1:25" s="38" customFormat="1" ht="18.75" customHeight="1" x14ac:dyDescent="0.25">
      <c r="A183" s="45" t="s">
        <v>1142</v>
      </c>
      <c r="B183" s="78" t="str">
        <f t="shared" si="35"/>
        <v>L59</v>
      </c>
      <c r="C183" s="70"/>
      <c r="D183" s="79" t="s">
        <v>1109</v>
      </c>
      <c r="E183" s="41" t="s">
        <v>91</v>
      </c>
      <c r="F183" s="61"/>
      <c r="G183" s="40"/>
      <c r="H183" s="40"/>
      <c r="I183" s="59"/>
      <c r="J183" s="59"/>
      <c r="K183" s="70"/>
      <c r="L183" s="70"/>
      <c r="M183" s="70"/>
      <c r="N183" s="70"/>
      <c r="O183" s="70"/>
      <c r="P183" s="70"/>
      <c r="Q183" s="70"/>
      <c r="R183" s="70"/>
      <c r="S183" s="25">
        <f t="shared" si="37"/>
        <v>0</v>
      </c>
      <c r="T183" s="28" t="s">
        <v>1144</v>
      </c>
      <c r="U183" s="28">
        <f t="shared" si="36"/>
        <v>59</v>
      </c>
      <c r="V183" s="99">
        <f t="shared" si="38"/>
        <v>0</v>
      </c>
      <c r="W183" s="99">
        <f t="shared" si="39"/>
        <v>0</v>
      </c>
      <c r="X183" s="101"/>
      <c r="Y183" s="28"/>
    </row>
    <row r="184" spans="1:25" s="38" customFormat="1" ht="18.75" customHeight="1" x14ac:dyDescent="0.25">
      <c r="A184" s="45" t="s">
        <v>1142</v>
      </c>
      <c r="B184" s="78" t="str">
        <f t="shared" si="35"/>
        <v>L60</v>
      </c>
      <c r="C184" s="70"/>
      <c r="D184" s="79" t="s">
        <v>1109</v>
      </c>
      <c r="E184" s="41" t="s">
        <v>91</v>
      </c>
      <c r="F184" s="61" t="s">
        <v>84</v>
      </c>
      <c r="G184" s="40"/>
      <c r="H184" s="40"/>
      <c r="I184" s="59"/>
      <c r="J184" s="59"/>
      <c r="K184" s="70"/>
      <c r="L184" s="70"/>
      <c r="M184" s="70"/>
      <c r="N184" s="70"/>
      <c r="O184" s="70"/>
      <c r="P184" s="70"/>
      <c r="Q184" s="70"/>
      <c r="R184" s="70"/>
      <c r="S184" s="25">
        <f t="shared" si="37"/>
        <v>0</v>
      </c>
      <c r="T184" s="28" t="s">
        <v>1144</v>
      </c>
      <c r="U184" s="28">
        <f t="shared" si="36"/>
        <v>60</v>
      </c>
      <c r="V184" s="99" t="str">
        <f t="shared" si="38"/>
        <v>VEDTATT</v>
      </c>
      <c r="W184" s="99">
        <f t="shared" si="39"/>
        <v>0</v>
      </c>
      <c r="X184" s="101"/>
      <c r="Y184" s="28"/>
    </row>
    <row r="185" spans="1:25" s="38" customFormat="1" ht="18.75" customHeight="1" x14ac:dyDescent="0.25">
      <c r="A185" s="45" t="s">
        <v>1142</v>
      </c>
      <c r="B185" s="78" t="str">
        <f t="shared" si="35"/>
        <v>L61</v>
      </c>
      <c r="C185" s="70"/>
      <c r="D185" s="79" t="s">
        <v>1109</v>
      </c>
      <c r="E185" s="41" t="s">
        <v>91</v>
      </c>
      <c r="F185" s="41"/>
      <c r="G185" s="40"/>
      <c r="H185" s="40"/>
      <c r="I185" s="59"/>
      <c r="J185" s="107"/>
      <c r="K185" s="70"/>
      <c r="L185" s="70"/>
      <c r="M185" s="70"/>
      <c r="N185" s="70"/>
      <c r="O185" s="70"/>
      <c r="P185" s="70"/>
      <c r="Q185" s="70"/>
      <c r="R185" s="70"/>
      <c r="S185" s="25">
        <f t="shared" si="37"/>
        <v>0</v>
      </c>
      <c r="T185" s="28" t="s">
        <v>1144</v>
      </c>
      <c r="U185" s="28">
        <f t="shared" si="36"/>
        <v>61</v>
      </c>
      <c r="V185" s="99">
        <f t="shared" si="38"/>
        <v>0</v>
      </c>
      <c r="W185" s="99">
        <f t="shared" si="39"/>
        <v>0</v>
      </c>
      <c r="X185" s="101"/>
      <c r="Y185" s="28"/>
    </row>
    <row r="186" spans="1:25" s="38" customFormat="1" ht="18.75" customHeight="1" x14ac:dyDescent="0.25">
      <c r="A186" s="161"/>
      <c r="B186" s="161" t="str">
        <f t="shared" si="35"/>
        <v/>
      </c>
      <c r="C186" s="162" t="s">
        <v>1077</v>
      </c>
      <c r="D186" s="162"/>
      <c r="E186" s="162"/>
      <c r="F186" s="165" t="s">
        <v>84</v>
      </c>
      <c r="G186" s="162"/>
      <c r="H186" s="162"/>
      <c r="I186" s="162"/>
      <c r="J186" s="162"/>
      <c r="K186" s="163">
        <f ca="1">SUMIF($F$162:$J$185,$F$186,K162:K185)</f>
        <v>4218</v>
      </c>
      <c r="L186" s="163">
        <f>SUMIF($F$162:$F$185,$F$186,L162:L185)</f>
        <v>4996</v>
      </c>
      <c r="M186" s="163">
        <f>SUMIF($F$162:$F$185,$F$186,M162:M185)</f>
        <v>4670</v>
      </c>
      <c r="N186" s="163">
        <f>SUMIF($F$162:$F$185,$F$186,N162:N185)</f>
        <v>10776</v>
      </c>
      <c r="O186" s="163">
        <f>SUMIF($F$162:$F$185,$F$186,O162:O185)</f>
        <v>14843</v>
      </c>
      <c r="P186" s="163">
        <f>SUMIF($F$162:$F$185,$F$186,P162:P185)</f>
        <v>16550</v>
      </c>
      <c r="Q186" s="163"/>
      <c r="R186" s="163"/>
      <c r="S186" s="25"/>
      <c r="T186" s="28"/>
      <c r="U186" s="28"/>
      <c r="V186" s="99"/>
      <c r="W186" s="99"/>
      <c r="X186" s="101"/>
      <c r="Y186" s="28"/>
    </row>
    <row r="187" spans="1:25" s="38" customFormat="1" ht="18.75" customHeight="1" x14ac:dyDescent="0.25">
      <c r="A187" s="162"/>
      <c r="B187" s="162"/>
      <c r="C187" s="162" t="s">
        <v>1077</v>
      </c>
      <c r="D187" s="162"/>
      <c r="E187" s="166" t="s">
        <v>91</v>
      </c>
      <c r="F187" s="164"/>
      <c r="G187" s="164"/>
      <c r="H187" s="164"/>
      <c r="I187" s="164"/>
      <c r="J187" s="164"/>
      <c r="K187" s="163">
        <f t="shared" ref="K187:P187" si="40">SUMIF($E$162:$E$185,$E$187,K162:K185)</f>
        <v>0</v>
      </c>
      <c r="L187" s="163">
        <f t="shared" si="40"/>
        <v>0</v>
      </c>
      <c r="M187" s="163">
        <f t="shared" si="40"/>
        <v>0</v>
      </c>
      <c r="N187" s="163">
        <f t="shared" si="40"/>
        <v>0</v>
      </c>
      <c r="O187" s="163">
        <f t="shared" si="40"/>
        <v>0</v>
      </c>
      <c r="P187" s="163">
        <f t="shared" si="40"/>
        <v>1850</v>
      </c>
      <c r="Q187" s="163"/>
      <c r="R187" s="163"/>
      <c r="S187" s="25"/>
      <c r="T187" s="28"/>
      <c r="U187" s="28"/>
      <c r="V187" s="99"/>
      <c r="W187" s="99"/>
      <c r="X187" s="101"/>
      <c r="Y187" s="28"/>
    </row>
    <row r="188" spans="1:25" s="38" customFormat="1" ht="18.75" customHeight="1" x14ac:dyDescent="0.25">
      <c r="A188" s="43"/>
      <c r="B188" s="43" t="s">
        <v>127</v>
      </c>
      <c r="C188" s="3" t="s">
        <v>1187</v>
      </c>
      <c r="D188" s="3"/>
      <c r="E188" s="52"/>
      <c r="F188" s="52"/>
      <c r="G188" s="9"/>
      <c r="H188" s="9">
        <f t="shared" ref="H188:P188" si="41">SUMIF($A:$A,"LEVEKÅR",H:H)</f>
        <v>0</v>
      </c>
      <c r="I188" s="56">
        <f t="shared" si="41"/>
        <v>-14379</v>
      </c>
      <c r="J188" s="56">
        <f t="shared" si="41"/>
        <v>21780</v>
      </c>
      <c r="K188" s="56">
        <f t="shared" si="41"/>
        <v>8380</v>
      </c>
      <c r="L188" s="56">
        <f t="shared" si="41"/>
        <v>8274</v>
      </c>
      <c r="M188" s="56">
        <f t="shared" si="41"/>
        <v>4857</v>
      </c>
      <c r="N188" s="56">
        <f t="shared" si="41"/>
        <v>14141</v>
      </c>
      <c r="O188" s="56">
        <f t="shared" si="41"/>
        <v>21826</v>
      </c>
      <c r="P188" s="56">
        <f t="shared" si="41"/>
        <v>34161</v>
      </c>
      <c r="Q188" s="56"/>
      <c r="R188" s="56"/>
      <c r="S188" s="25" t="str">
        <f t="shared" ref="S188:S202" si="42">IF(D188="INTERNHUSLEIE",K188,"0")</f>
        <v>0</v>
      </c>
      <c r="T188" s="28"/>
      <c r="U188" s="28"/>
      <c r="V188" s="99">
        <f t="shared" ref="V188:V196" si="43">IF(F188="VEDTATT","VEDTATT",0)</f>
        <v>0</v>
      </c>
      <c r="W188" s="99">
        <f t="shared" ref="W188:W196" si="44">IF(F188="MÅ","Nye tiltak",0)</f>
        <v>0</v>
      </c>
      <c r="X188" s="101"/>
      <c r="Y188" s="28"/>
    </row>
    <row r="189" spans="1:25" s="38" customFormat="1" ht="18.75" customHeight="1" x14ac:dyDescent="0.25">
      <c r="A189" s="47"/>
      <c r="B189" s="47"/>
      <c r="C189" s="11"/>
      <c r="D189" s="11"/>
      <c r="E189" s="49"/>
      <c r="F189" s="49"/>
      <c r="G189" s="12"/>
      <c r="H189" s="12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25" t="str">
        <f t="shared" si="42"/>
        <v>0</v>
      </c>
      <c r="T189" s="28"/>
      <c r="U189" s="28"/>
      <c r="V189" s="99">
        <f t="shared" si="43"/>
        <v>0</v>
      </c>
      <c r="W189" s="99">
        <f t="shared" si="44"/>
        <v>0</v>
      </c>
      <c r="X189" s="101"/>
      <c r="Y189" s="28"/>
    </row>
    <row r="190" spans="1:25" s="38" customFormat="1" ht="18.75" customHeight="1" x14ac:dyDescent="0.25">
      <c r="A190" s="48"/>
      <c r="B190" s="48"/>
      <c r="C190" s="13" t="s">
        <v>842</v>
      </c>
      <c r="D190" s="13"/>
      <c r="E190" s="50"/>
      <c r="F190" s="61"/>
      <c r="G190" s="24"/>
      <c r="H190" s="24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25" t="str">
        <f t="shared" si="42"/>
        <v>0</v>
      </c>
      <c r="T190" s="28"/>
      <c r="U190" s="28"/>
      <c r="V190" s="99">
        <f t="shared" si="43"/>
        <v>0</v>
      </c>
      <c r="W190" s="99">
        <f t="shared" si="44"/>
        <v>0</v>
      </c>
      <c r="X190" s="101"/>
      <c r="Y190" s="28"/>
    </row>
    <row r="191" spans="1:25" s="38" customFormat="1" ht="18.75" customHeight="1" x14ac:dyDescent="0.25">
      <c r="A191" s="44"/>
      <c r="B191" s="44"/>
      <c r="C191" s="16" t="s">
        <v>1188</v>
      </c>
      <c r="D191" s="16"/>
      <c r="E191" s="50"/>
      <c r="F191" s="61"/>
      <c r="G191" s="31"/>
      <c r="H191" s="31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25" t="str">
        <f t="shared" si="42"/>
        <v>0</v>
      </c>
      <c r="T191" s="28"/>
      <c r="U191" s="28"/>
      <c r="V191" s="99">
        <f t="shared" si="43"/>
        <v>0</v>
      </c>
      <c r="W191" s="99">
        <f t="shared" si="44"/>
        <v>0</v>
      </c>
      <c r="X191" s="101"/>
      <c r="Y191" s="28"/>
    </row>
    <row r="192" spans="1:25" s="38" customFormat="1" ht="18.75" customHeight="1" x14ac:dyDescent="0.25">
      <c r="A192" s="45"/>
      <c r="B192" s="45"/>
      <c r="C192" s="16" t="s">
        <v>1189</v>
      </c>
      <c r="D192" s="79"/>
      <c r="E192" s="50"/>
      <c r="F192" s="61" t="s">
        <v>1190</v>
      </c>
      <c r="G192" s="31"/>
      <c r="H192" s="31"/>
      <c r="I192" s="59"/>
      <c r="J192" s="59"/>
      <c r="K192" s="70"/>
      <c r="L192" s="70"/>
      <c r="M192" s="70"/>
      <c r="N192" s="70"/>
      <c r="O192" s="70"/>
      <c r="P192" s="70"/>
      <c r="Q192" s="70"/>
      <c r="R192" s="70"/>
      <c r="S192" s="25" t="str">
        <f t="shared" si="42"/>
        <v>0</v>
      </c>
      <c r="T192" s="28"/>
      <c r="U192" s="28"/>
      <c r="V192" s="99">
        <f t="shared" si="43"/>
        <v>0</v>
      </c>
      <c r="W192" s="99">
        <f t="shared" si="44"/>
        <v>0</v>
      </c>
      <c r="X192" s="101"/>
      <c r="Y192" s="28"/>
    </row>
    <row r="193" spans="1:25" s="38" customFormat="1" ht="18.75" customHeight="1" x14ac:dyDescent="0.25">
      <c r="A193" s="45"/>
      <c r="B193" s="45"/>
      <c r="C193" s="16" t="s">
        <v>185</v>
      </c>
      <c r="D193" s="79"/>
      <c r="E193" s="41"/>
      <c r="F193" s="61" t="s">
        <v>1190</v>
      </c>
      <c r="G193" s="31"/>
      <c r="H193" s="31"/>
      <c r="I193" s="59"/>
      <c r="J193" s="59"/>
      <c r="K193" s="70"/>
      <c r="L193" s="70"/>
      <c r="M193" s="70"/>
      <c r="N193" s="70"/>
      <c r="O193" s="70"/>
      <c r="P193" s="70"/>
      <c r="Q193" s="70"/>
      <c r="R193" s="70"/>
      <c r="S193" s="25" t="str">
        <f t="shared" si="42"/>
        <v>0</v>
      </c>
      <c r="T193" s="28"/>
      <c r="U193" s="28"/>
      <c r="V193" s="99">
        <f t="shared" si="43"/>
        <v>0</v>
      </c>
      <c r="W193" s="99">
        <f t="shared" si="44"/>
        <v>0</v>
      </c>
      <c r="X193" s="101"/>
      <c r="Y193" s="28"/>
    </row>
    <row r="194" spans="1:25" s="38" customFormat="1" ht="18.75" customHeight="1" x14ac:dyDescent="0.25">
      <c r="A194" s="45" t="s">
        <v>804</v>
      </c>
      <c r="B194" s="45" t="str">
        <f>IF(U194,T194&amp;U194,"")</f>
        <v>K1</v>
      </c>
      <c r="C194" s="62" t="s">
        <v>1191</v>
      </c>
      <c r="D194" s="79" t="s">
        <v>1109</v>
      </c>
      <c r="E194" s="41" t="s">
        <v>91</v>
      </c>
      <c r="F194" s="61"/>
      <c r="G194" s="40"/>
      <c r="H194" s="40"/>
      <c r="I194" s="59"/>
      <c r="J194" s="59"/>
      <c r="K194" s="70"/>
      <c r="L194" s="70"/>
      <c r="M194" s="70"/>
      <c r="N194" s="70"/>
      <c r="O194" s="70"/>
      <c r="P194" s="70"/>
      <c r="Q194" s="70"/>
      <c r="R194" s="70"/>
      <c r="S194" s="25">
        <f t="shared" si="42"/>
        <v>0</v>
      </c>
      <c r="T194" s="28" t="s">
        <v>724</v>
      </c>
      <c r="U194" s="28">
        <v>1</v>
      </c>
      <c r="V194" s="99">
        <f t="shared" si="43"/>
        <v>0</v>
      </c>
      <c r="W194" s="99">
        <f t="shared" si="44"/>
        <v>0</v>
      </c>
      <c r="X194" s="105"/>
      <c r="Y194" s="28"/>
    </row>
    <row r="195" spans="1:25" s="38" customFormat="1" ht="26.25" customHeight="1" x14ac:dyDescent="0.25">
      <c r="A195" s="45" t="s">
        <v>804</v>
      </c>
      <c r="B195" s="45" t="str">
        <f t="shared" ref="B195:B203" si="45">IF(U195,T195&amp;U195,"")</f>
        <v>K2</v>
      </c>
      <c r="C195" s="62" t="s">
        <v>1191</v>
      </c>
      <c r="D195" s="79" t="s">
        <v>1112</v>
      </c>
      <c r="E195" s="41" t="s">
        <v>91</v>
      </c>
      <c r="F195" s="61"/>
      <c r="G195" s="40"/>
      <c r="H195" s="40"/>
      <c r="I195" s="59"/>
      <c r="J195" s="59"/>
      <c r="K195" s="70"/>
      <c r="L195" s="70"/>
      <c r="M195" s="70"/>
      <c r="N195" s="70"/>
      <c r="O195" s="70"/>
      <c r="P195" s="70"/>
      <c r="Q195" s="70"/>
      <c r="R195" s="70"/>
      <c r="S195" s="25" t="str">
        <f t="shared" si="42"/>
        <v>0</v>
      </c>
      <c r="T195" s="28" t="s">
        <v>724</v>
      </c>
      <c r="U195" s="28">
        <f>U194+1</f>
        <v>2</v>
      </c>
      <c r="V195" s="99">
        <f t="shared" si="43"/>
        <v>0</v>
      </c>
      <c r="W195" s="99">
        <f t="shared" si="44"/>
        <v>0</v>
      </c>
      <c r="X195" s="105"/>
      <c r="Y195" s="28"/>
    </row>
    <row r="196" spans="1:25" s="38" customFormat="1" ht="18.75" customHeight="1" x14ac:dyDescent="0.25">
      <c r="A196" s="45" t="s">
        <v>804</v>
      </c>
      <c r="B196" s="45" t="str">
        <f t="shared" si="45"/>
        <v>K3</v>
      </c>
      <c r="C196" s="62" t="s">
        <v>1191</v>
      </c>
      <c r="D196" s="79" t="s">
        <v>1113</v>
      </c>
      <c r="E196" s="41" t="s">
        <v>91</v>
      </c>
      <c r="F196" s="61"/>
      <c r="G196" s="40"/>
      <c r="H196" s="40"/>
      <c r="I196" s="59"/>
      <c r="J196" s="59"/>
      <c r="K196" s="70"/>
      <c r="L196" s="70"/>
      <c r="M196" s="70"/>
      <c r="N196" s="70"/>
      <c r="O196" s="70"/>
      <c r="P196" s="70"/>
      <c r="Q196" s="70"/>
      <c r="R196" s="70"/>
      <c r="S196" s="25" t="str">
        <f t="shared" si="42"/>
        <v>0</v>
      </c>
      <c r="T196" s="28" t="s">
        <v>724</v>
      </c>
      <c r="U196" s="28">
        <f>U195+1</f>
        <v>3</v>
      </c>
      <c r="V196" s="99">
        <f t="shared" si="43"/>
        <v>0</v>
      </c>
      <c r="W196" s="99">
        <f t="shared" si="44"/>
        <v>0</v>
      </c>
      <c r="X196" s="105"/>
      <c r="Y196" s="28"/>
    </row>
    <row r="197" spans="1:25" s="38" customFormat="1" ht="18.75" customHeight="1" x14ac:dyDescent="0.25">
      <c r="A197" s="45" t="s">
        <v>804</v>
      </c>
      <c r="B197" s="45" t="str">
        <f>IF(U197,T197&amp;U197,"")</f>
        <v>K4</v>
      </c>
      <c r="C197" s="62" t="s">
        <v>1192</v>
      </c>
      <c r="D197" s="79" t="s">
        <v>1109</v>
      </c>
      <c r="E197" s="72" t="s">
        <v>1193</v>
      </c>
      <c r="F197" s="61" t="s">
        <v>84</v>
      </c>
      <c r="G197" s="40"/>
      <c r="H197" s="40"/>
      <c r="I197" s="59"/>
      <c r="J197" s="59"/>
      <c r="K197" s="70">
        <v>325</v>
      </c>
      <c r="L197" s="224"/>
      <c r="M197" s="224">
        <v>276</v>
      </c>
      <c r="N197" s="224">
        <v>552</v>
      </c>
      <c r="O197" s="224">
        <v>552</v>
      </c>
      <c r="P197" s="224">
        <v>552</v>
      </c>
      <c r="Q197" s="432"/>
      <c r="R197" s="432"/>
      <c r="S197" s="25">
        <f t="shared" si="42"/>
        <v>325</v>
      </c>
      <c r="T197" s="28" t="s">
        <v>724</v>
      </c>
      <c r="U197" s="28">
        <f t="shared" ref="U197:U202" si="46">U196+1</f>
        <v>4</v>
      </c>
      <c r="V197" s="99"/>
      <c r="W197" s="99"/>
      <c r="X197" s="105"/>
      <c r="Y197" s="218" t="s">
        <v>1194</v>
      </c>
    </row>
    <row r="198" spans="1:25" s="38" customFormat="1" ht="18.75" customHeight="1" x14ac:dyDescent="0.25">
      <c r="A198" s="45" t="s">
        <v>804</v>
      </c>
      <c r="B198" s="45" t="str">
        <f>IF(U198,T198&amp;U198,"")</f>
        <v>K5</v>
      </c>
      <c r="C198" s="62" t="s">
        <v>1192</v>
      </c>
      <c r="D198" s="79" t="s">
        <v>1112</v>
      </c>
      <c r="E198" s="72" t="s">
        <v>1193</v>
      </c>
      <c r="F198" s="61" t="s">
        <v>84</v>
      </c>
      <c r="G198" s="40"/>
      <c r="H198" s="40"/>
      <c r="I198" s="59"/>
      <c r="J198" s="59"/>
      <c r="K198" s="70">
        <v>54</v>
      </c>
      <c r="L198" s="223"/>
      <c r="M198" s="223">
        <v>24</v>
      </c>
      <c r="N198" s="223">
        <v>47</v>
      </c>
      <c r="O198" s="223">
        <v>47</v>
      </c>
      <c r="P198" s="223">
        <v>47</v>
      </c>
      <c r="Q198" s="254"/>
      <c r="R198" s="254"/>
      <c r="S198" s="25" t="str">
        <f t="shared" si="42"/>
        <v>0</v>
      </c>
      <c r="T198" s="28" t="s">
        <v>724</v>
      </c>
      <c r="U198" s="28">
        <f t="shared" si="46"/>
        <v>5</v>
      </c>
      <c r="V198" s="99"/>
      <c r="W198" s="99"/>
      <c r="X198" s="105"/>
      <c r="Y198" s="28"/>
    </row>
    <row r="199" spans="1:25" s="38" customFormat="1" ht="18.75" customHeight="1" x14ac:dyDescent="0.25">
      <c r="A199" s="45" t="s">
        <v>804</v>
      </c>
      <c r="B199" s="45" t="str">
        <f>IF(U199,T199&amp;U199,"")</f>
        <v>K6</v>
      </c>
      <c r="C199" s="62" t="s">
        <v>1192</v>
      </c>
      <c r="D199" s="79" t="s">
        <v>1113</v>
      </c>
      <c r="E199" s="72" t="s">
        <v>1193</v>
      </c>
      <c r="F199" s="61" t="s">
        <v>84</v>
      </c>
      <c r="G199" s="40"/>
      <c r="H199" s="40"/>
      <c r="I199" s="59"/>
      <c r="J199" s="59"/>
      <c r="K199" s="70">
        <v>17</v>
      </c>
      <c r="L199" s="223"/>
      <c r="M199" s="223">
        <v>24</v>
      </c>
      <c r="N199" s="223">
        <v>56</v>
      </c>
      <c r="O199" s="223">
        <v>56</v>
      </c>
      <c r="P199" s="223">
        <v>56</v>
      </c>
      <c r="Q199" s="254"/>
      <c r="R199" s="254"/>
      <c r="S199" s="25" t="str">
        <f t="shared" si="42"/>
        <v>0</v>
      </c>
      <c r="T199" s="28" t="s">
        <v>724</v>
      </c>
      <c r="U199" s="28">
        <f t="shared" si="46"/>
        <v>6</v>
      </c>
      <c r="V199" s="99"/>
      <c r="W199" s="99"/>
      <c r="X199" s="105"/>
      <c r="Y199" s="28"/>
    </row>
    <row r="200" spans="1:25" s="38" customFormat="1" ht="18.75" customHeight="1" x14ac:dyDescent="0.25">
      <c r="A200" s="45" t="s">
        <v>804</v>
      </c>
      <c r="B200" s="45" t="str">
        <f t="shared" ref="B200:B202" si="47">IF(U200,T200&amp;U200,"")</f>
        <v>K7</v>
      </c>
      <c r="C200" s="62" t="s">
        <v>1195</v>
      </c>
      <c r="D200" s="79" t="s">
        <v>1112</v>
      </c>
      <c r="E200" s="41" t="s">
        <v>91</v>
      </c>
      <c r="F200" s="181"/>
      <c r="G200" s="40"/>
      <c r="H200" s="40"/>
      <c r="I200" s="59"/>
      <c r="J200" s="59"/>
      <c r="K200" s="70"/>
      <c r="L200" s="70"/>
      <c r="M200" s="223">
        <v>863</v>
      </c>
      <c r="N200" s="223">
        <v>863</v>
      </c>
      <c r="O200" s="184">
        <v>863</v>
      </c>
      <c r="P200" s="223">
        <v>863</v>
      </c>
      <c r="Q200" s="254"/>
      <c r="R200" s="254"/>
      <c r="S200" s="25" t="str">
        <f t="shared" si="42"/>
        <v>0</v>
      </c>
      <c r="T200" s="28" t="s">
        <v>724</v>
      </c>
      <c r="U200" s="28">
        <f t="shared" si="46"/>
        <v>7</v>
      </c>
      <c r="V200" s="99"/>
      <c r="W200" s="99"/>
      <c r="X200" s="105"/>
      <c r="Y200" s="28"/>
    </row>
    <row r="201" spans="1:25" s="38" customFormat="1" ht="18.75" customHeight="1" x14ac:dyDescent="0.25">
      <c r="A201" s="45" t="s">
        <v>804</v>
      </c>
      <c r="B201" s="45" t="str">
        <f t="shared" si="47"/>
        <v>K8</v>
      </c>
      <c r="C201" s="62" t="s">
        <v>1196</v>
      </c>
      <c r="D201" s="79" t="s">
        <v>1113</v>
      </c>
      <c r="E201" s="41" t="s">
        <v>91</v>
      </c>
      <c r="F201" s="181"/>
      <c r="G201" s="40"/>
      <c r="H201" s="40"/>
      <c r="I201" s="59"/>
      <c r="J201" s="59"/>
      <c r="K201" s="70"/>
      <c r="L201" s="70"/>
      <c r="M201" s="223">
        <v>278</v>
      </c>
      <c r="N201" s="223">
        <v>278</v>
      </c>
      <c r="O201" s="184">
        <v>278</v>
      </c>
      <c r="P201" s="223">
        <v>278</v>
      </c>
      <c r="Q201" s="254"/>
      <c r="R201" s="254"/>
      <c r="S201" s="25" t="str">
        <f t="shared" si="42"/>
        <v>0</v>
      </c>
      <c r="T201" s="28" t="s">
        <v>724</v>
      </c>
      <c r="U201" s="28">
        <f t="shared" si="46"/>
        <v>8</v>
      </c>
      <c r="V201" s="99"/>
      <c r="W201" s="99"/>
      <c r="X201" s="105"/>
      <c r="Y201" s="28"/>
    </row>
    <row r="202" spans="1:25" s="38" customFormat="1" ht="18.75" customHeight="1" x14ac:dyDescent="0.25">
      <c r="A202" s="45" t="s">
        <v>804</v>
      </c>
      <c r="B202" s="45" t="str">
        <f t="shared" si="47"/>
        <v>K9</v>
      </c>
      <c r="C202" s="62" t="s">
        <v>1197</v>
      </c>
      <c r="D202" s="79" t="s">
        <v>1109</v>
      </c>
      <c r="E202" s="72" t="s">
        <v>91</v>
      </c>
      <c r="F202" s="61"/>
      <c r="G202" s="40"/>
      <c r="H202" s="40"/>
      <c r="I202" s="59"/>
      <c r="J202" s="59"/>
      <c r="K202" s="70"/>
      <c r="L202" s="70">
        <v>43</v>
      </c>
      <c r="M202" s="223">
        <v>139</v>
      </c>
      <c r="N202" s="223">
        <v>139</v>
      </c>
      <c r="O202" s="184">
        <v>139</v>
      </c>
      <c r="P202" s="223">
        <v>139</v>
      </c>
      <c r="Q202" s="254"/>
      <c r="R202" s="254"/>
      <c r="S202" s="25">
        <f t="shared" si="42"/>
        <v>0</v>
      </c>
      <c r="T202" s="28" t="s">
        <v>724</v>
      </c>
      <c r="U202" s="28">
        <f t="shared" si="46"/>
        <v>9</v>
      </c>
      <c r="V202" s="99"/>
      <c r="W202" s="99"/>
      <c r="X202" s="105"/>
      <c r="Y202" s="28"/>
    </row>
    <row r="203" spans="1:25" s="38" customFormat="1" ht="18.75" customHeight="1" x14ac:dyDescent="0.25">
      <c r="A203" s="161"/>
      <c r="B203" s="161" t="str">
        <f t="shared" si="45"/>
        <v/>
      </c>
      <c r="C203" s="162" t="s">
        <v>1079</v>
      </c>
      <c r="D203" s="162"/>
      <c r="E203" s="162"/>
      <c r="F203" s="165" t="s">
        <v>84</v>
      </c>
      <c r="G203" s="162"/>
      <c r="H203" s="162"/>
      <c r="I203" s="162"/>
      <c r="J203" s="162"/>
      <c r="K203" s="163">
        <f t="shared" ref="K203:P203" si="48">SUMIF($F$194:$F$202,$F$203,K194:K202)</f>
        <v>396</v>
      </c>
      <c r="L203" s="163">
        <f t="shared" si="48"/>
        <v>0</v>
      </c>
      <c r="M203" s="163">
        <f t="shared" si="48"/>
        <v>324</v>
      </c>
      <c r="N203" s="163">
        <f t="shared" si="48"/>
        <v>655</v>
      </c>
      <c r="O203" s="163">
        <f t="shared" si="48"/>
        <v>655</v>
      </c>
      <c r="P203" s="163">
        <f t="shared" si="48"/>
        <v>655</v>
      </c>
      <c r="Q203" s="163"/>
      <c r="R203" s="163"/>
      <c r="S203" s="25"/>
      <c r="T203" s="28"/>
      <c r="U203" s="28"/>
      <c r="V203" s="99"/>
      <c r="W203" s="99"/>
      <c r="X203" s="105"/>
      <c r="Y203" s="28"/>
    </row>
    <row r="204" spans="1:25" s="38" customFormat="1" ht="18.75" customHeight="1" x14ac:dyDescent="0.25">
      <c r="A204" s="162"/>
      <c r="B204" s="162"/>
      <c r="C204" s="162" t="s">
        <v>1079</v>
      </c>
      <c r="D204" s="162"/>
      <c r="E204" s="166" t="s">
        <v>91</v>
      </c>
      <c r="F204" s="164"/>
      <c r="G204" s="164"/>
      <c r="H204" s="164"/>
      <c r="I204" s="164"/>
      <c r="J204" s="164"/>
      <c r="K204" s="163">
        <f t="shared" ref="K204:P204" si="49">SUMIF($E$194:$E$202,$E$204,K194:K202)</f>
        <v>0</v>
      </c>
      <c r="L204" s="163">
        <f t="shared" si="49"/>
        <v>43</v>
      </c>
      <c r="M204" s="163">
        <f t="shared" si="49"/>
        <v>1280</v>
      </c>
      <c r="N204" s="163">
        <f t="shared" si="49"/>
        <v>1280</v>
      </c>
      <c r="O204" s="163">
        <f t="shared" si="49"/>
        <v>1280</v>
      </c>
      <c r="P204" s="163">
        <f t="shared" si="49"/>
        <v>1280</v>
      </c>
      <c r="Q204" s="163"/>
      <c r="R204" s="163"/>
      <c r="S204" s="25"/>
      <c r="T204" s="28"/>
      <c r="U204" s="28"/>
      <c r="V204" s="99"/>
      <c r="W204" s="99"/>
      <c r="X204" s="105"/>
      <c r="Y204" s="28"/>
    </row>
    <row r="205" spans="1:25" s="38" customFormat="1" ht="18.75" customHeight="1" x14ac:dyDescent="0.25">
      <c r="A205" s="43"/>
      <c r="B205" s="43" t="s">
        <v>127</v>
      </c>
      <c r="C205" s="3" t="s">
        <v>1198</v>
      </c>
      <c r="D205" s="3"/>
      <c r="E205" s="52"/>
      <c r="F205" s="52"/>
      <c r="G205" s="9"/>
      <c r="H205" s="9">
        <f t="shared" ref="H205:P205" si="50">SUMIF($A:$A,"KUBY",H:H)</f>
        <v>0</v>
      </c>
      <c r="I205" s="56">
        <f t="shared" si="50"/>
        <v>0</v>
      </c>
      <c r="J205" s="56">
        <f t="shared" si="50"/>
        <v>0</v>
      </c>
      <c r="K205" s="56">
        <f t="shared" si="50"/>
        <v>396</v>
      </c>
      <c r="L205" s="56">
        <f t="shared" si="50"/>
        <v>43</v>
      </c>
      <c r="M205" s="56">
        <f t="shared" si="50"/>
        <v>1604</v>
      </c>
      <c r="N205" s="56">
        <f t="shared" si="50"/>
        <v>1935</v>
      </c>
      <c r="O205" s="56">
        <f t="shared" si="50"/>
        <v>1935</v>
      </c>
      <c r="P205" s="56">
        <f t="shared" si="50"/>
        <v>1935</v>
      </c>
      <c r="Q205" s="56"/>
      <c r="R205" s="56"/>
      <c r="S205" s="25" t="str">
        <f t="shared" ref="S205:S215" si="51">IF(D205="INTERNHUSLEIE",K205,"0")</f>
        <v>0</v>
      </c>
      <c r="T205" s="28"/>
      <c r="U205" s="28"/>
      <c r="V205" s="99">
        <f t="shared" ref="V205:V215" si="52">IF(F205="VEDTATT","VEDTATT",0)</f>
        <v>0</v>
      </c>
      <c r="W205" s="99">
        <f t="shared" ref="W205:W215" si="53">IF(F205="MÅ","Nye tiltak",0)</f>
        <v>0</v>
      </c>
      <c r="X205" s="101"/>
      <c r="Y205" s="28"/>
    </row>
    <row r="206" spans="1:25" s="38" customFormat="1" ht="18.75" customHeight="1" x14ac:dyDescent="0.25">
      <c r="A206" s="48"/>
      <c r="B206" s="48"/>
      <c r="C206" s="13" t="s">
        <v>808</v>
      </c>
      <c r="D206" s="13"/>
      <c r="E206" s="50"/>
      <c r="F206" s="61"/>
      <c r="G206" s="24"/>
      <c r="H206" s="24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25" t="str">
        <f t="shared" si="51"/>
        <v>0</v>
      </c>
      <c r="T206" s="28"/>
      <c r="U206" s="28"/>
      <c r="V206" s="99">
        <f t="shared" si="52"/>
        <v>0</v>
      </c>
      <c r="W206" s="99">
        <f t="shared" si="53"/>
        <v>0</v>
      </c>
      <c r="X206" s="101"/>
      <c r="Y206" s="28"/>
    </row>
    <row r="207" spans="1:25" s="38" customFormat="1" ht="19.5" customHeight="1" x14ac:dyDescent="0.25">
      <c r="A207" s="45" t="s">
        <v>805</v>
      </c>
      <c r="B207" s="45" t="str">
        <f>IF(U207,T207&amp;U207,"")</f>
        <v>T1</v>
      </c>
      <c r="C207" s="70" t="s">
        <v>1199</v>
      </c>
      <c r="D207" s="79" t="s">
        <v>1109</v>
      </c>
      <c r="E207" s="72" t="s">
        <v>1193</v>
      </c>
      <c r="F207" s="61" t="s">
        <v>84</v>
      </c>
      <c r="G207" s="40"/>
      <c r="H207" s="40"/>
      <c r="I207" s="59"/>
      <c r="J207" s="59"/>
      <c r="K207" s="70"/>
      <c r="L207" s="70">
        <v>7183</v>
      </c>
      <c r="M207" s="223">
        <v>4770</v>
      </c>
      <c r="N207" s="223">
        <v>11448</v>
      </c>
      <c r="O207" s="223">
        <v>11448</v>
      </c>
      <c r="P207" s="223">
        <v>11448</v>
      </c>
      <c r="Q207" s="254"/>
      <c r="R207" s="254"/>
      <c r="S207" s="25">
        <f t="shared" si="51"/>
        <v>0</v>
      </c>
      <c r="T207" s="28" t="s">
        <v>735</v>
      </c>
      <c r="U207" s="28">
        <v>1</v>
      </c>
      <c r="V207" s="99" t="str">
        <f t="shared" si="52"/>
        <v>VEDTATT</v>
      </c>
      <c r="W207" s="99">
        <f t="shared" si="53"/>
        <v>0</v>
      </c>
      <c r="X207" s="101"/>
      <c r="Y207" s="28"/>
    </row>
    <row r="208" spans="1:25" s="38" customFormat="1" ht="19.5" customHeight="1" x14ac:dyDescent="0.25">
      <c r="A208" s="45" t="s">
        <v>805</v>
      </c>
      <c r="B208" s="45" t="str">
        <f t="shared" ref="B208:B216" si="54">IF(U208,T208&amp;U208,"")</f>
        <v>T2</v>
      </c>
      <c r="C208" s="70" t="s">
        <v>1199</v>
      </c>
      <c r="D208" s="79" t="s">
        <v>1112</v>
      </c>
      <c r="E208" s="72" t="s">
        <v>1193</v>
      </c>
      <c r="F208" s="61" t="s">
        <v>84</v>
      </c>
      <c r="G208" s="40"/>
      <c r="H208" s="40"/>
      <c r="I208" s="59"/>
      <c r="J208" s="59"/>
      <c r="K208" s="70"/>
      <c r="L208" s="70">
        <v>670</v>
      </c>
      <c r="M208" s="223">
        <v>670</v>
      </c>
      <c r="N208" s="223">
        <v>1004</v>
      </c>
      <c r="O208" s="223">
        <v>1004</v>
      </c>
      <c r="P208" s="223">
        <v>1004</v>
      </c>
      <c r="Q208" s="254"/>
      <c r="R208" s="254"/>
      <c r="S208" s="25" t="str">
        <f t="shared" si="51"/>
        <v>0</v>
      </c>
      <c r="T208" s="28" t="s">
        <v>735</v>
      </c>
      <c r="U208" s="28">
        <f>U207+1</f>
        <v>2</v>
      </c>
      <c r="V208" s="99" t="str">
        <f t="shared" si="52"/>
        <v>VEDTATT</v>
      </c>
      <c r="W208" s="99">
        <f t="shared" si="53"/>
        <v>0</v>
      </c>
      <c r="X208" s="101"/>
      <c r="Y208" s="28"/>
    </row>
    <row r="209" spans="1:25" s="38" customFormat="1" ht="19.5" customHeight="1" x14ac:dyDescent="0.25">
      <c r="A209" s="45" t="s">
        <v>805</v>
      </c>
      <c r="B209" s="45" t="str">
        <f t="shared" si="54"/>
        <v>T3</v>
      </c>
      <c r="C209" s="70" t="s">
        <v>1199</v>
      </c>
      <c r="D209" s="79" t="s">
        <v>1113</v>
      </c>
      <c r="E209" s="72" t="s">
        <v>1193</v>
      </c>
      <c r="F209" s="61" t="s">
        <v>84</v>
      </c>
      <c r="G209" s="40"/>
      <c r="H209" s="40"/>
      <c r="I209" s="59"/>
      <c r="J209" s="59"/>
      <c r="K209" s="70"/>
      <c r="L209" s="70">
        <v>880</v>
      </c>
      <c r="M209" s="223">
        <v>880</v>
      </c>
      <c r="N209" s="223">
        <v>1321</v>
      </c>
      <c r="O209" s="223">
        <v>1321</v>
      </c>
      <c r="P209" s="223">
        <v>1321</v>
      </c>
      <c r="Q209" s="254"/>
      <c r="R209" s="254"/>
      <c r="S209" s="25" t="str">
        <f t="shared" si="51"/>
        <v>0</v>
      </c>
      <c r="T209" s="28" t="s">
        <v>735</v>
      </c>
      <c r="U209" s="28">
        <f>U208+1</f>
        <v>3</v>
      </c>
      <c r="V209" s="99" t="str">
        <f t="shared" si="52"/>
        <v>VEDTATT</v>
      </c>
      <c r="W209" s="99">
        <f t="shared" si="53"/>
        <v>0</v>
      </c>
      <c r="X209" s="101"/>
      <c r="Y209" s="28"/>
    </row>
    <row r="210" spans="1:25" s="444" customFormat="1" ht="19.5" customHeight="1" x14ac:dyDescent="0.25">
      <c r="A210" s="433" t="s">
        <v>805</v>
      </c>
      <c r="B210" s="433" t="str">
        <f t="shared" si="54"/>
        <v>T4</v>
      </c>
      <c r="C210" s="439" t="s">
        <v>1200</v>
      </c>
      <c r="D210" s="435" t="s">
        <v>1109</v>
      </c>
      <c r="E210" s="436" t="s">
        <v>1201</v>
      </c>
      <c r="F210" s="450" t="s">
        <v>84</v>
      </c>
      <c r="G210" s="451"/>
      <c r="H210" s="451"/>
      <c r="I210" s="439"/>
      <c r="J210" s="439"/>
      <c r="K210" s="439">
        <v>527</v>
      </c>
      <c r="L210" s="439"/>
      <c r="M210" s="448"/>
      <c r="N210" s="441">
        <v>1453</v>
      </c>
      <c r="O210" s="441">
        <v>5812</v>
      </c>
      <c r="P210" s="441">
        <v>5812</v>
      </c>
      <c r="Q210" s="452"/>
      <c r="R210" s="452"/>
      <c r="S210" s="437">
        <f t="shared" si="51"/>
        <v>527</v>
      </c>
      <c r="T210" s="444" t="s">
        <v>735</v>
      </c>
      <c r="U210" s="444">
        <f>U209+1</f>
        <v>4</v>
      </c>
      <c r="V210" s="445" t="str">
        <f t="shared" si="52"/>
        <v>VEDTATT</v>
      </c>
      <c r="W210" s="445">
        <f t="shared" si="53"/>
        <v>0</v>
      </c>
      <c r="X210" s="453"/>
    </row>
    <row r="211" spans="1:25" s="38" customFormat="1" ht="19.5" customHeight="1" x14ac:dyDescent="0.25">
      <c r="A211" s="45" t="s">
        <v>805</v>
      </c>
      <c r="B211" s="45" t="str">
        <f t="shared" si="54"/>
        <v>T5</v>
      </c>
      <c r="C211" s="70"/>
      <c r="D211" s="79" t="s">
        <v>1112</v>
      </c>
      <c r="E211" s="72" t="s">
        <v>1201</v>
      </c>
      <c r="F211" s="61" t="s">
        <v>84</v>
      </c>
      <c r="G211" s="40"/>
      <c r="H211" s="40"/>
      <c r="I211" s="59"/>
      <c r="J211" s="59"/>
      <c r="K211" s="70">
        <f>205-154</f>
        <v>51</v>
      </c>
      <c r="L211" s="70"/>
      <c r="M211" s="70"/>
      <c r="N211" s="70"/>
      <c r="O211" s="70"/>
      <c r="P211" s="70"/>
      <c r="Q211" s="70"/>
      <c r="R211" s="70"/>
      <c r="S211" s="25" t="str">
        <f t="shared" si="51"/>
        <v>0</v>
      </c>
      <c r="T211" s="28" t="s">
        <v>735</v>
      </c>
      <c r="U211" s="28">
        <f>U210+1</f>
        <v>5</v>
      </c>
      <c r="V211" s="99" t="str">
        <f t="shared" si="52"/>
        <v>VEDTATT</v>
      </c>
      <c r="W211" s="99">
        <f t="shared" si="53"/>
        <v>0</v>
      </c>
      <c r="X211" s="101"/>
      <c r="Y211" s="28"/>
    </row>
    <row r="212" spans="1:25" s="38" customFormat="1" ht="19.5" customHeight="1" x14ac:dyDescent="0.25">
      <c r="A212" s="45" t="s">
        <v>805</v>
      </c>
      <c r="B212" s="45" t="str">
        <f t="shared" si="54"/>
        <v>T6</v>
      </c>
      <c r="C212" s="70"/>
      <c r="D212" s="79" t="s">
        <v>1113</v>
      </c>
      <c r="E212" s="72" t="s">
        <v>1201</v>
      </c>
      <c r="F212" s="61" t="s">
        <v>84</v>
      </c>
      <c r="G212" s="40"/>
      <c r="H212" s="40"/>
      <c r="I212" s="59"/>
      <c r="J212" s="59"/>
      <c r="K212" s="70">
        <f>235-177</f>
        <v>58</v>
      </c>
      <c r="L212" s="70"/>
      <c r="M212" s="70"/>
      <c r="N212" s="70"/>
      <c r="O212" s="70"/>
      <c r="P212" s="70"/>
      <c r="Q212" s="70"/>
      <c r="R212" s="70"/>
      <c r="S212" s="25" t="str">
        <f t="shared" si="51"/>
        <v>0</v>
      </c>
      <c r="T212" s="28" t="s">
        <v>735</v>
      </c>
      <c r="U212" s="28">
        <f t="shared" ref="U212:U215" si="55">U211+1</f>
        <v>6</v>
      </c>
      <c r="V212" s="99" t="str">
        <f t="shared" si="52"/>
        <v>VEDTATT</v>
      </c>
      <c r="W212" s="99">
        <f t="shared" si="53"/>
        <v>0</v>
      </c>
      <c r="X212" s="101"/>
      <c r="Y212" s="28"/>
    </row>
    <row r="213" spans="1:25" s="38" customFormat="1" ht="18.75" customHeight="1" x14ac:dyDescent="0.25">
      <c r="A213" s="45" t="s">
        <v>805</v>
      </c>
      <c r="B213" s="45" t="str">
        <f t="shared" si="54"/>
        <v>T7</v>
      </c>
      <c r="C213" s="70" t="s">
        <v>1202</v>
      </c>
      <c r="D213" s="79" t="s">
        <v>1109</v>
      </c>
      <c r="E213" s="41" t="s">
        <v>91</v>
      </c>
      <c r="F213" s="61"/>
      <c r="G213" s="40"/>
      <c r="H213" s="40"/>
      <c r="I213" s="59"/>
      <c r="J213" s="59"/>
      <c r="K213" s="70"/>
      <c r="L213" s="70"/>
      <c r="M213" s="70"/>
      <c r="N213" s="70"/>
      <c r="O213" s="70"/>
      <c r="P213" s="70"/>
      <c r="Q213" s="70"/>
      <c r="R213" s="70"/>
      <c r="S213" s="25">
        <f t="shared" si="51"/>
        <v>0</v>
      </c>
      <c r="T213" s="28" t="s">
        <v>735</v>
      </c>
      <c r="U213" s="28">
        <f t="shared" si="55"/>
        <v>7</v>
      </c>
      <c r="V213" s="99">
        <f t="shared" si="52"/>
        <v>0</v>
      </c>
      <c r="W213" s="99">
        <f t="shared" si="53"/>
        <v>0</v>
      </c>
      <c r="X213" s="101"/>
      <c r="Y213" s="28"/>
    </row>
    <row r="214" spans="1:25" s="38" customFormat="1" ht="18.75" customHeight="1" x14ac:dyDescent="0.25">
      <c r="A214" s="45" t="s">
        <v>805</v>
      </c>
      <c r="B214" s="45" t="str">
        <f t="shared" si="54"/>
        <v>T8</v>
      </c>
      <c r="C214" s="70"/>
      <c r="D214" s="79" t="s">
        <v>1112</v>
      </c>
      <c r="E214" s="41" t="s">
        <v>1203</v>
      </c>
      <c r="F214" s="61" t="s">
        <v>84</v>
      </c>
      <c r="G214" s="40"/>
      <c r="H214" s="40"/>
      <c r="I214" s="59"/>
      <c r="J214" s="59"/>
      <c r="K214" s="70"/>
      <c r="L214" s="70"/>
      <c r="M214" s="70"/>
      <c r="N214" s="70"/>
      <c r="O214" s="70"/>
      <c r="P214" s="70"/>
      <c r="Q214" s="70"/>
      <c r="R214" s="70"/>
      <c r="S214" s="25" t="str">
        <f t="shared" si="51"/>
        <v>0</v>
      </c>
      <c r="T214" s="28" t="s">
        <v>735</v>
      </c>
      <c r="U214" s="28">
        <f t="shared" si="55"/>
        <v>8</v>
      </c>
      <c r="V214" s="99" t="str">
        <f t="shared" si="52"/>
        <v>VEDTATT</v>
      </c>
      <c r="W214" s="99">
        <f t="shared" si="53"/>
        <v>0</v>
      </c>
      <c r="X214" s="101"/>
      <c r="Y214" s="28" t="s">
        <v>1204</v>
      </c>
    </row>
    <row r="215" spans="1:25" s="38" customFormat="1" ht="18.75" customHeight="1" x14ac:dyDescent="0.25">
      <c r="A215" s="45" t="s">
        <v>805</v>
      </c>
      <c r="B215" s="45" t="str">
        <f t="shared" si="54"/>
        <v>T9</v>
      </c>
      <c r="C215" s="70"/>
      <c r="D215" s="79" t="s">
        <v>1113</v>
      </c>
      <c r="E215" s="41" t="s">
        <v>1203</v>
      </c>
      <c r="F215" s="61" t="s">
        <v>84</v>
      </c>
      <c r="G215" s="40"/>
      <c r="H215" s="40"/>
      <c r="I215" s="59"/>
      <c r="J215" s="59"/>
      <c r="K215" s="70"/>
      <c r="L215" s="70"/>
      <c r="M215" s="70"/>
      <c r="N215" s="70"/>
      <c r="O215" s="70"/>
      <c r="P215" s="70"/>
      <c r="Q215" s="70"/>
      <c r="R215" s="70"/>
      <c r="S215" s="25" t="str">
        <f t="shared" si="51"/>
        <v>0</v>
      </c>
      <c r="T215" s="28" t="s">
        <v>735</v>
      </c>
      <c r="U215" s="28">
        <f t="shared" si="55"/>
        <v>9</v>
      </c>
      <c r="V215" s="99" t="str">
        <f t="shared" si="52"/>
        <v>VEDTATT</v>
      </c>
      <c r="W215" s="99">
        <f t="shared" si="53"/>
        <v>0</v>
      </c>
      <c r="X215" s="101"/>
      <c r="Y215" s="28" t="s">
        <v>1204</v>
      </c>
    </row>
    <row r="216" spans="1:25" s="38" customFormat="1" ht="18.75" customHeight="1" x14ac:dyDescent="0.25">
      <c r="A216" s="161"/>
      <c r="B216" s="161" t="str">
        <f t="shared" si="54"/>
        <v/>
      </c>
      <c r="C216" s="162" t="s">
        <v>1081</v>
      </c>
      <c r="D216" s="162"/>
      <c r="E216" s="162"/>
      <c r="F216" s="165" t="s">
        <v>84</v>
      </c>
      <c r="G216" s="162"/>
      <c r="H216" s="162"/>
      <c r="I216" s="162"/>
      <c r="J216" s="162"/>
      <c r="K216" s="163">
        <f t="shared" ref="K216:P216" si="56">SUMIF($F$207:$F$215,$F$216,K207:K215)</f>
        <v>636</v>
      </c>
      <c r="L216" s="163">
        <f t="shared" si="56"/>
        <v>8733</v>
      </c>
      <c r="M216" s="163">
        <f t="shared" si="56"/>
        <v>6320</v>
      </c>
      <c r="N216" s="163">
        <f t="shared" si="56"/>
        <v>15226</v>
      </c>
      <c r="O216" s="163">
        <f t="shared" si="56"/>
        <v>19585</v>
      </c>
      <c r="P216" s="163">
        <f t="shared" si="56"/>
        <v>19585</v>
      </c>
      <c r="Q216" s="163"/>
      <c r="R216" s="163"/>
      <c r="S216" s="25"/>
      <c r="T216" s="28"/>
      <c r="U216" s="28"/>
      <c r="V216" s="99"/>
      <c r="W216" s="99"/>
      <c r="X216" s="101"/>
      <c r="Y216" s="28"/>
    </row>
    <row r="217" spans="1:25" s="38" customFormat="1" ht="18.75" customHeight="1" x14ac:dyDescent="0.25">
      <c r="A217" s="161"/>
      <c r="B217" s="161"/>
      <c r="C217" s="162" t="s">
        <v>1081</v>
      </c>
      <c r="D217" s="162"/>
      <c r="E217" s="166" t="s">
        <v>91</v>
      </c>
      <c r="F217" s="164"/>
      <c r="G217" s="164"/>
      <c r="H217" s="164"/>
      <c r="I217" s="164"/>
      <c r="J217" s="164"/>
      <c r="K217" s="163">
        <f t="shared" ref="K217:P217" si="57">SUMIF($E$207:$E$215,$E$217,K207:K215)</f>
        <v>0</v>
      </c>
      <c r="L217" s="163">
        <f t="shared" si="57"/>
        <v>0</v>
      </c>
      <c r="M217" s="163">
        <f t="shared" si="57"/>
        <v>0</v>
      </c>
      <c r="N217" s="163">
        <f t="shared" si="57"/>
        <v>0</v>
      </c>
      <c r="O217" s="163">
        <f t="shared" si="57"/>
        <v>0</v>
      </c>
      <c r="P217" s="163">
        <f t="shared" si="57"/>
        <v>0</v>
      </c>
      <c r="Q217" s="163"/>
      <c r="R217" s="163"/>
      <c r="S217" s="25"/>
      <c r="T217" s="28"/>
      <c r="U217" s="28"/>
      <c r="V217" s="99"/>
      <c r="W217" s="99"/>
      <c r="X217" s="101"/>
      <c r="Y217" s="28"/>
    </row>
    <row r="218" spans="1:25" s="38" customFormat="1" ht="18.75" customHeight="1" x14ac:dyDescent="0.25">
      <c r="A218" s="45"/>
      <c r="B218" s="45"/>
      <c r="C218" s="16" t="s">
        <v>1205</v>
      </c>
      <c r="D218" s="79"/>
      <c r="E218" s="50"/>
      <c r="F218" s="72"/>
      <c r="G218" s="40"/>
      <c r="H218" s="31"/>
      <c r="I218" s="59"/>
      <c r="J218" s="59"/>
      <c r="K218" s="70"/>
      <c r="L218" s="70"/>
      <c r="M218" s="70"/>
      <c r="N218" s="70"/>
      <c r="O218" s="70"/>
      <c r="P218" s="70"/>
      <c r="Q218" s="70"/>
      <c r="R218" s="70"/>
      <c r="S218" s="25" t="str">
        <f>IF(D218="INTERNHUSLEIE",K218,"0")</f>
        <v>0</v>
      </c>
      <c r="T218" s="28"/>
      <c r="U218" s="28"/>
      <c r="V218" s="99">
        <f>IF(F218="VEDTATT","VEDTATT",0)</f>
        <v>0</v>
      </c>
      <c r="W218" s="99">
        <f>IF(F218="MÅ","Nye tiltak",0)</f>
        <v>0</v>
      </c>
      <c r="X218" s="101"/>
      <c r="Y218" s="28"/>
    </row>
    <row r="219" spans="1:25" s="38" customFormat="1" ht="18.75" customHeight="1" x14ac:dyDescent="0.25">
      <c r="A219" s="43"/>
      <c r="B219" s="43" t="s">
        <v>127</v>
      </c>
      <c r="C219" s="3" t="s">
        <v>1206</v>
      </c>
      <c r="D219" s="3"/>
      <c r="E219" s="52"/>
      <c r="F219" s="52"/>
      <c r="G219" s="52"/>
      <c r="H219" s="52"/>
      <c r="I219" s="56">
        <f t="shared" ref="I219:O219" si="58">SUMIF($A:$A,"TEKNISK",I:I)</f>
        <v>0</v>
      </c>
      <c r="J219" s="56">
        <f t="shared" si="58"/>
        <v>0</v>
      </c>
      <c r="K219" s="56">
        <f t="shared" si="58"/>
        <v>636</v>
      </c>
      <c r="L219" s="56">
        <f t="shared" si="58"/>
        <v>8733</v>
      </c>
      <c r="M219" s="56">
        <f t="shared" si="58"/>
        <v>6320</v>
      </c>
      <c r="N219" s="56">
        <f t="shared" si="58"/>
        <v>15226</v>
      </c>
      <c r="O219" s="56">
        <f t="shared" si="58"/>
        <v>19585</v>
      </c>
      <c r="P219" s="56"/>
      <c r="Q219" s="56"/>
      <c r="R219" s="56"/>
      <c r="S219" s="25" t="str">
        <f>IF(D219="INTERNHUSLEIE",K219,"0")</f>
        <v>0</v>
      </c>
      <c r="T219" s="28"/>
      <c r="U219" s="28"/>
      <c r="V219" s="99">
        <f>IF(F219="VEDTATT","VEDTATT",0)</f>
        <v>0</v>
      </c>
      <c r="W219" s="99">
        <f>IF(F219="MÅ","Nye tiltak",0)</f>
        <v>0</v>
      </c>
      <c r="X219" s="101"/>
      <c r="Y219" s="28"/>
    </row>
    <row r="220" spans="1:25" s="38" customFormat="1" ht="18.75" customHeight="1" x14ac:dyDescent="0.25">
      <c r="A220" s="48"/>
      <c r="B220" s="48"/>
      <c r="C220" s="13" t="s">
        <v>231</v>
      </c>
      <c r="D220" s="13"/>
      <c r="E220" s="50"/>
      <c r="F220" s="72"/>
      <c r="G220" s="24"/>
      <c r="H220" s="24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25" t="str">
        <f>IF(D220="INTERNHUSLEIE",K220,"0")</f>
        <v>0</v>
      </c>
      <c r="T220" s="28" t="s">
        <v>759</v>
      </c>
      <c r="U220" s="28"/>
      <c r="V220" s="99">
        <f>IF(F220="VEDTATT","VEDTATT",0)</f>
        <v>0</v>
      </c>
      <c r="W220" s="99">
        <f>IF(F220="MÅ","Nye tiltak",0)</f>
        <v>0</v>
      </c>
      <c r="X220" s="101"/>
      <c r="Y220" s="28"/>
    </row>
    <row r="221" spans="1:25" s="38" customFormat="1" ht="18.75" customHeight="1" x14ac:dyDescent="0.25">
      <c r="A221" s="45" t="s">
        <v>232</v>
      </c>
      <c r="B221" s="219"/>
      <c r="C221" s="107" t="s">
        <v>1207</v>
      </c>
      <c r="D221" s="79" t="s">
        <v>1109</v>
      </c>
      <c r="E221" s="41" t="s">
        <v>91</v>
      </c>
      <c r="F221" s="222"/>
      <c r="G221" s="220"/>
      <c r="H221" s="220"/>
      <c r="I221" s="221"/>
      <c r="J221" s="221"/>
      <c r="K221" s="221"/>
      <c r="L221" s="57">
        <v>350</v>
      </c>
      <c r="M221" s="57"/>
      <c r="N221" s="57"/>
      <c r="O221" s="57"/>
      <c r="P221" s="57"/>
      <c r="Q221" s="57"/>
      <c r="R221" s="57"/>
      <c r="S221" s="25"/>
      <c r="T221" s="28"/>
      <c r="U221" s="28"/>
      <c r="V221" s="99"/>
      <c r="W221" s="99"/>
      <c r="X221" s="101"/>
      <c r="Y221" s="28"/>
    </row>
    <row r="222" spans="1:25" s="38" customFormat="1" ht="18.75" customHeight="1" x14ac:dyDescent="0.25">
      <c r="A222" s="45" t="s">
        <v>232</v>
      </c>
      <c r="B222" s="219"/>
      <c r="C222" s="107" t="s">
        <v>1208</v>
      </c>
      <c r="D222" s="79" t="s">
        <v>1109</v>
      </c>
      <c r="E222" s="41" t="s">
        <v>91</v>
      </c>
      <c r="F222" s="61" t="s">
        <v>84</v>
      </c>
      <c r="G222" s="220"/>
      <c r="H222" s="220"/>
      <c r="I222" s="221"/>
      <c r="J222" s="221"/>
      <c r="K222" s="221"/>
      <c r="L222" s="57">
        <v>918</v>
      </c>
      <c r="M222" s="57"/>
      <c r="N222" s="57"/>
      <c r="O222" s="57"/>
      <c r="P222" s="57"/>
      <c r="Q222" s="57"/>
      <c r="R222" s="57"/>
      <c r="S222" s="25"/>
      <c r="T222" s="28" t="s">
        <v>759</v>
      </c>
      <c r="U222" s="28"/>
      <c r="V222" s="99"/>
      <c r="W222" s="99"/>
      <c r="X222" s="101"/>
      <c r="Y222" s="28"/>
    </row>
    <row r="223" spans="1:25" s="38" customFormat="1" ht="18.75" customHeight="1" x14ac:dyDescent="0.25">
      <c r="A223" s="43"/>
      <c r="B223" s="43" t="s">
        <v>127</v>
      </c>
      <c r="C223" s="3" t="s">
        <v>240</v>
      </c>
      <c r="D223" s="3"/>
      <c r="E223" s="52"/>
      <c r="F223" s="52"/>
      <c r="G223" s="52"/>
      <c r="H223" s="52">
        <f t="shared" ref="H223:O223" si="59">SUMIF($A:$A,"ORG",H:H)</f>
        <v>0</v>
      </c>
      <c r="I223" s="56">
        <f t="shared" si="59"/>
        <v>0</v>
      </c>
      <c r="J223" s="56">
        <f t="shared" si="59"/>
        <v>0</v>
      </c>
      <c r="K223" s="56">
        <f t="shared" si="59"/>
        <v>0</v>
      </c>
      <c r="L223" s="56">
        <f t="shared" si="59"/>
        <v>1268</v>
      </c>
      <c r="M223" s="56">
        <f t="shared" si="59"/>
        <v>0</v>
      </c>
      <c r="N223" s="56">
        <f t="shared" si="59"/>
        <v>0</v>
      </c>
      <c r="O223" s="56">
        <f t="shared" si="59"/>
        <v>0</v>
      </c>
      <c r="P223" s="56"/>
      <c r="Q223" s="56"/>
      <c r="R223" s="56"/>
      <c r="S223" s="25" t="str">
        <f t="shared" ref="S223:S235" si="60">IF(D223="INTERNHUSLEIE",K223,"0")</f>
        <v>0</v>
      </c>
      <c r="T223" s="28"/>
      <c r="U223" s="28"/>
      <c r="V223" s="99">
        <f t="shared" ref="V223:V231" si="61">IF(F223="VEDTATT","VEDTATT",0)</f>
        <v>0</v>
      </c>
      <c r="W223" s="99">
        <f t="shared" ref="W223:W231" si="62">IF(F223="MÅ","Nye tiltak",0)</f>
        <v>0</v>
      </c>
      <c r="X223" s="101"/>
      <c r="Y223" s="28"/>
    </row>
    <row r="224" spans="1:25" s="38" customFormat="1" ht="18.75" customHeight="1" x14ac:dyDescent="0.25">
      <c r="A224" s="48"/>
      <c r="B224" s="48"/>
      <c r="C224" s="13" t="s">
        <v>241</v>
      </c>
      <c r="D224" s="13"/>
      <c r="E224" s="50"/>
      <c r="F224" s="72"/>
      <c r="G224" s="24"/>
      <c r="H224" s="24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25" t="str">
        <f t="shared" si="60"/>
        <v>0</v>
      </c>
      <c r="T224" s="28"/>
      <c r="U224" s="28"/>
      <c r="V224" s="99">
        <f t="shared" si="61"/>
        <v>0</v>
      </c>
      <c r="W224" s="99">
        <f t="shared" si="62"/>
        <v>0</v>
      </c>
      <c r="X224" s="101"/>
      <c r="Y224" s="28"/>
    </row>
    <row r="225" spans="1:30" s="38" customFormat="1" ht="18.75" customHeight="1" x14ac:dyDescent="0.25">
      <c r="A225" s="43"/>
      <c r="B225" s="43" t="s">
        <v>127</v>
      </c>
      <c r="C225" s="3" t="s">
        <v>248</v>
      </c>
      <c r="D225" s="3"/>
      <c r="E225" s="52"/>
      <c r="F225" s="52"/>
      <c r="G225" s="52"/>
      <c r="H225" s="52"/>
      <c r="I225" s="56">
        <f t="shared" ref="I225:O225" si="63">SUMIF($A:$A,"ØK",I:I)</f>
        <v>0</v>
      </c>
      <c r="J225" s="56">
        <f t="shared" si="63"/>
        <v>0</v>
      </c>
      <c r="K225" s="56">
        <f t="shared" si="63"/>
        <v>0</v>
      </c>
      <c r="L225" s="56">
        <f t="shared" si="63"/>
        <v>0</v>
      </c>
      <c r="M225" s="56">
        <f t="shared" si="63"/>
        <v>0</v>
      </c>
      <c r="N225" s="56">
        <f t="shared" si="63"/>
        <v>0</v>
      </c>
      <c r="O225" s="56">
        <f t="shared" si="63"/>
        <v>0</v>
      </c>
      <c r="P225" s="56"/>
      <c r="Q225" s="56"/>
      <c r="R225" s="56"/>
      <c r="S225" s="25" t="str">
        <f t="shared" si="60"/>
        <v>0</v>
      </c>
      <c r="T225" s="28"/>
      <c r="U225" s="28"/>
      <c r="V225" s="99">
        <f t="shared" si="61"/>
        <v>0</v>
      </c>
      <c r="W225" s="99">
        <f t="shared" si="62"/>
        <v>0</v>
      </c>
      <c r="X225" s="101"/>
      <c r="Y225" s="28"/>
    </row>
    <row r="226" spans="1:30" s="38" customFormat="1" ht="18.75" customHeight="1" x14ac:dyDescent="0.25">
      <c r="A226" s="48"/>
      <c r="B226" s="48"/>
      <c r="C226" s="13" t="s">
        <v>249</v>
      </c>
      <c r="D226" s="13"/>
      <c r="E226" s="50"/>
      <c r="F226" s="61"/>
      <c r="G226" s="24"/>
      <c r="H226" s="24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25" t="str">
        <f t="shared" si="60"/>
        <v>0</v>
      </c>
      <c r="T226" s="28"/>
      <c r="U226" s="28"/>
      <c r="V226" s="99">
        <f t="shared" si="61"/>
        <v>0</v>
      </c>
      <c r="W226" s="99">
        <f t="shared" si="62"/>
        <v>0</v>
      </c>
      <c r="X226" s="101"/>
      <c r="Y226" s="28"/>
    </row>
    <row r="227" spans="1:30" s="38" customFormat="1" ht="18.75" customHeight="1" x14ac:dyDescent="0.25">
      <c r="A227" s="48"/>
      <c r="B227" s="48"/>
      <c r="C227" s="16" t="s">
        <v>1209</v>
      </c>
      <c r="D227" s="16"/>
      <c r="E227" s="50"/>
      <c r="F227" s="61"/>
      <c r="G227" s="24"/>
      <c r="H227" s="24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25" t="str">
        <f t="shared" si="60"/>
        <v>0</v>
      </c>
      <c r="T227" s="28"/>
      <c r="U227" s="28"/>
      <c r="V227" s="99">
        <f t="shared" si="61"/>
        <v>0</v>
      </c>
      <c r="W227" s="99">
        <f t="shared" si="62"/>
        <v>0</v>
      </c>
      <c r="X227" s="101"/>
      <c r="Y227" s="28"/>
    </row>
    <row r="228" spans="1:30" s="38" customFormat="1" ht="18.75" customHeight="1" x14ac:dyDescent="0.25">
      <c r="A228" s="41"/>
      <c r="B228" s="45" t="str">
        <f t="shared" ref="B228:B248" si="64">IF(U228,T228&amp;U228,"")</f>
        <v/>
      </c>
      <c r="C228" s="16" t="s">
        <v>257</v>
      </c>
      <c r="D228" s="79"/>
      <c r="E228" s="50"/>
      <c r="F228" s="61"/>
      <c r="G228" s="31"/>
      <c r="H228" s="31"/>
      <c r="I228" s="59"/>
      <c r="J228" s="59"/>
      <c r="K228" s="70"/>
      <c r="L228" s="70"/>
      <c r="M228" s="70"/>
      <c r="N228" s="70"/>
      <c r="O228" s="70"/>
      <c r="P228" s="70"/>
      <c r="Q228" s="70"/>
      <c r="R228" s="70"/>
      <c r="S228" s="25" t="str">
        <f t="shared" si="60"/>
        <v>0</v>
      </c>
      <c r="T228" s="28"/>
      <c r="U228" s="28"/>
      <c r="V228" s="99">
        <f t="shared" si="61"/>
        <v>0</v>
      </c>
      <c r="W228" s="99">
        <f t="shared" si="62"/>
        <v>0</v>
      </c>
      <c r="X228" s="101"/>
      <c r="Y228" s="28"/>
    </row>
    <row r="229" spans="1:30" s="38" customFormat="1" ht="18.75" customHeight="1" x14ac:dyDescent="0.25">
      <c r="A229" s="41" t="s">
        <v>251</v>
      </c>
      <c r="B229" s="45" t="str">
        <f t="shared" si="64"/>
        <v>F1</v>
      </c>
      <c r="C229" s="70" t="s">
        <v>1210</v>
      </c>
      <c r="D229" s="79" t="s">
        <v>1109</v>
      </c>
      <c r="E229" s="72" t="s">
        <v>1193</v>
      </c>
      <c r="F229" s="61" t="s">
        <v>84</v>
      </c>
      <c r="G229" s="31"/>
      <c r="H229" s="31"/>
      <c r="I229" s="69">
        <v>39000</v>
      </c>
      <c r="J229" s="107">
        <v>55000</v>
      </c>
      <c r="K229" s="69">
        <v>5584</v>
      </c>
      <c r="L229" s="70">
        <v>22858</v>
      </c>
      <c r="M229" s="70"/>
      <c r="N229" s="70"/>
      <c r="O229" s="70"/>
      <c r="P229" s="70"/>
      <c r="Q229" s="70"/>
      <c r="R229" s="70"/>
      <c r="S229" s="25">
        <f t="shared" si="60"/>
        <v>5584</v>
      </c>
      <c r="T229" s="28" t="s">
        <v>772</v>
      </c>
      <c r="U229" s="28">
        <v>1</v>
      </c>
      <c r="V229" s="99" t="str">
        <f t="shared" si="61"/>
        <v>VEDTATT</v>
      </c>
      <c r="W229" s="99">
        <f t="shared" si="62"/>
        <v>0</v>
      </c>
      <c r="X229" s="101"/>
      <c r="Y229" s="28" t="s">
        <v>1211</v>
      </c>
    </row>
    <row r="230" spans="1:30" s="38" customFormat="1" ht="18.75" customHeight="1" x14ac:dyDescent="0.25">
      <c r="A230" s="41" t="s">
        <v>251</v>
      </c>
      <c r="B230" s="45" t="str">
        <f t="shared" si="64"/>
        <v>F2</v>
      </c>
      <c r="C230" s="70" t="s">
        <v>1210</v>
      </c>
      <c r="D230" s="79" t="s">
        <v>1112</v>
      </c>
      <c r="E230" s="72" t="s">
        <v>1193</v>
      </c>
      <c r="F230" s="61" t="s">
        <v>84</v>
      </c>
      <c r="G230" s="31"/>
      <c r="H230" s="31"/>
      <c r="I230" s="69"/>
      <c r="J230" s="107"/>
      <c r="K230" s="69">
        <v>143</v>
      </c>
      <c r="L230" s="70">
        <v>1679</v>
      </c>
      <c r="M230" s="70"/>
      <c r="N230" s="70"/>
      <c r="O230" s="70"/>
      <c r="P230" s="70"/>
      <c r="Q230" s="70"/>
      <c r="R230" s="70"/>
      <c r="S230" s="25" t="str">
        <f t="shared" si="60"/>
        <v>0</v>
      </c>
      <c r="T230" s="28" t="s">
        <v>772</v>
      </c>
      <c r="U230" s="28">
        <f>U229+1</f>
        <v>2</v>
      </c>
      <c r="V230" s="99" t="str">
        <f t="shared" si="61"/>
        <v>VEDTATT</v>
      </c>
      <c r="W230" s="99">
        <f t="shared" si="62"/>
        <v>0</v>
      </c>
      <c r="X230" s="101"/>
      <c r="Y230" s="28"/>
    </row>
    <row r="231" spans="1:30" s="38" customFormat="1" ht="18.75" customHeight="1" x14ac:dyDescent="0.25">
      <c r="A231" s="41" t="s">
        <v>251</v>
      </c>
      <c r="B231" s="45" t="str">
        <f t="shared" si="64"/>
        <v>F3</v>
      </c>
      <c r="C231" s="70" t="s">
        <v>1210</v>
      </c>
      <c r="D231" s="79" t="s">
        <v>1113</v>
      </c>
      <c r="E231" s="72" t="s">
        <v>1193</v>
      </c>
      <c r="F231" s="61" t="s">
        <v>84</v>
      </c>
      <c r="G231" s="31"/>
      <c r="H231" s="31"/>
      <c r="I231" s="69"/>
      <c r="J231" s="107"/>
      <c r="K231" s="69">
        <v>95</v>
      </c>
      <c r="L231" s="70">
        <v>1114</v>
      </c>
      <c r="M231" s="70"/>
      <c r="N231" s="70"/>
      <c r="O231" s="70"/>
      <c r="P231" s="70"/>
      <c r="Q231" s="70"/>
      <c r="R231" s="70"/>
      <c r="S231" s="25" t="str">
        <f t="shared" si="60"/>
        <v>0</v>
      </c>
      <c r="T231" s="28" t="s">
        <v>772</v>
      </c>
      <c r="U231" s="28">
        <f t="shared" ref="U231:U236" si="65">U230+1</f>
        <v>3</v>
      </c>
      <c r="V231" s="99" t="str">
        <f t="shared" si="61"/>
        <v>VEDTATT</v>
      </c>
      <c r="W231" s="99">
        <f t="shared" si="62"/>
        <v>0</v>
      </c>
      <c r="X231" s="101"/>
      <c r="Y231" s="28"/>
    </row>
    <row r="232" spans="1:30" s="38" customFormat="1" ht="18.75" customHeight="1" x14ac:dyDescent="0.25">
      <c r="A232" s="41" t="s">
        <v>251</v>
      </c>
      <c r="B232" s="45" t="str">
        <f t="shared" si="64"/>
        <v>F4</v>
      </c>
      <c r="C232" s="70" t="s">
        <v>1212</v>
      </c>
      <c r="D232" s="79" t="s">
        <v>1109</v>
      </c>
      <c r="E232" s="41" t="s">
        <v>1201</v>
      </c>
      <c r="F232" s="61" t="s">
        <v>84</v>
      </c>
      <c r="G232" s="31"/>
      <c r="H232" s="31"/>
      <c r="I232" s="69"/>
      <c r="J232" s="107"/>
      <c r="K232" s="70">
        <v>511</v>
      </c>
      <c r="L232" s="70">
        <v>-1867</v>
      </c>
      <c r="M232" s="223">
        <f>-2802-L232</f>
        <v>-935</v>
      </c>
      <c r="N232" s="223">
        <v>-935</v>
      </c>
      <c r="O232" s="223">
        <v>-935</v>
      </c>
      <c r="P232" s="223">
        <v>-935</v>
      </c>
      <c r="Q232" s="254"/>
      <c r="R232" s="254"/>
      <c r="S232" s="25">
        <f t="shared" si="60"/>
        <v>511</v>
      </c>
      <c r="T232" s="28" t="s">
        <v>772</v>
      </c>
      <c r="U232" s="28">
        <f t="shared" si="65"/>
        <v>4</v>
      </c>
      <c r="V232" s="99"/>
      <c r="W232" s="99"/>
      <c r="X232" s="101"/>
      <c r="Y232" s="28"/>
    </row>
    <row r="233" spans="1:30" s="38" customFormat="1" ht="18.75" customHeight="1" x14ac:dyDescent="0.25">
      <c r="A233" s="41" t="s">
        <v>251</v>
      </c>
      <c r="B233" s="45" t="str">
        <f t="shared" si="64"/>
        <v>F5</v>
      </c>
      <c r="C233" s="70" t="s">
        <v>1212</v>
      </c>
      <c r="D233" s="79" t="s">
        <v>1112</v>
      </c>
      <c r="E233" s="41" t="s">
        <v>1201</v>
      </c>
      <c r="F233" s="61" t="s">
        <v>84</v>
      </c>
      <c r="G233" s="31"/>
      <c r="H233" s="31"/>
      <c r="I233" s="69">
        <v>39000</v>
      </c>
      <c r="J233" s="70">
        <v>-200</v>
      </c>
      <c r="K233" s="69">
        <v>871</v>
      </c>
      <c r="L233" s="70">
        <v>-1111</v>
      </c>
      <c r="M233" s="223">
        <f>-1667-L233</f>
        <v>-556</v>
      </c>
      <c r="N233" s="223">
        <v>-556</v>
      </c>
      <c r="O233" s="223">
        <v>-556</v>
      </c>
      <c r="P233" s="278">
        <v>-556</v>
      </c>
      <c r="Q233" s="254"/>
      <c r="R233" s="254"/>
      <c r="S233" s="25" t="str">
        <f t="shared" si="60"/>
        <v>0</v>
      </c>
      <c r="T233" s="28" t="s">
        <v>772</v>
      </c>
      <c r="U233" s="28">
        <f t="shared" si="65"/>
        <v>5</v>
      </c>
      <c r="V233" s="99"/>
      <c r="W233" s="99"/>
      <c r="X233" s="101"/>
      <c r="Y233" s="28"/>
    </row>
    <row r="234" spans="1:30" s="38" customFormat="1" ht="18.75" customHeight="1" x14ac:dyDescent="0.25">
      <c r="A234" s="41" t="s">
        <v>251</v>
      </c>
      <c r="B234" s="45" t="str">
        <f t="shared" si="64"/>
        <v>F6</v>
      </c>
      <c r="C234" s="70" t="s">
        <v>1212</v>
      </c>
      <c r="D234" s="79" t="s">
        <v>1113</v>
      </c>
      <c r="E234" s="41" t="s">
        <v>1201</v>
      </c>
      <c r="F234" s="61" t="s">
        <v>84</v>
      </c>
      <c r="G234" s="31"/>
      <c r="H234" s="31"/>
      <c r="I234" s="59">
        <f>-900+252</f>
        <v>-648</v>
      </c>
      <c r="J234" s="59">
        <v>-203</v>
      </c>
      <c r="K234" s="69">
        <v>51</v>
      </c>
      <c r="L234" s="70">
        <v>-1406</v>
      </c>
      <c r="M234" s="223">
        <v>-703</v>
      </c>
      <c r="N234" s="223">
        <v>-703</v>
      </c>
      <c r="O234" s="223">
        <v>-703</v>
      </c>
      <c r="P234" s="223">
        <v>-703</v>
      </c>
      <c r="Q234" s="254"/>
      <c r="R234" s="254"/>
      <c r="S234" s="25" t="str">
        <f t="shared" si="60"/>
        <v>0</v>
      </c>
      <c r="T234" s="28" t="s">
        <v>772</v>
      </c>
      <c r="U234" s="28">
        <f t="shared" si="65"/>
        <v>6</v>
      </c>
      <c r="V234" s="99" t="str">
        <f>IF(F234="VEDTATT","VEDTATT",0)</f>
        <v>VEDTATT</v>
      </c>
      <c r="W234" s="99">
        <f>IF(F234="MÅ","Nye tiltak",0)</f>
        <v>0</v>
      </c>
      <c r="X234" s="101"/>
      <c r="Y234" s="28"/>
    </row>
    <row r="235" spans="1:30" s="38" customFormat="1" ht="18.75" customHeight="1" x14ac:dyDescent="0.25">
      <c r="A235" s="228" t="s">
        <v>251</v>
      </c>
      <c r="B235" s="229" t="str">
        <f t="shared" si="64"/>
        <v>F7</v>
      </c>
      <c r="C235" s="69" t="s">
        <v>1213</v>
      </c>
      <c r="D235" s="230" t="s">
        <v>1109</v>
      </c>
      <c r="E235" s="41" t="s">
        <v>91</v>
      </c>
      <c r="F235" s="231"/>
      <c r="G235" s="232"/>
      <c r="H235" s="232"/>
      <c r="I235" s="69">
        <f>-900+252</f>
        <v>-648</v>
      </c>
      <c r="J235" s="69">
        <v>-203</v>
      </c>
      <c r="K235" s="69">
        <v>156</v>
      </c>
      <c r="L235" s="69"/>
      <c r="M235" s="224"/>
      <c r="N235" s="224">
        <f>4986-270</f>
        <v>4716</v>
      </c>
      <c r="O235" s="224">
        <f>7478-405</f>
        <v>7073</v>
      </c>
      <c r="P235" s="224">
        <f>7478-405</f>
        <v>7073</v>
      </c>
      <c r="Q235" s="432"/>
      <c r="R235" s="432"/>
      <c r="S235" s="25">
        <f t="shared" si="60"/>
        <v>156</v>
      </c>
      <c r="T235" s="28" t="s">
        <v>772</v>
      </c>
      <c r="U235" s="28">
        <f t="shared" si="65"/>
        <v>7</v>
      </c>
      <c r="V235" s="99"/>
      <c r="W235" s="99"/>
      <c r="X235" s="101"/>
      <c r="Y235" s="218" t="s">
        <v>1214</v>
      </c>
      <c r="Z235" s="218"/>
      <c r="AA235" s="218"/>
      <c r="AB235" s="218"/>
      <c r="AC235" s="218"/>
      <c r="AD235" s="218"/>
    </row>
    <row r="236" spans="1:30" s="38" customFormat="1" ht="18.75" customHeight="1" x14ac:dyDescent="0.25">
      <c r="A236" s="41" t="s">
        <v>251</v>
      </c>
      <c r="B236" s="45" t="str">
        <f t="shared" si="64"/>
        <v>F8</v>
      </c>
      <c r="D236" s="79" t="s">
        <v>1109</v>
      </c>
      <c r="E236" s="41" t="s">
        <v>91</v>
      </c>
      <c r="F236" s="61"/>
      <c r="G236" s="31"/>
      <c r="H236" s="31"/>
      <c r="I236" s="59"/>
      <c r="J236" s="59"/>
      <c r="K236" s="69"/>
      <c r="L236" s="70"/>
      <c r="M236" s="70"/>
      <c r="N236" s="70"/>
      <c r="O236" s="70"/>
      <c r="P236" s="70"/>
      <c r="Q236" s="70"/>
      <c r="R236" s="70"/>
      <c r="S236" s="25">
        <f>IF(D235="INTERNHUSLEIE",K235,"0")</f>
        <v>156</v>
      </c>
      <c r="T236" s="28" t="s">
        <v>772</v>
      </c>
      <c r="U236" s="28">
        <f t="shared" si="65"/>
        <v>8</v>
      </c>
      <c r="V236" s="99">
        <f>IF(F235="VEDTATT","VEDTATT",0)</f>
        <v>0</v>
      </c>
      <c r="W236" s="99">
        <f>IF(F235="MÅ","Nye tiltak",0)</f>
        <v>0</v>
      </c>
      <c r="X236" s="105"/>
      <c r="Y236" s="28"/>
    </row>
    <row r="237" spans="1:30" s="38" customFormat="1" ht="18.75" customHeight="1" x14ac:dyDescent="0.25">
      <c r="A237" s="161"/>
      <c r="B237" s="161" t="str">
        <f t="shared" si="64"/>
        <v/>
      </c>
      <c r="C237" s="162" t="s">
        <v>1083</v>
      </c>
      <c r="D237" s="162"/>
      <c r="E237" s="162"/>
      <c r="F237" s="165" t="s">
        <v>84</v>
      </c>
      <c r="G237" s="162"/>
      <c r="H237" s="162"/>
      <c r="I237" s="162"/>
      <c r="J237" s="162"/>
      <c r="K237" s="163">
        <f t="shared" ref="K237:P237" si="66">SUMIF($F$229:$F$235,$F$237,K229:K235)</f>
        <v>7255</v>
      </c>
      <c r="L237" s="163">
        <f t="shared" si="66"/>
        <v>21267</v>
      </c>
      <c r="M237" s="163">
        <f t="shared" si="66"/>
        <v>-2194</v>
      </c>
      <c r="N237" s="163">
        <f t="shared" si="66"/>
        <v>-2194</v>
      </c>
      <c r="O237" s="163">
        <f t="shared" si="66"/>
        <v>-2194</v>
      </c>
      <c r="P237" s="163">
        <f t="shared" si="66"/>
        <v>-2194</v>
      </c>
      <c r="Q237" s="163"/>
      <c r="R237" s="163"/>
      <c r="S237" s="25"/>
      <c r="T237" s="28"/>
      <c r="U237" s="28"/>
      <c r="V237" s="99"/>
      <c r="W237" s="99"/>
      <c r="X237" s="105"/>
      <c r="Y237" s="28"/>
    </row>
    <row r="238" spans="1:30" s="38" customFormat="1" ht="18.75" customHeight="1" x14ac:dyDescent="0.25">
      <c r="A238" s="161"/>
      <c r="B238" s="161"/>
      <c r="C238" s="162" t="s">
        <v>1083</v>
      </c>
      <c r="D238" s="162"/>
      <c r="E238" s="166" t="s">
        <v>91</v>
      </c>
      <c r="F238" s="164"/>
      <c r="G238" s="164"/>
      <c r="H238" s="164"/>
      <c r="I238" s="164"/>
      <c r="J238" s="164"/>
      <c r="K238" s="163">
        <f>SUMIF($E$229:$E$235,$E$238,K229:K235)</f>
        <v>156</v>
      </c>
      <c r="L238" s="163">
        <f>SUMIF($E$229:$E$235,$E$238,L229:L235)</f>
        <v>0</v>
      </c>
      <c r="M238" s="163">
        <f>SUMIF($E$229:$E$236,$E$238,M229:M236)</f>
        <v>0</v>
      </c>
      <c r="N238" s="163">
        <f>SUMIF($E$229:$E$236,$E$238,N229:N236)</f>
        <v>4716</v>
      </c>
      <c r="O238" s="163">
        <f>SUMIF($E$229:$E$236,$E$238,O229:O236)</f>
        <v>7073</v>
      </c>
      <c r="P238" s="163">
        <f>SUMIF($E$229:$E$236,$E$238,P229:P236)</f>
        <v>7073</v>
      </c>
      <c r="Q238" s="163"/>
      <c r="R238" s="163"/>
      <c r="S238" s="25"/>
      <c r="T238" s="28"/>
      <c r="U238" s="28"/>
      <c r="V238" s="99"/>
      <c r="W238" s="99"/>
      <c r="X238" s="105"/>
      <c r="Y238" s="28"/>
    </row>
    <row r="239" spans="1:30" s="38" customFormat="1" ht="18.75" customHeight="1" x14ac:dyDescent="0.25">
      <c r="A239" s="41"/>
      <c r="B239" s="45" t="str">
        <f t="shared" si="64"/>
        <v/>
      </c>
      <c r="C239" s="82" t="s">
        <v>288</v>
      </c>
      <c r="D239" s="79"/>
      <c r="E239" s="83"/>
      <c r="F239" s="71"/>
      <c r="G239" s="31"/>
      <c r="H239" s="31"/>
      <c r="I239" s="59"/>
      <c r="J239" s="59"/>
      <c r="K239" s="70"/>
      <c r="L239" s="70"/>
      <c r="M239" s="70"/>
      <c r="N239" s="70"/>
      <c r="O239" s="70"/>
      <c r="P239" s="70"/>
      <c r="Q239" s="70"/>
      <c r="R239" s="70"/>
      <c r="S239" s="25" t="str">
        <f t="shared" ref="S239:S245" si="67">IF(D239="INTERNHUSLEIE",K239,"0")</f>
        <v>0</v>
      </c>
      <c r="T239" s="28"/>
      <c r="U239" s="28"/>
      <c r="V239" s="99">
        <f>IF(F239="VEDTATT","VEDTATT",0)</f>
        <v>0</v>
      </c>
      <c r="W239" s="99">
        <f>IF(F239="MÅ","Nye tiltak",0)</f>
        <v>0</v>
      </c>
      <c r="X239" s="101"/>
      <c r="Y239" s="28"/>
    </row>
    <row r="240" spans="1:30" s="38" customFormat="1" x14ac:dyDescent="0.25">
      <c r="A240" s="72"/>
      <c r="B240" s="45" t="str">
        <f t="shared" si="64"/>
        <v/>
      </c>
      <c r="C240" s="82" t="s">
        <v>282</v>
      </c>
      <c r="D240" s="79"/>
      <c r="E240" s="83"/>
      <c r="F240" s="71"/>
      <c r="G240" s="81"/>
      <c r="H240" s="81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25" t="str">
        <f t="shared" si="67"/>
        <v>0</v>
      </c>
      <c r="T240" s="28"/>
      <c r="U240" s="28"/>
      <c r="V240" s="99">
        <f>IF(F240="VEDTATT","VEDTATT",0)</f>
        <v>0</v>
      </c>
      <c r="W240" s="99">
        <f>IF(F240="MÅ","Nye tiltak",0)</f>
        <v>0</v>
      </c>
      <c r="X240" s="101"/>
      <c r="Y240" s="28"/>
    </row>
    <row r="241" spans="1:25" s="38" customFormat="1" ht="18.75" customHeight="1" x14ac:dyDescent="0.25">
      <c r="A241" s="171" t="s">
        <v>251</v>
      </c>
      <c r="B241" s="172" t="str">
        <f t="shared" si="64"/>
        <v>F9</v>
      </c>
      <c r="C241" s="173" t="s">
        <v>1215</v>
      </c>
      <c r="D241" s="174" t="s">
        <v>1088</v>
      </c>
      <c r="E241" s="171" t="s">
        <v>91</v>
      </c>
      <c r="F241" s="175"/>
      <c r="G241" s="176"/>
      <c r="H241" s="176"/>
      <c r="I241" s="177">
        <v>23617</v>
      </c>
      <c r="J241" s="178">
        <v>44566</v>
      </c>
      <c r="K241" s="178">
        <v>6838</v>
      </c>
      <c r="L241" s="178">
        <v>7910</v>
      </c>
      <c r="M241" s="74">
        <v>10012</v>
      </c>
      <c r="N241" s="74">
        <v>10012</v>
      </c>
      <c r="O241" s="74">
        <v>10012</v>
      </c>
      <c r="P241" s="74">
        <v>10012</v>
      </c>
      <c r="Q241" s="74"/>
      <c r="R241" s="74"/>
      <c r="S241" s="25" t="str">
        <f t="shared" si="67"/>
        <v>0</v>
      </c>
      <c r="T241" s="28" t="s">
        <v>772</v>
      </c>
      <c r="U241" s="28">
        <f>U236+1</f>
        <v>9</v>
      </c>
      <c r="V241" s="99">
        <f>IF(F241="VEDTATT","VEDTATT",0)</f>
        <v>0</v>
      </c>
      <c r="W241" s="99">
        <f>IF(F241="MÅ","Nye tiltak",0)</f>
        <v>0</v>
      </c>
      <c r="X241" s="101"/>
      <c r="Y241" s="28" t="s">
        <v>1216</v>
      </c>
    </row>
    <row r="242" spans="1:25" s="38" customFormat="1" x14ac:dyDescent="0.25">
      <c r="A242" s="171" t="s">
        <v>251</v>
      </c>
      <c r="B242" s="172" t="str">
        <f t="shared" si="64"/>
        <v>F10</v>
      </c>
      <c r="C242" s="173" t="s">
        <v>1217</v>
      </c>
      <c r="D242" s="174" t="s">
        <v>1088</v>
      </c>
      <c r="E242" s="171" t="s">
        <v>91</v>
      </c>
      <c r="F242" s="175"/>
      <c r="G242" s="173"/>
      <c r="H242" s="173"/>
      <c r="I242" s="173"/>
      <c r="J242" s="173"/>
      <c r="K242" s="178">
        <v>1313</v>
      </c>
      <c r="L242" s="178">
        <v>2102</v>
      </c>
      <c r="M242" s="74">
        <v>7142</v>
      </c>
      <c r="N242" s="74">
        <v>7142</v>
      </c>
      <c r="O242" s="74">
        <v>7142</v>
      </c>
      <c r="P242" s="74">
        <v>7142</v>
      </c>
      <c r="Q242" s="74"/>
      <c r="R242" s="74"/>
      <c r="S242" s="25" t="str">
        <f t="shared" si="67"/>
        <v>0</v>
      </c>
      <c r="T242" s="28" t="s">
        <v>772</v>
      </c>
      <c r="U242" s="28">
        <f>U241+1</f>
        <v>10</v>
      </c>
      <c r="V242" s="99">
        <f>IF(F243="VEDTATT","VEDTATT",0)</f>
        <v>0</v>
      </c>
      <c r="W242" s="99">
        <f>IF(F243="MÅ","Nye tiltak",0)</f>
        <v>0</v>
      </c>
      <c r="X242" s="101"/>
      <c r="Y242" s="28" t="s">
        <v>1216</v>
      </c>
    </row>
    <row r="243" spans="1:25" s="38" customFormat="1" x14ac:dyDescent="0.25">
      <c r="A243" s="171" t="s">
        <v>251</v>
      </c>
      <c r="B243" s="172" t="str">
        <f t="shared" si="64"/>
        <v>F11</v>
      </c>
      <c r="C243" s="173" t="s">
        <v>1218</v>
      </c>
      <c r="D243" s="172" t="s">
        <v>1088</v>
      </c>
      <c r="E243" s="172" t="s">
        <v>91</v>
      </c>
      <c r="F243" s="175"/>
      <c r="G243" s="173"/>
      <c r="H243" s="173"/>
      <c r="I243" s="173">
        <f>(39980+11200-945-878)*1.02</f>
        <v>50344.14</v>
      </c>
      <c r="J243" s="173">
        <v>-3765</v>
      </c>
      <c r="K243" s="178">
        <v>2159</v>
      </c>
      <c r="L243" s="178">
        <v>1913</v>
      </c>
      <c r="M243" s="178">
        <v>1352</v>
      </c>
      <c r="N243" s="178">
        <v>1352</v>
      </c>
      <c r="O243" s="178">
        <v>1352</v>
      </c>
      <c r="P243" s="178">
        <v>1352</v>
      </c>
      <c r="Q243" s="178"/>
      <c r="R243" s="178"/>
      <c r="S243" s="25" t="str">
        <f t="shared" si="67"/>
        <v>0</v>
      </c>
      <c r="T243" s="28" t="s">
        <v>772</v>
      </c>
      <c r="U243" s="28">
        <f t="shared" ref="U243:U247" si="68">U242+1</f>
        <v>11</v>
      </c>
      <c r="V243" s="99">
        <f>IF(F244="VEDTATT","VEDTATT",0)</f>
        <v>0</v>
      </c>
      <c r="W243" s="99">
        <f>IF(F244="MÅ","Nye tiltak",0)</f>
        <v>0</v>
      </c>
      <c r="X243" s="101"/>
      <c r="Y243" s="28" t="s">
        <v>1216</v>
      </c>
    </row>
    <row r="244" spans="1:25" s="38" customFormat="1" x14ac:dyDescent="0.25">
      <c r="A244" s="72" t="s">
        <v>251</v>
      </c>
      <c r="B244" s="172" t="str">
        <f t="shared" si="64"/>
        <v>F12</v>
      </c>
      <c r="C244" s="53" t="s">
        <v>1219</v>
      </c>
      <c r="D244" s="79" t="s">
        <v>1109</v>
      </c>
      <c r="E244" s="72" t="s">
        <v>91</v>
      </c>
      <c r="F244" s="71"/>
      <c r="G244" s="81"/>
      <c r="H244" s="81"/>
      <c r="I244" s="70"/>
      <c r="J244" s="74"/>
      <c r="K244" s="74">
        <f>176376-176576</f>
        <v>-200</v>
      </c>
      <c r="L244" s="74">
        <v>-2236</v>
      </c>
      <c r="M244" s="74">
        <v>-2236</v>
      </c>
      <c r="N244" s="74">
        <v>-2236</v>
      </c>
      <c r="O244" s="74">
        <v>-2236</v>
      </c>
      <c r="P244" s="74">
        <v>-2236</v>
      </c>
      <c r="Q244" s="74"/>
      <c r="R244" s="74"/>
      <c r="S244" s="25">
        <f t="shared" si="67"/>
        <v>-200</v>
      </c>
      <c r="T244" s="28" t="s">
        <v>772</v>
      </c>
      <c r="U244" s="28">
        <f t="shared" si="68"/>
        <v>12</v>
      </c>
      <c r="V244" s="99" t="str">
        <f>IF(F245="VEDTATT","VEDTATT",0)</f>
        <v>VEDTATT</v>
      </c>
      <c r="W244" s="99">
        <f>IF(F245="MÅ","Nye tiltak",0)</f>
        <v>0</v>
      </c>
      <c r="X244" s="101"/>
      <c r="Y244" s="28"/>
    </row>
    <row r="245" spans="1:25" s="38" customFormat="1" x14ac:dyDescent="0.25">
      <c r="A245" s="72" t="s">
        <v>251</v>
      </c>
      <c r="B245" s="172" t="str">
        <f t="shared" si="64"/>
        <v>F13</v>
      </c>
      <c r="C245" s="53" t="s">
        <v>1220</v>
      </c>
      <c r="D245" s="79" t="s">
        <v>1109</v>
      </c>
      <c r="E245" s="72" t="s">
        <v>1193</v>
      </c>
      <c r="F245" s="71" t="s">
        <v>84</v>
      </c>
      <c r="K245" s="74">
        <v>3808</v>
      </c>
      <c r="L245" s="74">
        <v>5870</v>
      </c>
      <c r="M245" s="74">
        <v>12495</v>
      </c>
      <c r="N245" s="74">
        <v>14957</v>
      </c>
      <c r="O245" s="74">
        <v>17804</v>
      </c>
      <c r="P245" s="74">
        <v>19511</v>
      </c>
      <c r="Q245" s="74"/>
      <c r="R245" s="74"/>
      <c r="S245" s="25">
        <f t="shared" si="67"/>
        <v>3808</v>
      </c>
      <c r="T245" s="28" t="s">
        <v>772</v>
      </c>
      <c r="U245" s="28">
        <f t="shared" si="68"/>
        <v>13</v>
      </c>
      <c r="V245" s="99">
        <f>IF(F246="VEDTATT","VEDTATT",0)</f>
        <v>0</v>
      </c>
      <c r="W245" s="99">
        <f>IF(F246="MÅ","Nye tiltak",0)</f>
        <v>0</v>
      </c>
      <c r="X245" s="101"/>
      <c r="Y245" s="28" t="s">
        <v>1216</v>
      </c>
    </row>
    <row r="246" spans="1:25" s="38" customFormat="1" x14ac:dyDescent="0.25">
      <c r="A246" s="72" t="s">
        <v>251</v>
      </c>
      <c r="B246" s="172" t="str">
        <f t="shared" si="64"/>
        <v>F14</v>
      </c>
      <c r="C246" s="53" t="s">
        <v>1221</v>
      </c>
      <c r="D246" s="79"/>
      <c r="E246" s="72" t="s">
        <v>91</v>
      </c>
      <c r="F246" s="71"/>
      <c r="K246" s="74"/>
      <c r="L246" s="74">
        <v>30245</v>
      </c>
      <c r="M246" s="74"/>
      <c r="N246" s="74"/>
      <c r="O246" s="74"/>
      <c r="P246" s="74"/>
      <c r="Q246" s="74"/>
      <c r="R246" s="74"/>
      <c r="S246" s="25"/>
      <c r="T246" s="28" t="s">
        <v>772</v>
      </c>
      <c r="U246" s="28">
        <f t="shared" si="68"/>
        <v>14</v>
      </c>
      <c r="V246" s="99"/>
      <c r="W246" s="99"/>
      <c r="X246" s="101"/>
      <c r="Y246" s="28"/>
    </row>
    <row r="247" spans="1:25" s="38" customFormat="1" x14ac:dyDescent="0.25">
      <c r="A247" s="72" t="s">
        <v>251</v>
      </c>
      <c r="B247" s="172" t="str">
        <f t="shared" si="64"/>
        <v>F15</v>
      </c>
      <c r="C247" s="53" t="s">
        <v>1222</v>
      </c>
      <c r="D247" s="79" t="s">
        <v>1223</v>
      </c>
      <c r="E247" s="72" t="s">
        <v>91</v>
      </c>
      <c r="F247" s="72"/>
      <c r="G247" s="97"/>
      <c r="H247" s="97"/>
      <c r="I247" s="75"/>
      <c r="J247" s="74"/>
      <c r="K247" s="74">
        <v>-5014</v>
      </c>
      <c r="L247" s="74">
        <v>-1484</v>
      </c>
      <c r="M247" s="74">
        <v>-792</v>
      </c>
      <c r="N247" s="74">
        <v>-792</v>
      </c>
      <c r="O247" s="74">
        <v>-792</v>
      </c>
      <c r="P247" s="74">
        <v>-792</v>
      </c>
      <c r="Q247" s="74"/>
      <c r="R247" s="74"/>
      <c r="S247" s="25" t="str">
        <f>IF(D247="INTERNHUSLEIE",K247,"0")</f>
        <v>0</v>
      </c>
      <c r="T247" s="28" t="s">
        <v>772</v>
      </c>
      <c r="U247" s="28">
        <f t="shared" si="68"/>
        <v>15</v>
      </c>
      <c r="V247" s="99">
        <f>IF(F247="VEDTATT","VEDTATT",0)</f>
        <v>0</v>
      </c>
      <c r="W247" s="99">
        <f>IF(F247="MÅ","Nye tiltak",0)</f>
        <v>0</v>
      </c>
      <c r="X247" s="101"/>
      <c r="Y247" s="28" t="s">
        <v>1216</v>
      </c>
    </row>
    <row r="248" spans="1:25" s="38" customFormat="1" x14ac:dyDescent="0.25">
      <c r="A248" s="161"/>
      <c r="B248" s="161" t="str">
        <f t="shared" si="64"/>
        <v/>
      </c>
      <c r="C248" s="162" t="s">
        <v>1086</v>
      </c>
      <c r="D248" s="162"/>
      <c r="E248" s="162"/>
      <c r="F248" s="165" t="s">
        <v>84</v>
      </c>
      <c r="G248" s="162"/>
      <c r="H248" s="162"/>
      <c r="I248" s="162"/>
      <c r="J248" s="162"/>
      <c r="K248" s="163">
        <f t="shared" ref="K248:P248" si="69">SUMIF($F$244:$F$247,$F$248,K244:K247)</f>
        <v>3808</v>
      </c>
      <c r="L248" s="163">
        <f t="shared" si="69"/>
        <v>5870</v>
      </c>
      <c r="M248" s="163">
        <f t="shared" si="69"/>
        <v>12495</v>
      </c>
      <c r="N248" s="163">
        <f t="shared" si="69"/>
        <v>14957</v>
      </c>
      <c r="O248" s="163">
        <f t="shared" si="69"/>
        <v>17804</v>
      </c>
      <c r="P248" s="163">
        <f t="shared" si="69"/>
        <v>19511</v>
      </c>
      <c r="Q248" s="163"/>
      <c r="R248" s="163"/>
      <c r="S248" s="25"/>
      <c r="T248" s="28"/>
      <c r="U248" s="28"/>
      <c r="V248" s="99"/>
      <c r="W248" s="99"/>
      <c r="X248" s="101"/>
      <c r="Y248" s="28"/>
    </row>
    <row r="249" spans="1:25" s="38" customFormat="1" x14ac:dyDescent="0.25">
      <c r="A249" s="162"/>
      <c r="B249" s="162"/>
      <c r="C249" s="162" t="s">
        <v>1086</v>
      </c>
      <c r="D249" s="162"/>
      <c r="E249" s="166" t="s">
        <v>91</v>
      </c>
      <c r="F249" s="164"/>
      <c r="G249" s="164"/>
      <c r="H249" s="164"/>
      <c r="I249" s="164"/>
      <c r="J249" s="164"/>
      <c r="K249" s="163">
        <f t="shared" ref="K249:P249" si="70">SUMIF($E$244:$E$247,$E$249,K244:K247)</f>
        <v>-5214</v>
      </c>
      <c r="L249" s="163">
        <f t="shared" si="70"/>
        <v>26525</v>
      </c>
      <c r="M249" s="163">
        <f t="shared" si="70"/>
        <v>-3028</v>
      </c>
      <c r="N249" s="163">
        <f t="shared" si="70"/>
        <v>-3028</v>
      </c>
      <c r="O249" s="163">
        <f t="shared" si="70"/>
        <v>-3028</v>
      </c>
      <c r="P249" s="163">
        <f t="shared" si="70"/>
        <v>-3028</v>
      </c>
      <c r="Q249" s="163"/>
      <c r="R249" s="163"/>
      <c r="S249" s="25"/>
      <c r="T249" s="28"/>
      <c r="U249" s="28"/>
      <c r="V249" s="99"/>
      <c r="W249" s="99"/>
      <c r="X249" s="101"/>
      <c r="Y249" s="28"/>
    </row>
    <row r="250" spans="1:25" s="38" customFormat="1" ht="30" x14ac:dyDescent="0.25">
      <c r="A250" s="43"/>
      <c r="B250" s="43" t="s">
        <v>127</v>
      </c>
      <c r="C250" s="3" t="s">
        <v>304</v>
      </c>
      <c r="D250" s="3"/>
      <c r="E250" s="52"/>
      <c r="F250" s="52"/>
      <c r="G250" s="52"/>
      <c r="H250" s="52">
        <f t="shared" ref="H250:P250" si="71">SUMIF($A:$A,"KOM.FELLES",H:H)</f>
        <v>0</v>
      </c>
      <c r="I250" s="56">
        <f t="shared" si="71"/>
        <v>150665.14000000001</v>
      </c>
      <c r="J250" s="56">
        <f t="shared" si="71"/>
        <v>95195</v>
      </c>
      <c r="K250" s="56">
        <f t="shared" si="71"/>
        <v>16315</v>
      </c>
      <c r="L250" s="56">
        <f t="shared" si="71"/>
        <v>65587</v>
      </c>
      <c r="M250" s="56">
        <f t="shared" si="71"/>
        <v>25779</v>
      </c>
      <c r="N250" s="56">
        <f t="shared" si="71"/>
        <v>32957</v>
      </c>
      <c r="O250" s="56">
        <f t="shared" si="71"/>
        <v>38161</v>
      </c>
      <c r="P250" s="56">
        <f t="shared" si="71"/>
        <v>39868</v>
      </c>
      <c r="Q250" s="56"/>
      <c r="R250" s="56"/>
      <c r="S250" s="25" t="str">
        <f>IF(D250="INTERNHUSLEIE",K250,"0")</f>
        <v>0</v>
      </c>
      <c r="T250" s="28"/>
      <c r="U250" s="28"/>
      <c r="V250" s="99">
        <f>IF(F250="VEDTATT","VEDTATT",0)</f>
        <v>0</v>
      </c>
      <c r="W250" s="99">
        <f>IF(F250="MÅ","Nye tiltak",0)</f>
        <v>0</v>
      </c>
      <c r="X250" s="101"/>
      <c r="Y250" s="28"/>
    </row>
    <row r="251" spans="1:25" x14ac:dyDescent="0.25">
      <c r="V251" s="91"/>
      <c r="W251" s="91"/>
      <c r="X251" s="92"/>
    </row>
  </sheetData>
  <dataValidations count="2">
    <dataValidation type="list" allowBlank="1" showInputMessage="1" showErrorMessage="1" sqref="D241:D243" xr:uid="{16C89AD8-9478-4F32-B666-6D9D206618F1}">
      <formula1>KPI</formula1>
    </dataValidation>
    <dataValidation type="list" allowBlank="1" showInputMessage="1" showErrorMessage="1" sqref="D37:D40 D207:D218 D244:D249 D115:D186 D228:D240 D221:D222 D44:D95 D110:D111 D99:D108 D192:D204" xr:uid="{2F5A62FD-0893-4B22-9A37-028B96E79B79}">
      <formula1>kOSTNADSTYPE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374B7F1-054D-48BE-967B-6EB260D2C83E}">
          <x14:formula1>
            <xm:f>Div!$B$3:$B$8</xm:f>
          </x14:formula1>
          <xm:sqref>E116:E119 E103:E106 E126:E140 E245 E149:E154 E156 E197:E199 E202 E207:E209 E229:E231 E44:E88 E162:E180</xm:sqref>
        </x14:dataValidation>
        <x14:dataValidation type="list" allowBlank="1" showInputMessage="1" showErrorMessage="1" xr:uid="{71D887D6-5DC0-47C0-B483-705F7BA6CA25}">
          <x14:formula1>
            <xm:f>'C:\Users\lincbak\Desktop\[Kopi av Driftskostnader for nye bygg - tiltaksliste 2018-2021.xlsx]Div'!#REF!</xm:f>
          </x14:formula1>
          <xm:sqref>F219:H219 F225:H225 F37:F218 E37:E43 F220:F224 E246:E250 E89:E102 E141:E148 E120:E125 E157:E161 E181:E196 E200:E201 E203:E206 E210:E228 F237:F250 E232:E244 E107:E115 E155 A37:A250 F226:F235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11"/>
  <dimension ref="A3:L227"/>
  <sheetViews>
    <sheetView workbookViewId="0">
      <selection activeCell="D57" sqref="D57"/>
    </sheetView>
  </sheetViews>
  <sheetFormatPr baseColWidth="10" defaultColWidth="11.42578125" defaultRowHeight="15" x14ac:dyDescent="0.25"/>
  <cols>
    <col min="1" max="3" width="11.42578125" style="6"/>
  </cols>
  <sheetData>
    <row r="3" spans="1:3" x14ac:dyDescent="0.25">
      <c r="A3" s="6" t="s">
        <v>22</v>
      </c>
      <c r="B3" s="6" t="s">
        <v>89</v>
      </c>
      <c r="C3" s="6" t="s">
        <v>488</v>
      </c>
    </row>
    <row r="4" spans="1:3" x14ac:dyDescent="0.25">
      <c r="A4" s="6" t="s">
        <v>1107</v>
      </c>
      <c r="B4" s="6" t="s">
        <v>83</v>
      </c>
      <c r="C4" s="6" t="s">
        <v>24</v>
      </c>
    </row>
    <row r="5" spans="1:3" x14ac:dyDescent="0.25">
      <c r="A5" s="6" t="s">
        <v>1224</v>
      </c>
      <c r="B5" s="6" t="s">
        <v>91</v>
      </c>
      <c r="C5" s="6" t="s">
        <v>84</v>
      </c>
    </row>
    <row r="6" spans="1:3" x14ac:dyDescent="0.25">
      <c r="A6" s="6" t="s">
        <v>131</v>
      </c>
      <c r="B6" s="6" t="s">
        <v>22</v>
      </c>
      <c r="C6" s="6" t="s">
        <v>901</v>
      </c>
    </row>
    <row r="7" spans="1:3" x14ac:dyDescent="0.25">
      <c r="A7" s="6" t="s">
        <v>186</v>
      </c>
      <c r="B7" s="6" t="s">
        <v>28</v>
      </c>
      <c r="C7" s="6" t="s">
        <v>1225</v>
      </c>
    </row>
    <row r="8" spans="1:3" x14ac:dyDescent="0.25">
      <c r="A8" s="6" t="s">
        <v>206</v>
      </c>
      <c r="C8" s="6" t="s">
        <v>28</v>
      </c>
    </row>
    <row r="9" spans="1:3" x14ac:dyDescent="0.25">
      <c r="A9" s="6" t="s">
        <v>232</v>
      </c>
      <c r="C9" s="6">
        <v>1</v>
      </c>
    </row>
    <row r="10" spans="1:3" x14ac:dyDescent="0.25">
      <c r="A10" s="6" t="s">
        <v>242</v>
      </c>
      <c r="C10" s="6">
        <v>2</v>
      </c>
    </row>
    <row r="11" spans="1:3" x14ac:dyDescent="0.25">
      <c r="A11" s="6" t="s">
        <v>251</v>
      </c>
      <c r="C11" s="6">
        <v>3</v>
      </c>
    </row>
    <row r="12" spans="1:3" x14ac:dyDescent="0.25">
      <c r="A12" s="6" t="s">
        <v>81</v>
      </c>
      <c r="C12" s="6">
        <v>4</v>
      </c>
    </row>
    <row r="13" spans="1:3" x14ac:dyDescent="0.25">
      <c r="C13" s="6">
        <v>5</v>
      </c>
    </row>
    <row r="14" spans="1:3" x14ac:dyDescent="0.25">
      <c r="C14" s="6">
        <v>6</v>
      </c>
    </row>
    <row r="15" spans="1:3" x14ac:dyDescent="0.25">
      <c r="C15" s="6">
        <v>7</v>
      </c>
    </row>
    <row r="16" spans="1:3" x14ac:dyDescent="0.25">
      <c r="C16" s="6">
        <v>8</v>
      </c>
    </row>
    <row r="17" spans="3:3" x14ac:dyDescent="0.25">
      <c r="C17" s="6">
        <v>9</v>
      </c>
    </row>
    <row r="18" spans="3:3" x14ac:dyDescent="0.25">
      <c r="C18" s="6">
        <v>10</v>
      </c>
    </row>
    <row r="19" spans="3:3" x14ac:dyDescent="0.25">
      <c r="C19" s="6">
        <v>11</v>
      </c>
    </row>
    <row r="20" spans="3:3" x14ac:dyDescent="0.25">
      <c r="C20" s="6">
        <v>12</v>
      </c>
    </row>
    <row r="21" spans="3:3" x14ac:dyDescent="0.25">
      <c r="C21" s="6">
        <v>13</v>
      </c>
    </row>
    <row r="22" spans="3:3" x14ac:dyDescent="0.25">
      <c r="C22" s="6">
        <v>14</v>
      </c>
    </row>
    <row r="23" spans="3:3" x14ac:dyDescent="0.25">
      <c r="C23" s="6">
        <v>15</v>
      </c>
    </row>
    <row r="24" spans="3:3" x14ac:dyDescent="0.25">
      <c r="C24" s="6">
        <v>16</v>
      </c>
    </row>
    <row r="25" spans="3:3" x14ac:dyDescent="0.25">
      <c r="C25" s="6">
        <v>17</v>
      </c>
    </row>
    <row r="26" spans="3:3" x14ac:dyDescent="0.25">
      <c r="C26" s="6">
        <v>18</v>
      </c>
    </row>
    <row r="27" spans="3:3" x14ac:dyDescent="0.25">
      <c r="C27" s="6">
        <v>19</v>
      </c>
    </row>
    <row r="28" spans="3:3" x14ac:dyDescent="0.25">
      <c r="C28" s="6">
        <v>20</v>
      </c>
    </row>
    <row r="29" spans="3:3" x14ac:dyDescent="0.25">
      <c r="C29" s="6">
        <v>21</v>
      </c>
    </row>
    <row r="30" spans="3:3" x14ac:dyDescent="0.25">
      <c r="C30" s="6">
        <v>22</v>
      </c>
    </row>
    <row r="31" spans="3:3" x14ac:dyDescent="0.25">
      <c r="C31" s="6">
        <v>23</v>
      </c>
    </row>
    <row r="32" spans="3:3" x14ac:dyDescent="0.25">
      <c r="C32" s="6">
        <v>24</v>
      </c>
    </row>
    <row r="33" spans="3:9" x14ac:dyDescent="0.25">
      <c r="C33" s="6">
        <v>25</v>
      </c>
    </row>
    <row r="34" spans="3:9" x14ac:dyDescent="0.25">
      <c r="C34" s="6">
        <v>26</v>
      </c>
    </row>
    <row r="35" spans="3:9" x14ac:dyDescent="0.25">
      <c r="C35" s="6">
        <v>27</v>
      </c>
    </row>
    <row r="36" spans="3:9" x14ac:dyDescent="0.25">
      <c r="C36" s="6">
        <v>28</v>
      </c>
    </row>
    <row r="37" spans="3:9" x14ac:dyDescent="0.25">
      <c r="C37" s="6">
        <v>29</v>
      </c>
      <c r="F37">
        <v>91000</v>
      </c>
      <c r="G37">
        <v>104000</v>
      </c>
      <c r="H37">
        <v>109000</v>
      </c>
      <c r="I37">
        <v>116000</v>
      </c>
    </row>
    <row r="38" spans="3:9" x14ac:dyDescent="0.25">
      <c r="C38" s="6">
        <v>30</v>
      </c>
      <c r="F38">
        <v>292000</v>
      </c>
      <c r="G38">
        <v>299000</v>
      </c>
      <c r="H38">
        <v>303000</v>
      </c>
      <c r="I38">
        <v>310000</v>
      </c>
    </row>
    <row r="39" spans="3:9" x14ac:dyDescent="0.25">
      <c r="C39" s="6">
        <v>31</v>
      </c>
    </row>
    <row r="40" spans="3:9" x14ac:dyDescent="0.25">
      <c r="C40" s="6">
        <v>32</v>
      </c>
    </row>
    <row r="41" spans="3:9" x14ac:dyDescent="0.25">
      <c r="C41" s="6">
        <v>33</v>
      </c>
    </row>
    <row r="42" spans="3:9" x14ac:dyDescent="0.25">
      <c r="C42" s="6">
        <v>34</v>
      </c>
    </row>
    <row r="43" spans="3:9" x14ac:dyDescent="0.25">
      <c r="C43" s="6">
        <v>35</v>
      </c>
    </row>
    <row r="44" spans="3:9" x14ac:dyDescent="0.25">
      <c r="C44" s="6">
        <v>36</v>
      </c>
    </row>
    <row r="45" spans="3:9" x14ac:dyDescent="0.25">
      <c r="C45" s="6">
        <v>37</v>
      </c>
    </row>
    <row r="46" spans="3:9" x14ac:dyDescent="0.25">
      <c r="C46" s="6">
        <v>38</v>
      </c>
    </row>
    <row r="47" spans="3:9" x14ac:dyDescent="0.25">
      <c r="C47" s="6">
        <v>39</v>
      </c>
    </row>
    <row r="48" spans="3:9" x14ac:dyDescent="0.25">
      <c r="C48" s="6">
        <v>40</v>
      </c>
    </row>
    <row r="49" spans="1:3" x14ac:dyDescent="0.25">
      <c r="C49" s="6">
        <v>41</v>
      </c>
    </row>
    <row r="50" spans="1:3" x14ac:dyDescent="0.25">
      <c r="A50" s="7"/>
      <c r="B50" s="7"/>
      <c r="C50" s="6">
        <v>42</v>
      </c>
    </row>
    <row r="51" spans="1:3" x14ac:dyDescent="0.25">
      <c r="C51" s="6">
        <v>43</v>
      </c>
    </row>
    <row r="52" spans="1:3" x14ac:dyDescent="0.25">
      <c r="C52" s="6">
        <v>44</v>
      </c>
    </row>
    <row r="53" spans="1:3" x14ac:dyDescent="0.25">
      <c r="C53" s="6">
        <v>45</v>
      </c>
    </row>
    <row r="54" spans="1:3" x14ac:dyDescent="0.25">
      <c r="C54" s="6">
        <v>46</v>
      </c>
    </row>
    <row r="55" spans="1:3" x14ac:dyDescent="0.25">
      <c r="C55" s="6">
        <v>47</v>
      </c>
    </row>
    <row r="56" spans="1:3" x14ac:dyDescent="0.25">
      <c r="C56" s="6">
        <v>48</v>
      </c>
    </row>
    <row r="57" spans="1:3" x14ac:dyDescent="0.25">
      <c r="C57" s="6">
        <v>49</v>
      </c>
    </row>
    <row r="58" spans="1:3" x14ac:dyDescent="0.25">
      <c r="C58" s="6" t="s">
        <v>1226</v>
      </c>
    </row>
    <row r="64" spans="1:3" x14ac:dyDescent="0.25">
      <c r="A64" s="7"/>
      <c r="B64" s="7"/>
    </row>
    <row r="210" spans="10:10" x14ac:dyDescent="0.25">
      <c r="J210" s="93" t="s">
        <v>1227</v>
      </c>
    </row>
    <row r="227" spans="12:12" x14ac:dyDescent="0.25">
      <c r="L227">
        <f>+L226+1</f>
        <v>1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12">
    <tabColor rgb="FFFF0000"/>
  </sheetPr>
  <dimension ref="A1:W138"/>
  <sheetViews>
    <sheetView topLeftCell="A29" workbookViewId="0">
      <selection activeCell="H59" sqref="H59"/>
    </sheetView>
  </sheetViews>
  <sheetFormatPr baseColWidth="10" defaultColWidth="11.42578125" defaultRowHeight="15" x14ac:dyDescent="0.25"/>
  <cols>
    <col min="1" max="1" width="36.5703125" bestFit="1" customWidth="1"/>
    <col min="7" max="7" width="5.5703125" customWidth="1"/>
    <col min="8" max="8" width="53.42578125" bestFit="1" customWidth="1"/>
    <col min="9" max="9" width="16.85546875" customWidth="1"/>
    <col min="10" max="10" width="17.42578125" customWidth="1"/>
    <col min="11" max="11" width="0" hidden="1" customWidth="1"/>
  </cols>
  <sheetData>
    <row r="1" spans="1:15" ht="30" x14ac:dyDescent="0.25">
      <c r="A1" s="188"/>
      <c r="B1" s="189" t="e">
        <f>#REF!</f>
        <v>#REF!</v>
      </c>
      <c r="C1" s="189" t="e">
        <f>#REF!</f>
        <v>#REF!</v>
      </c>
      <c r="D1" s="189" t="e">
        <f>#REF!</f>
        <v>#REF!</v>
      </c>
      <c r="E1" s="189" t="e">
        <f>#REF!</f>
        <v>#REF!</v>
      </c>
      <c r="F1" s="189" t="e">
        <f>#REF!</f>
        <v>#REF!</v>
      </c>
      <c r="H1" s="353" t="s">
        <v>1228</v>
      </c>
      <c r="I1" s="353" t="s">
        <v>1229</v>
      </c>
      <c r="J1" s="354" t="s">
        <v>1230</v>
      </c>
      <c r="K1" s="353">
        <v>2020</v>
      </c>
      <c r="L1" s="353">
        <v>2021</v>
      </c>
      <c r="M1" s="353">
        <v>2022</v>
      </c>
      <c r="N1" s="353">
        <v>2023</v>
      </c>
      <c r="O1" s="353">
        <v>2024</v>
      </c>
    </row>
    <row r="2" spans="1:15" x14ac:dyDescent="0.25">
      <c r="A2" s="184" t="s">
        <v>840</v>
      </c>
      <c r="B2" s="186" t="e">
        <f>#REF!</f>
        <v>#REF!</v>
      </c>
      <c r="C2" s="186" t="e">
        <f>#REF!</f>
        <v>#REF!</v>
      </c>
      <c r="D2" s="186" t="e">
        <f>#REF!</f>
        <v>#REF!</v>
      </c>
      <c r="E2" s="186" t="e">
        <f>#REF!</f>
        <v>#REF!</v>
      </c>
      <c r="F2" s="186" t="e">
        <f>#REF!</f>
        <v>#REF!</v>
      </c>
      <c r="H2" s="355" t="s">
        <v>1114</v>
      </c>
      <c r="I2" s="356">
        <v>30002</v>
      </c>
      <c r="J2" s="210" t="s">
        <v>1109</v>
      </c>
      <c r="K2" s="279">
        <v>-400</v>
      </c>
      <c r="L2" s="357">
        <v>-300</v>
      </c>
      <c r="M2" s="357">
        <v>-300</v>
      </c>
      <c r="N2" s="357">
        <v>-300</v>
      </c>
      <c r="O2" s="357">
        <v>-300</v>
      </c>
    </row>
    <row r="3" spans="1:15" x14ac:dyDescent="0.25">
      <c r="A3" s="184" t="s">
        <v>841</v>
      </c>
      <c r="B3" s="186" t="e">
        <f>#REF!+#REF!</f>
        <v>#REF!</v>
      </c>
      <c r="C3" s="186" t="e">
        <f>#REF!+#REF!</f>
        <v>#REF!</v>
      </c>
      <c r="D3" s="186" t="e">
        <f>#REF!+#REF!</f>
        <v>#REF!</v>
      </c>
      <c r="E3" s="186" t="e">
        <f>#REF!+#REF!</f>
        <v>#REF!</v>
      </c>
      <c r="F3" s="186" t="e">
        <f>#REF!+#REF!</f>
        <v>#REF!</v>
      </c>
      <c r="H3" s="355" t="s">
        <v>1114</v>
      </c>
      <c r="I3" s="356">
        <v>30002</v>
      </c>
      <c r="J3" s="210" t="s">
        <v>1112</v>
      </c>
      <c r="K3" s="279">
        <v>-200</v>
      </c>
      <c r="L3" s="357">
        <v>-200</v>
      </c>
      <c r="M3" s="357">
        <v>-200</v>
      </c>
      <c r="N3" s="357">
        <v>-200</v>
      </c>
      <c r="O3" s="357">
        <v>-200</v>
      </c>
    </row>
    <row r="4" spans="1:15" x14ac:dyDescent="0.25">
      <c r="A4" s="184" t="s">
        <v>803</v>
      </c>
      <c r="B4" s="186" t="e">
        <f>#REF!+#REF!+#REF!+#REF!</f>
        <v>#REF!</v>
      </c>
      <c r="C4" s="186" t="e">
        <f>#REF!+#REF!+#REF!+#REF!</f>
        <v>#REF!</v>
      </c>
      <c r="D4" s="186" t="e">
        <f>#REF!+#REF!+#REF!+#REF!</f>
        <v>#REF!</v>
      </c>
      <c r="E4" s="186" t="e">
        <f>#REF!+#REF!+#REF!+#REF!</f>
        <v>#REF!</v>
      </c>
      <c r="F4" s="186" t="e">
        <f>#REF!+#REF!+#REF!+#REF!</f>
        <v>#REF!</v>
      </c>
      <c r="H4" s="355" t="s">
        <v>1114</v>
      </c>
      <c r="I4" s="356">
        <v>30002</v>
      </c>
      <c r="J4" s="210" t="s">
        <v>1113</v>
      </c>
      <c r="K4" s="279">
        <v>-100</v>
      </c>
      <c r="L4" s="357">
        <v>-200</v>
      </c>
      <c r="M4" s="357">
        <v>-200</v>
      </c>
      <c r="N4" s="357">
        <v>-200</v>
      </c>
      <c r="O4" s="357">
        <v>-200</v>
      </c>
    </row>
    <row r="5" spans="1:15" x14ac:dyDescent="0.25">
      <c r="A5" s="184" t="s">
        <v>842</v>
      </c>
      <c r="B5" s="186" t="e">
        <f>#REF!</f>
        <v>#REF!</v>
      </c>
      <c r="C5" s="186" t="e">
        <f>#REF!</f>
        <v>#REF!</v>
      </c>
      <c r="D5" s="186" t="e">
        <f>#REF!</f>
        <v>#REF!</v>
      </c>
      <c r="E5" s="186" t="e">
        <f>#REF!</f>
        <v>#REF!</v>
      </c>
      <c r="F5" s="186" t="e">
        <f>#REF!</f>
        <v>#REF!</v>
      </c>
      <c r="H5" s="355" t="s">
        <v>1118</v>
      </c>
      <c r="I5" s="356">
        <v>30009</v>
      </c>
      <c r="J5" s="210" t="s">
        <v>1109</v>
      </c>
      <c r="K5" s="279">
        <v>5600</v>
      </c>
      <c r="L5" s="357">
        <v>7900</v>
      </c>
      <c r="M5" s="357">
        <v>7900</v>
      </c>
      <c r="N5" s="357">
        <v>7900</v>
      </c>
      <c r="O5" s="357">
        <v>7900</v>
      </c>
    </row>
    <row r="6" spans="1:15" x14ac:dyDescent="0.25">
      <c r="A6" s="184" t="s">
        <v>808</v>
      </c>
      <c r="B6" s="186" t="e">
        <f>#REF!</f>
        <v>#REF!</v>
      </c>
      <c r="C6" s="186" t="e">
        <f>#REF!</f>
        <v>#REF!</v>
      </c>
      <c r="D6" s="186" t="e">
        <f>#REF!</f>
        <v>#REF!</v>
      </c>
      <c r="E6" s="186" t="e">
        <f>#REF!</f>
        <v>#REF!</v>
      </c>
      <c r="F6" s="186" t="e">
        <f>#REF!</f>
        <v>#REF!</v>
      </c>
      <c r="H6" s="355" t="s">
        <v>1118</v>
      </c>
      <c r="I6" s="356">
        <v>30009</v>
      </c>
      <c r="J6" s="210" t="s">
        <v>1112</v>
      </c>
      <c r="K6" s="279">
        <v>900</v>
      </c>
      <c r="L6" s="357">
        <v>900</v>
      </c>
      <c r="M6" s="357">
        <v>900</v>
      </c>
      <c r="N6" s="357">
        <v>900</v>
      </c>
      <c r="O6" s="357">
        <v>900</v>
      </c>
    </row>
    <row r="7" spans="1:15" x14ac:dyDescent="0.25">
      <c r="A7" s="184" t="s">
        <v>809</v>
      </c>
      <c r="B7" s="186" t="e">
        <f>#REF!</f>
        <v>#REF!</v>
      </c>
      <c r="C7" s="186" t="e">
        <f>#REF!</f>
        <v>#REF!</v>
      </c>
      <c r="D7" s="186" t="e">
        <f>#REF!</f>
        <v>#REF!</v>
      </c>
      <c r="E7" s="186" t="e">
        <f>#REF!</f>
        <v>#REF!</v>
      </c>
      <c r="F7" s="186" t="e">
        <f>#REF!</f>
        <v>#REF!</v>
      </c>
      <c r="H7" s="355" t="s">
        <v>1118</v>
      </c>
      <c r="I7" s="356">
        <v>30009</v>
      </c>
      <c r="J7" s="210" t="s">
        <v>1113</v>
      </c>
      <c r="K7" s="279">
        <v>500</v>
      </c>
      <c r="L7" s="357">
        <v>400</v>
      </c>
      <c r="M7" s="357">
        <v>400</v>
      </c>
      <c r="N7" s="357">
        <v>400</v>
      </c>
      <c r="O7" s="357">
        <v>400</v>
      </c>
    </row>
    <row r="8" spans="1:15" s="182" customFormat="1" x14ac:dyDescent="0.25">
      <c r="A8" s="185" t="s">
        <v>1231</v>
      </c>
      <c r="B8" s="187" t="e">
        <f>SUM(B2:B7)</f>
        <v>#REF!</v>
      </c>
      <c r="C8" s="187" t="e">
        <f t="shared" ref="C8:E8" si="0">SUM(C2:C7)</f>
        <v>#REF!</v>
      </c>
      <c r="D8" s="187" t="e">
        <f t="shared" si="0"/>
        <v>#REF!</v>
      </c>
      <c r="E8" s="187" t="e">
        <f t="shared" si="0"/>
        <v>#REF!</v>
      </c>
      <c r="F8" s="187" t="e">
        <f t="shared" ref="F8" si="1">SUM(F2:F7)</f>
        <v>#REF!</v>
      </c>
      <c r="H8" s="355" t="s">
        <v>1232</v>
      </c>
      <c r="I8" s="356">
        <v>30010</v>
      </c>
      <c r="J8" s="210" t="s">
        <v>1109</v>
      </c>
      <c r="K8" s="223">
        <v>0</v>
      </c>
      <c r="L8" s="357">
        <v>5800</v>
      </c>
      <c r="M8" s="357">
        <v>14000</v>
      </c>
      <c r="N8" s="357">
        <v>14000</v>
      </c>
      <c r="O8" s="357">
        <v>21000</v>
      </c>
    </row>
    <row r="9" spans="1:15" x14ac:dyDescent="0.25">
      <c r="A9" s="184"/>
      <c r="B9" s="186"/>
      <c r="C9" s="186"/>
      <c r="D9" s="186"/>
      <c r="E9" s="186"/>
      <c r="F9" s="186"/>
      <c r="H9" s="355" t="s">
        <v>1232</v>
      </c>
      <c r="I9" s="356">
        <v>30010</v>
      </c>
      <c r="J9" s="210" t="s">
        <v>1112</v>
      </c>
      <c r="K9" s="223">
        <v>0</v>
      </c>
      <c r="L9" s="357">
        <v>500</v>
      </c>
      <c r="M9" s="357">
        <v>1100</v>
      </c>
      <c r="N9" s="357">
        <v>1100</v>
      </c>
      <c r="O9" s="357">
        <v>1100</v>
      </c>
    </row>
    <row r="10" spans="1:15" x14ac:dyDescent="0.25">
      <c r="A10" s="184" t="s">
        <v>1233</v>
      </c>
      <c r="B10" s="186">
        <v>10700</v>
      </c>
      <c r="C10" s="186">
        <v>54400</v>
      </c>
      <c r="D10" s="186">
        <v>87900</v>
      </c>
      <c r="E10" s="186">
        <v>116400</v>
      </c>
      <c r="F10" s="186">
        <v>116401</v>
      </c>
      <c r="H10" s="355" t="s">
        <v>1232</v>
      </c>
      <c r="I10" s="356">
        <v>30010</v>
      </c>
      <c r="J10" s="210" t="s">
        <v>1113</v>
      </c>
      <c r="K10" s="223">
        <v>0</v>
      </c>
      <c r="L10" s="357">
        <v>200</v>
      </c>
      <c r="M10" s="357">
        <v>500</v>
      </c>
      <c r="N10" s="357">
        <v>500</v>
      </c>
      <c r="O10" s="357">
        <v>500</v>
      </c>
    </row>
    <row r="11" spans="1:15" x14ac:dyDescent="0.25">
      <c r="A11" s="184"/>
      <c r="B11" s="190" t="e">
        <f>B10/B8</f>
        <v>#REF!</v>
      </c>
      <c r="C11" s="190" t="e">
        <f t="shared" ref="C11:E11" si="2">C10/C8</f>
        <v>#REF!</v>
      </c>
      <c r="D11" s="190" t="e">
        <f t="shared" si="2"/>
        <v>#REF!</v>
      </c>
      <c r="E11" s="190" t="e">
        <f t="shared" si="2"/>
        <v>#REF!</v>
      </c>
      <c r="F11" s="190" t="e">
        <f t="shared" ref="F11" si="3">F10/F8</f>
        <v>#REF!</v>
      </c>
      <c r="H11" s="355" t="s">
        <v>1234</v>
      </c>
      <c r="I11" s="356">
        <v>6001100</v>
      </c>
      <c r="J11" s="210" t="s">
        <v>1109</v>
      </c>
      <c r="K11" s="223">
        <v>0</v>
      </c>
      <c r="L11" s="357">
        <v>1100</v>
      </c>
      <c r="M11" s="357">
        <v>2700</v>
      </c>
      <c r="N11" s="357">
        <v>2700</v>
      </c>
      <c r="O11" s="357">
        <v>2700</v>
      </c>
    </row>
    <row r="12" spans="1:15" x14ac:dyDescent="0.25">
      <c r="A12" s="184"/>
      <c r="B12" s="186"/>
      <c r="C12" s="186"/>
      <c r="D12" s="186"/>
      <c r="E12" s="186"/>
      <c r="F12" s="186"/>
      <c r="H12" s="355" t="s">
        <v>1234</v>
      </c>
      <c r="I12" s="356">
        <v>6001100</v>
      </c>
      <c r="J12" s="210" t="s">
        <v>1112</v>
      </c>
      <c r="K12" s="223">
        <v>0</v>
      </c>
      <c r="L12" s="357">
        <v>300</v>
      </c>
      <c r="M12" s="357">
        <v>600</v>
      </c>
      <c r="N12" s="357">
        <v>600</v>
      </c>
      <c r="O12" s="357">
        <v>900</v>
      </c>
    </row>
    <row r="13" spans="1:15" x14ac:dyDescent="0.25">
      <c r="A13" s="184" t="s">
        <v>1235</v>
      </c>
      <c r="B13" s="186" t="e">
        <f>#REF!+#REF!</f>
        <v>#REF!</v>
      </c>
      <c r="C13" s="186" t="e">
        <f>#REF!+#REF!</f>
        <v>#REF!</v>
      </c>
      <c r="D13" s="186" t="e">
        <f>#REF!+#REF!</f>
        <v>#REF!</v>
      </c>
      <c r="E13" s="186" t="e">
        <f>#REF!+#REF!</f>
        <v>#REF!</v>
      </c>
      <c r="F13" s="186" t="e">
        <f>#REF!+#REF!</f>
        <v>#REF!</v>
      </c>
      <c r="H13" s="355" t="s">
        <v>1234</v>
      </c>
      <c r="I13" s="356">
        <v>6001100</v>
      </c>
      <c r="J13" s="210" t="s">
        <v>1113</v>
      </c>
      <c r="K13" s="223">
        <v>0</v>
      </c>
      <c r="L13" s="357">
        <v>100</v>
      </c>
      <c r="M13" s="357">
        <v>100</v>
      </c>
      <c r="N13" s="357">
        <v>100</v>
      </c>
      <c r="O13" s="357">
        <v>100</v>
      </c>
    </row>
    <row r="14" spans="1:15" x14ac:dyDescent="0.25">
      <c r="A14" s="184" t="s">
        <v>1236</v>
      </c>
      <c r="B14" s="186" t="e">
        <f>#REF!</f>
        <v>#REF!</v>
      </c>
      <c r="C14" s="186" t="e">
        <f>#REF!</f>
        <v>#REF!</v>
      </c>
      <c r="D14" s="186" t="e">
        <f>#REF!</f>
        <v>#REF!</v>
      </c>
      <c r="E14" s="186" t="e">
        <f>#REF!</f>
        <v>#REF!</v>
      </c>
      <c r="F14" s="186" t="e">
        <f>#REF!</f>
        <v>#REF!</v>
      </c>
      <c r="H14" s="355" t="s">
        <v>1121</v>
      </c>
      <c r="I14" s="356">
        <v>3003400</v>
      </c>
      <c r="J14" s="210" t="s">
        <v>1109</v>
      </c>
      <c r="K14" s="223">
        <v>0</v>
      </c>
      <c r="L14" s="357">
        <v>3600</v>
      </c>
      <c r="M14" s="357">
        <v>8700</v>
      </c>
      <c r="N14" s="357">
        <v>8700</v>
      </c>
      <c r="O14" s="357">
        <v>8700</v>
      </c>
    </row>
    <row r="15" spans="1:15" x14ac:dyDescent="0.25">
      <c r="A15" s="184" t="s">
        <v>1237</v>
      </c>
      <c r="B15" s="186" t="e">
        <f>#REF!+#REF!</f>
        <v>#REF!</v>
      </c>
      <c r="C15" s="186" t="e">
        <f>#REF!+#REF!</f>
        <v>#REF!</v>
      </c>
      <c r="D15" s="186" t="e">
        <f>#REF!+#REF!</f>
        <v>#REF!</v>
      </c>
      <c r="E15" s="186" t="e">
        <f>#REF!+#REF!</f>
        <v>#REF!</v>
      </c>
      <c r="F15" s="186" t="e">
        <f>#REF!+#REF!</f>
        <v>#REF!</v>
      </c>
      <c r="H15" s="355" t="s">
        <v>1121</v>
      </c>
      <c r="I15" s="356">
        <v>3003400</v>
      </c>
      <c r="J15" s="210" t="s">
        <v>1112</v>
      </c>
      <c r="K15" s="223">
        <v>0</v>
      </c>
      <c r="L15" s="357">
        <v>400</v>
      </c>
      <c r="M15" s="357">
        <v>800</v>
      </c>
      <c r="N15" s="357">
        <v>800</v>
      </c>
      <c r="O15" s="357">
        <v>800</v>
      </c>
    </row>
    <row r="16" spans="1:15" x14ac:dyDescent="0.25">
      <c r="A16" s="184" t="s">
        <v>1238</v>
      </c>
      <c r="B16" s="186" t="e">
        <f>#REF!+#REF!+#REF!</f>
        <v>#REF!</v>
      </c>
      <c r="C16" s="186" t="e">
        <f>#REF!+#REF!+#REF!</f>
        <v>#REF!</v>
      </c>
      <c r="D16" s="186" t="e">
        <f>#REF!+#REF!+#REF!</f>
        <v>#REF!</v>
      </c>
      <c r="E16" s="186" t="e">
        <f>#REF!+#REF!+#REF!</f>
        <v>#REF!</v>
      </c>
      <c r="F16" s="186" t="e">
        <f>#REF!+#REF!+#REF!</f>
        <v>#REF!</v>
      </c>
      <c r="H16" s="355" t="s">
        <v>1121</v>
      </c>
      <c r="I16" s="356">
        <v>3003400</v>
      </c>
      <c r="J16" s="210" t="s">
        <v>1113</v>
      </c>
      <c r="K16" s="223">
        <v>0</v>
      </c>
      <c r="L16" s="357">
        <v>200</v>
      </c>
      <c r="M16" s="357">
        <v>400</v>
      </c>
      <c r="N16" s="357">
        <v>400</v>
      </c>
      <c r="O16" s="357">
        <v>400</v>
      </c>
    </row>
    <row r="17" spans="1:15" x14ac:dyDescent="0.25">
      <c r="A17" s="184"/>
      <c r="B17" s="186"/>
      <c r="C17" s="186"/>
      <c r="D17" s="186"/>
      <c r="E17" s="186"/>
      <c r="F17" s="186"/>
      <c r="H17" s="355" t="s">
        <v>1122</v>
      </c>
      <c r="I17" s="356">
        <v>3003400</v>
      </c>
      <c r="J17" s="210" t="s">
        <v>1109</v>
      </c>
      <c r="K17" s="223">
        <v>0</v>
      </c>
      <c r="L17" s="357">
        <v>-200</v>
      </c>
      <c r="M17" s="357">
        <v>-400</v>
      </c>
      <c r="N17" s="357">
        <v>-400</v>
      </c>
      <c r="O17" s="357">
        <v>-400</v>
      </c>
    </row>
    <row r="18" spans="1:15" s="182" customFormat="1" x14ac:dyDescent="0.25">
      <c r="A18" s="185"/>
      <c r="B18" s="187"/>
      <c r="C18" s="187"/>
      <c r="D18" s="187"/>
      <c r="E18" s="187"/>
      <c r="F18" s="187"/>
      <c r="H18" s="355" t="s">
        <v>1122</v>
      </c>
      <c r="I18" s="356">
        <v>3003400</v>
      </c>
      <c r="J18" s="210" t="s">
        <v>1112</v>
      </c>
      <c r="K18" s="223">
        <v>0</v>
      </c>
      <c r="L18" s="357">
        <v>-300</v>
      </c>
      <c r="M18" s="357">
        <v>-600</v>
      </c>
      <c r="N18" s="357">
        <v>-600</v>
      </c>
      <c r="O18" s="357">
        <v>-600</v>
      </c>
    </row>
    <row r="19" spans="1:15" x14ac:dyDescent="0.25">
      <c r="B19" s="183"/>
      <c r="C19" s="183"/>
      <c r="D19" s="183"/>
      <c r="E19" s="183"/>
      <c r="F19" s="183"/>
      <c r="H19" s="355" t="s">
        <v>1122</v>
      </c>
      <c r="I19" s="356">
        <v>3003400</v>
      </c>
      <c r="J19" s="210" t="s">
        <v>1113</v>
      </c>
      <c r="K19" s="223">
        <v>0</v>
      </c>
      <c r="L19" s="357">
        <v>-200</v>
      </c>
      <c r="M19" s="357">
        <v>-400</v>
      </c>
      <c r="N19" s="357">
        <v>-400</v>
      </c>
      <c r="O19" s="357">
        <v>-400</v>
      </c>
    </row>
    <row r="20" spans="1:15" x14ac:dyDescent="0.25">
      <c r="B20" s="183"/>
      <c r="C20" s="183"/>
      <c r="D20" s="183"/>
      <c r="E20" s="183"/>
      <c r="F20" s="183"/>
      <c r="H20" s="355" t="s">
        <v>1123</v>
      </c>
      <c r="I20" s="356">
        <v>6000700</v>
      </c>
      <c r="J20" s="210" t="s">
        <v>1109</v>
      </c>
      <c r="K20" s="223">
        <v>0</v>
      </c>
      <c r="L20" s="357">
        <v>0</v>
      </c>
      <c r="M20" s="357">
        <v>700</v>
      </c>
      <c r="N20" s="357">
        <v>1700</v>
      </c>
      <c r="O20" s="357">
        <v>1700</v>
      </c>
    </row>
    <row r="21" spans="1:15" x14ac:dyDescent="0.25">
      <c r="B21" s="183"/>
      <c r="C21" s="183"/>
      <c r="D21" s="183"/>
      <c r="E21" s="183"/>
      <c r="F21" s="183"/>
      <c r="H21" s="355" t="s">
        <v>1123</v>
      </c>
      <c r="I21" s="356">
        <v>6000700</v>
      </c>
      <c r="J21" s="210" t="s">
        <v>1112</v>
      </c>
      <c r="K21" s="223">
        <v>0</v>
      </c>
      <c r="L21" s="357">
        <v>0</v>
      </c>
      <c r="M21" s="357">
        <v>100</v>
      </c>
      <c r="N21" s="357">
        <v>100</v>
      </c>
      <c r="O21" s="357">
        <v>100</v>
      </c>
    </row>
    <row r="22" spans="1:15" x14ac:dyDescent="0.25">
      <c r="B22" s="183"/>
      <c r="C22" s="183"/>
      <c r="D22" s="183"/>
      <c r="E22" s="183"/>
      <c r="F22" s="183"/>
      <c r="H22" s="355" t="s">
        <v>1123</v>
      </c>
      <c r="I22" s="356">
        <v>6000700</v>
      </c>
      <c r="J22" s="210" t="s">
        <v>1113</v>
      </c>
      <c r="K22" s="223">
        <v>0</v>
      </c>
      <c r="L22" s="357">
        <v>0</v>
      </c>
      <c r="M22" s="357">
        <v>100</v>
      </c>
      <c r="N22" s="357">
        <v>100</v>
      </c>
      <c r="O22" s="357">
        <v>100</v>
      </c>
    </row>
    <row r="23" spans="1:15" x14ac:dyDescent="0.25">
      <c r="B23" s="183"/>
      <c r="C23" s="183"/>
      <c r="D23" s="183"/>
      <c r="E23" s="183"/>
      <c r="F23" s="183"/>
      <c r="H23" s="355" t="s">
        <v>1124</v>
      </c>
      <c r="I23" s="356">
        <v>3002900</v>
      </c>
      <c r="J23" s="210" t="s">
        <v>1109</v>
      </c>
      <c r="K23" s="223">
        <v>0</v>
      </c>
      <c r="L23" s="357">
        <v>2800</v>
      </c>
      <c r="M23" s="357">
        <v>6600</v>
      </c>
      <c r="N23" s="357">
        <v>6600</v>
      </c>
      <c r="O23" s="357">
        <v>6600</v>
      </c>
    </row>
    <row r="24" spans="1:15" x14ac:dyDescent="0.25">
      <c r="B24" s="183"/>
      <c r="C24" s="183"/>
      <c r="D24" s="183"/>
      <c r="E24" s="183"/>
      <c r="F24" s="183"/>
      <c r="H24" s="355" t="s">
        <v>1124</v>
      </c>
      <c r="I24" s="356">
        <v>3002900</v>
      </c>
      <c r="J24" s="210" t="s">
        <v>1112</v>
      </c>
      <c r="K24" s="223">
        <v>0</v>
      </c>
      <c r="L24" s="357">
        <v>300</v>
      </c>
      <c r="M24" s="357">
        <v>800</v>
      </c>
      <c r="N24" s="357">
        <v>800</v>
      </c>
      <c r="O24" s="357">
        <v>800</v>
      </c>
    </row>
    <row r="25" spans="1:15" x14ac:dyDescent="0.25">
      <c r="B25" s="183"/>
      <c r="C25" s="183"/>
      <c r="D25" s="183"/>
      <c r="E25" s="183"/>
      <c r="F25" s="183"/>
      <c r="H25" s="355" t="s">
        <v>1124</v>
      </c>
      <c r="I25" s="356">
        <v>3002900</v>
      </c>
      <c r="J25" s="210" t="s">
        <v>1113</v>
      </c>
      <c r="K25" s="223">
        <v>0</v>
      </c>
      <c r="L25" s="357">
        <v>200</v>
      </c>
      <c r="M25" s="357">
        <v>400</v>
      </c>
      <c r="N25" s="357">
        <v>400</v>
      </c>
      <c r="O25" s="357">
        <v>400</v>
      </c>
    </row>
    <row r="26" spans="1:15" x14ac:dyDescent="0.25">
      <c r="B26" s="183"/>
      <c r="C26" s="183"/>
      <c r="D26" s="183"/>
      <c r="E26" s="183"/>
      <c r="F26" s="183"/>
      <c r="H26" s="355" t="s">
        <v>1239</v>
      </c>
      <c r="I26" s="356">
        <v>3002900</v>
      </c>
      <c r="J26" s="210" t="s">
        <v>1109</v>
      </c>
      <c r="K26" s="223">
        <v>0</v>
      </c>
      <c r="L26" s="357">
        <v>-200</v>
      </c>
      <c r="M26" s="357">
        <v>-400</v>
      </c>
      <c r="N26" s="357">
        <v>-400</v>
      </c>
      <c r="O26" s="357">
        <v>-600</v>
      </c>
    </row>
    <row r="27" spans="1:15" x14ac:dyDescent="0.25">
      <c r="H27" s="355" t="s">
        <v>1239</v>
      </c>
      <c r="I27" s="356">
        <v>3002900</v>
      </c>
      <c r="J27" s="210" t="s">
        <v>1112</v>
      </c>
      <c r="K27" s="223">
        <v>0</v>
      </c>
      <c r="L27" s="357">
        <v>-300</v>
      </c>
      <c r="M27" s="357">
        <v>-500</v>
      </c>
      <c r="N27" s="357">
        <v>-500</v>
      </c>
      <c r="O27" s="357">
        <v>-750</v>
      </c>
    </row>
    <row r="28" spans="1:15" x14ac:dyDescent="0.25">
      <c r="H28" s="355" t="s">
        <v>1239</v>
      </c>
      <c r="I28" s="356">
        <v>3002900</v>
      </c>
      <c r="J28" s="210" t="s">
        <v>1113</v>
      </c>
      <c r="K28" s="223">
        <v>0</v>
      </c>
      <c r="L28" s="357">
        <v>-200</v>
      </c>
      <c r="M28" s="357">
        <v>-300</v>
      </c>
      <c r="N28" s="357">
        <v>-300</v>
      </c>
      <c r="O28" s="357">
        <v>-450</v>
      </c>
    </row>
    <row r="29" spans="1:15" x14ac:dyDescent="0.25">
      <c r="H29" s="355" t="s">
        <v>1128</v>
      </c>
      <c r="I29" s="356">
        <v>3003800</v>
      </c>
      <c r="J29" s="210" t="s">
        <v>1109</v>
      </c>
      <c r="K29" s="279">
        <v>500</v>
      </c>
      <c r="L29" s="357">
        <v>700</v>
      </c>
      <c r="M29" s="357">
        <v>700</v>
      </c>
      <c r="N29" s="357">
        <v>700</v>
      </c>
      <c r="O29" s="357">
        <v>700</v>
      </c>
    </row>
    <row r="30" spans="1:15" x14ac:dyDescent="0.25">
      <c r="H30" s="355" t="s">
        <v>1240</v>
      </c>
      <c r="I30" s="356">
        <v>5631301</v>
      </c>
      <c r="J30" s="210" t="s">
        <v>1109</v>
      </c>
      <c r="K30" s="223"/>
      <c r="L30" s="357"/>
      <c r="M30" s="357"/>
      <c r="N30" s="357">
        <v>4500</v>
      </c>
      <c r="O30" s="357">
        <v>12100</v>
      </c>
    </row>
    <row r="31" spans="1:15" x14ac:dyDescent="0.25">
      <c r="H31" s="355" t="s">
        <v>1240</v>
      </c>
      <c r="I31" s="356">
        <v>5631301</v>
      </c>
      <c r="J31" s="210" t="s">
        <v>1112</v>
      </c>
      <c r="K31" s="223">
        <v>100</v>
      </c>
      <c r="L31" s="223"/>
      <c r="M31" s="223"/>
      <c r="N31" s="223"/>
      <c r="O31" s="223"/>
    </row>
    <row r="32" spans="1:15" x14ac:dyDescent="0.25">
      <c r="H32" s="355" t="s">
        <v>1240</v>
      </c>
      <c r="I32" s="356">
        <v>5631301</v>
      </c>
      <c r="J32" s="210" t="s">
        <v>1113</v>
      </c>
      <c r="K32" s="223">
        <v>0</v>
      </c>
      <c r="L32" s="223"/>
      <c r="M32" s="223"/>
      <c r="N32" s="223"/>
      <c r="O32" s="223"/>
    </row>
    <row r="33" spans="8:15" x14ac:dyDescent="0.25">
      <c r="H33" s="358" t="s">
        <v>1067</v>
      </c>
      <c r="I33" s="358"/>
      <c r="J33" s="358"/>
      <c r="K33" s="351"/>
      <c r="L33" s="351">
        <f>SUM(L2:L32)</f>
        <v>23300</v>
      </c>
      <c r="M33" s="351">
        <f>SUM(M2:M32)</f>
        <v>44200</v>
      </c>
      <c r="N33" s="351">
        <f>SUM(N2:N32)</f>
        <v>49700</v>
      </c>
      <c r="O33" s="351">
        <f>SUM(O2:O32)</f>
        <v>64000</v>
      </c>
    </row>
    <row r="34" spans="8:15" x14ac:dyDescent="0.25">
      <c r="H34" s="359"/>
      <c r="I34" s="359"/>
      <c r="J34" s="359"/>
      <c r="K34" s="360"/>
      <c r="L34" s="360"/>
      <c r="M34" s="360"/>
      <c r="O34" s="360"/>
    </row>
    <row r="35" spans="8:15" x14ac:dyDescent="0.25">
      <c r="H35" s="361"/>
      <c r="I35" s="361"/>
      <c r="J35" s="361"/>
      <c r="K35" s="362"/>
      <c r="L35" s="362"/>
      <c r="M35" s="362"/>
      <c r="O35" s="362"/>
    </row>
    <row r="36" spans="8:15" ht="30" x14ac:dyDescent="0.25">
      <c r="H36" s="363" t="s">
        <v>1228</v>
      </c>
      <c r="I36" s="363" t="s">
        <v>1229</v>
      </c>
      <c r="J36" s="364" t="s">
        <v>1230</v>
      </c>
      <c r="K36" s="363">
        <v>2020</v>
      </c>
      <c r="L36" s="363">
        <v>2021</v>
      </c>
      <c r="M36" s="363">
        <v>2022</v>
      </c>
      <c r="N36" s="365">
        <v>2023</v>
      </c>
      <c r="O36" s="363">
        <v>2024</v>
      </c>
    </row>
    <row r="37" spans="8:15" ht="45" x14ac:dyDescent="0.25">
      <c r="H37" s="349" t="s">
        <v>1241</v>
      </c>
      <c r="I37" s="184"/>
      <c r="J37" s="210" t="s">
        <v>1109</v>
      </c>
      <c r="K37" s="184"/>
      <c r="L37" s="357">
        <v>520</v>
      </c>
      <c r="M37" s="357">
        <v>1040</v>
      </c>
      <c r="N37" s="357">
        <v>1040</v>
      </c>
      <c r="O37" s="357">
        <v>1040</v>
      </c>
    </row>
    <row r="38" spans="8:15" x14ac:dyDescent="0.25">
      <c r="H38" s="358" t="s">
        <v>1067</v>
      </c>
      <c r="I38" s="358"/>
      <c r="J38" s="358"/>
      <c r="K38" s="351"/>
      <c r="L38" s="351">
        <f>SUM(L37:L37)</f>
        <v>520</v>
      </c>
      <c r="M38" s="351">
        <f>SUM(M37:M37)</f>
        <v>1040</v>
      </c>
      <c r="N38" s="351">
        <f>SUM(N37:N37)</f>
        <v>1040</v>
      </c>
      <c r="O38" s="351">
        <f>SUM(O37:O37)</f>
        <v>1040</v>
      </c>
    </row>
    <row r="39" spans="8:15" x14ac:dyDescent="0.25">
      <c r="K39" s="256"/>
      <c r="L39" s="256"/>
      <c r="M39" s="256"/>
      <c r="O39" s="256"/>
    </row>
    <row r="41" spans="8:15" ht="30" x14ac:dyDescent="0.25">
      <c r="H41" s="353" t="s">
        <v>1228</v>
      </c>
      <c r="I41" s="353" t="s">
        <v>1229</v>
      </c>
      <c r="J41" s="354" t="s">
        <v>1230</v>
      </c>
      <c r="K41" s="353">
        <v>2020</v>
      </c>
      <c r="L41" s="353">
        <v>2021</v>
      </c>
      <c r="M41" s="353">
        <v>2022</v>
      </c>
      <c r="N41" s="365">
        <v>2023</v>
      </c>
      <c r="O41" s="353">
        <v>2024</v>
      </c>
    </row>
    <row r="42" spans="8:15" x14ac:dyDescent="0.25">
      <c r="H42" s="184" t="s">
        <v>1242</v>
      </c>
      <c r="I42" s="184"/>
      <c r="J42" s="210" t="s">
        <v>1109</v>
      </c>
      <c r="K42" s="366">
        <v>25</v>
      </c>
      <c r="L42" s="366">
        <v>25</v>
      </c>
      <c r="M42" s="366">
        <v>25</v>
      </c>
      <c r="N42" s="367">
        <v>25</v>
      </c>
      <c r="O42" s="366">
        <v>25</v>
      </c>
    </row>
    <row r="43" spans="8:15" x14ac:dyDescent="0.25">
      <c r="H43" s="368" t="s">
        <v>1069</v>
      </c>
      <c r="I43" s="368"/>
      <c r="J43" s="368"/>
      <c r="K43" s="369">
        <v>25</v>
      </c>
      <c r="L43" s="369">
        <f>SUM(L42)</f>
        <v>25</v>
      </c>
      <c r="M43" s="369">
        <f>SUM(M42)</f>
        <v>25</v>
      </c>
      <c r="N43" s="369">
        <f>SUM(N42)</f>
        <v>25</v>
      </c>
      <c r="O43" s="369">
        <f>SUM(O42)</f>
        <v>25</v>
      </c>
    </row>
    <row r="48" spans="8:15" ht="30" x14ac:dyDescent="0.25">
      <c r="H48" s="353" t="s">
        <v>1228</v>
      </c>
      <c r="I48" s="353" t="s">
        <v>1229</v>
      </c>
      <c r="J48" s="354" t="s">
        <v>1230</v>
      </c>
      <c r="K48" s="353">
        <v>2020</v>
      </c>
      <c r="L48" s="353">
        <v>2021</v>
      </c>
      <c r="M48" s="353">
        <v>2022</v>
      </c>
      <c r="N48" s="365">
        <v>2023</v>
      </c>
      <c r="O48" s="353">
        <v>2024</v>
      </c>
    </row>
    <row r="49" spans="8:15" x14ac:dyDescent="0.25">
      <c r="H49" s="277" t="s">
        <v>1243</v>
      </c>
      <c r="I49" s="370">
        <v>3502000</v>
      </c>
      <c r="J49" s="210" t="s">
        <v>1109</v>
      </c>
      <c r="K49" s="223">
        <v>300</v>
      </c>
      <c r="L49" s="357">
        <f>900-300</f>
        <v>600</v>
      </c>
      <c r="M49" s="357">
        <v>1800</v>
      </c>
      <c r="N49" s="357">
        <v>1800</v>
      </c>
      <c r="O49" s="357">
        <v>1800</v>
      </c>
    </row>
    <row r="50" spans="8:15" x14ac:dyDescent="0.25">
      <c r="H50" s="277" t="s">
        <v>1243</v>
      </c>
      <c r="I50" s="370">
        <v>3502000</v>
      </c>
      <c r="J50" s="210" t="s">
        <v>1112</v>
      </c>
      <c r="K50" s="223">
        <v>50</v>
      </c>
      <c r="L50" s="357">
        <v>103</v>
      </c>
      <c r="M50" s="357">
        <v>205</v>
      </c>
      <c r="N50" s="357">
        <v>205</v>
      </c>
      <c r="O50" s="357">
        <v>205</v>
      </c>
    </row>
    <row r="51" spans="8:15" x14ac:dyDescent="0.25">
      <c r="H51" s="277" t="s">
        <v>1243</v>
      </c>
      <c r="I51" s="370">
        <v>3502000</v>
      </c>
      <c r="J51" s="210" t="s">
        <v>1113</v>
      </c>
      <c r="K51" s="223">
        <v>50</v>
      </c>
      <c r="L51" s="357">
        <v>55</v>
      </c>
      <c r="M51" s="357">
        <v>110</v>
      </c>
      <c r="N51" s="357">
        <v>110</v>
      </c>
      <c r="O51" s="357">
        <v>110</v>
      </c>
    </row>
    <row r="52" spans="8:15" x14ac:dyDescent="0.25">
      <c r="H52" s="368" t="s">
        <v>1070</v>
      </c>
      <c r="I52" s="368"/>
      <c r="J52" s="368"/>
      <c r="K52" s="352">
        <f>SUM(K49:K51)</f>
        <v>400</v>
      </c>
      <c r="L52" s="352">
        <f>SUM(L49:L51)</f>
        <v>758</v>
      </c>
      <c r="M52" s="352">
        <f>SUM(M49:M51)</f>
        <v>2115</v>
      </c>
      <c r="N52" s="352">
        <f>SUM(N49:N51)</f>
        <v>2115</v>
      </c>
      <c r="O52" s="352">
        <f>SUM(O49:O51)</f>
        <v>2115</v>
      </c>
    </row>
    <row r="55" spans="8:15" ht="30" x14ac:dyDescent="0.25">
      <c r="H55" s="353" t="s">
        <v>1228</v>
      </c>
      <c r="I55" s="353" t="s">
        <v>1229</v>
      </c>
      <c r="J55" s="354" t="s">
        <v>1230</v>
      </c>
      <c r="K55" s="353">
        <v>2020</v>
      </c>
      <c r="L55" s="353">
        <v>2021</v>
      </c>
      <c r="M55" s="353">
        <v>2022</v>
      </c>
      <c r="N55" s="365">
        <v>2023</v>
      </c>
      <c r="O55" s="353">
        <v>2024</v>
      </c>
    </row>
    <row r="56" spans="8:15" x14ac:dyDescent="0.25">
      <c r="H56" s="277" t="s">
        <v>1244</v>
      </c>
      <c r="I56" s="370">
        <v>3502000</v>
      </c>
      <c r="J56" s="210" t="s">
        <v>1109</v>
      </c>
      <c r="K56" s="223">
        <v>100</v>
      </c>
      <c r="L56" s="357">
        <v>200</v>
      </c>
      <c r="M56" s="357">
        <v>200</v>
      </c>
      <c r="N56" s="357">
        <v>200</v>
      </c>
      <c r="O56" s="357">
        <v>200</v>
      </c>
    </row>
    <row r="57" spans="8:15" x14ac:dyDescent="0.25">
      <c r="H57" s="277" t="s">
        <v>1244</v>
      </c>
      <c r="I57" s="370">
        <v>3502000</v>
      </c>
      <c r="J57" s="210" t="s">
        <v>1112</v>
      </c>
      <c r="K57" s="223">
        <v>50</v>
      </c>
      <c r="L57" s="357">
        <v>50</v>
      </c>
      <c r="M57" s="357">
        <v>50</v>
      </c>
      <c r="N57" s="357">
        <v>50</v>
      </c>
      <c r="O57" s="357">
        <v>50</v>
      </c>
    </row>
    <row r="58" spans="8:15" x14ac:dyDescent="0.25">
      <c r="H58" s="277" t="s">
        <v>1244</v>
      </c>
      <c r="I58" s="370">
        <v>3502000</v>
      </c>
      <c r="J58" s="210" t="s">
        <v>1113</v>
      </c>
      <c r="K58" s="223">
        <v>50</v>
      </c>
      <c r="L58" s="357">
        <v>50</v>
      </c>
      <c r="M58" s="357">
        <v>50</v>
      </c>
      <c r="N58" s="357">
        <v>50</v>
      </c>
      <c r="O58" s="357">
        <v>50</v>
      </c>
    </row>
    <row r="59" spans="8:15" x14ac:dyDescent="0.25">
      <c r="H59" s="277" t="s">
        <v>1245</v>
      </c>
      <c r="I59" s="370"/>
      <c r="J59" s="210" t="s">
        <v>1109</v>
      </c>
      <c r="K59" s="223"/>
      <c r="L59" s="357">
        <v>384</v>
      </c>
      <c r="M59" s="357">
        <v>1544</v>
      </c>
      <c r="N59" s="357">
        <v>1544</v>
      </c>
      <c r="O59" s="357">
        <v>1544</v>
      </c>
    </row>
    <row r="60" spans="8:15" x14ac:dyDescent="0.25">
      <c r="H60" s="368" t="s">
        <v>1070</v>
      </c>
      <c r="I60" s="368"/>
      <c r="J60" s="368"/>
      <c r="K60" s="352">
        <f>SUM(K56:K58)</f>
        <v>200</v>
      </c>
      <c r="L60" s="352">
        <f>SUM(L56:L59)</f>
        <v>684</v>
      </c>
      <c r="M60" s="352">
        <f>SUM(M56:M59)</f>
        <v>1844</v>
      </c>
      <c r="N60" s="352">
        <f>SUM(N56:N59)</f>
        <v>1844</v>
      </c>
      <c r="O60" s="352">
        <f>SUM(O56:O59)</f>
        <v>1844</v>
      </c>
    </row>
    <row r="63" spans="8:15" x14ac:dyDescent="0.25">
      <c r="H63" t="s">
        <v>179</v>
      </c>
    </row>
    <row r="64" spans="8:15" ht="30" x14ac:dyDescent="0.25">
      <c r="H64" s="353" t="s">
        <v>1228</v>
      </c>
      <c r="I64" s="353" t="s">
        <v>1229</v>
      </c>
      <c r="J64" s="354" t="s">
        <v>1230</v>
      </c>
      <c r="K64" s="353">
        <v>2020</v>
      </c>
      <c r="L64" s="353">
        <v>2021</v>
      </c>
      <c r="M64" s="353">
        <v>2022</v>
      </c>
      <c r="N64" s="365">
        <v>2023</v>
      </c>
      <c r="O64" s="353">
        <v>2024</v>
      </c>
    </row>
    <row r="65" spans="8:15" x14ac:dyDescent="0.25">
      <c r="H65" s="277" t="s">
        <v>1246</v>
      </c>
      <c r="I65" s="370"/>
      <c r="J65" s="210" t="s">
        <v>1109</v>
      </c>
      <c r="K65" s="223">
        <v>0</v>
      </c>
      <c r="L65" s="223">
        <v>0</v>
      </c>
      <c r="M65" s="223">
        <v>0</v>
      </c>
      <c r="N65" s="223"/>
      <c r="O65" s="223">
        <v>3600</v>
      </c>
    </row>
    <row r="66" spans="8:15" x14ac:dyDescent="0.25">
      <c r="H66" s="277" t="s">
        <v>1246</v>
      </c>
      <c r="I66" s="370"/>
      <c r="J66" s="210" t="s">
        <v>1113</v>
      </c>
      <c r="K66" s="223">
        <v>0</v>
      </c>
      <c r="L66" s="223">
        <v>0</v>
      </c>
      <c r="M66" s="223">
        <v>0</v>
      </c>
      <c r="N66" s="223"/>
      <c r="O66" s="223">
        <v>200</v>
      </c>
    </row>
    <row r="67" spans="8:15" x14ac:dyDescent="0.25">
      <c r="H67" s="368" t="s">
        <v>1247</v>
      </c>
      <c r="I67" s="368"/>
      <c r="J67" s="368"/>
      <c r="K67" s="352">
        <f>SUM(K65:K66)</f>
        <v>0</v>
      </c>
      <c r="L67" s="352">
        <f>SUM(L65:L66)</f>
        <v>0</v>
      </c>
      <c r="M67" s="352">
        <f>SUM(M65:M66)</f>
        <v>0</v>
      </c>
      <c r="N67" s="352">
        <f>SUM(N65:N66)</f>
        <v>0</v>
      </c>
      <c r="O67" s="352">
        <f>SUM(O65:O66)</f>
        <v>3800</v>
      </c>
    </row>
    <row r="71" spans="8:15" x14ac:dyDescent="0.25">
      <c r="H71" t="s">
        <v>1248</v>
      </c>
    </row>
    <row r="72" spans="8:15" ht="30" x14ac:dyDescent="0.25">
      <c r="H72" s="353" t="s">
        <v>1228</v>
      </c>
      <c r="I72" s="353" t="s">
        <v>1229</v>
      </c>
      <c r="J72" s="354" t="s">
        <v>1230</v>
      </c>
      <c r="K72" s="353">
        <v>2020</v>
      </c>
      <c r="L72" s="353">
        <v>2021</v>
      </c>
      <c r="M72" s="353">
        <v>2022</v>
      </c>
      <c r="N72" s="365">
        <v>2023</v>
      </c>
      <c r="O72" s="353">
        <v>2024</v>
      </c>
    </row>
    <row r="73" spans="8:15" ht="25.5" x14ac:dyDescent="0.25">
      <c r="H73" s="276" t="s">
        <v>1148</v>
      </c>
      <c r="I73" s="371">
        <v>2103400</v>
      </c>
      <c r="J73" s="210" t="s">
        <v>1109</v>
      </c>
      <c r="K73" s="223">
        <v>0</v>
      </c>
      <c r="L73" s="357">
        <v>800</v>
      </c>
      <c r="M73" s="357">
        <v>1600</v>
      </c>
      <c r="N73" s="357">
        <v>1600</v>
      </c>
      <c r="O73" s="357">
        <v>1600</v>
      </c>
    </row>
    <row r="74" spans="8:15" ht="25.5" x14ac:dyDescent="0.25">
      <c r="H74" s="276" t="s">
        <v>1148</v>
      </c>
      <c r="I74" s="371">
        <v>2103400</v>
      </c>
      <c r="J74" s="210" t="s">
        <v>1113</v>
      </c>
      <c r="K74" s="223">
        <v>0</v>
      </c>
      <c r="L74" s="357">
        <v>100</v>
      </c>
      <c r="M74" s="357">
        <v>200</v>
      </c>
      <c r="N74" s="357">
        <v>200</v>
      </c>
      <c r="O74" s="357">
        <v>200</v>
      </c>
    </row>
    <row r="75" spans="8:15" x14ac:dyDescent="0.25">
      <c r="H75" s="276" t="s">
        <v>1249</v>
      </c>
      <c r="I75" s="371">
        <v>2104300</v>
      </c>
      <c r="J75" s="210" t="s">
        <v>1109</v>
      </c>
      <c r="K75" s="223">
        <v>0</v>
      </c>
      <c r="L75" s="357">
        <v>0</v>
      </c>
      <c r="M75" s="357"/>
      <c r="N75" s="357">
        <v>1600</v>
      </c>
      <c r="O75" s="357">
        <v>3300</v>
      </c>
    </row>
    <row r="76" spans="8:15" x14ac:dyDescent="0.25">
      <c r="H76" s="276" t="s">
        <v>1249</v>
      </c>
      <c r="I76" s="371">
        <v>3104300</v>
      </c>
      <c r="J76" s="210" t="s">
        <v>1113</v>
      </c>
      <c r="K76" s="223">
        <v>0</v>
      </c>
      <c r="L76" s="357">
        <v>0</v>
      </c>
      <c r="M76" s="357"/>
      <c r="N76" s="357">
        <v>200</v>
      </c>
      <c r="O76" s="357">
        <v>300</v>
      </c>
    </row>
    <row r="77" spans="8:15" x14ac:dyDescent="0.25">
      <c r="H77" s="276" t="s">
        <v>1250</v>
      </c>
      <c r="I77" s="276"/>
      <c r="J77" s="210" t="s">
        <v>1109</v>
      </c>
      <c r="K77" s="223">
        <v>0</v>
      </c>
      <c r="L77" s="357">
        <v>0</v>
      </c>
      <c r="M77" s="357">
        <v>0</v>
      </c>
      <c r="N77" s="357"/>
      <c r="O77" s="357">
        <v>700</v>
      </c>
    </row>
    <row r="78" spans="8:15" x14ac:dyDescent="0.25">
      <c r="H78" s="276" t="s">
        <v>1250</v>
      </c>
      <c r="I78" s="276"/>
      <c r="J78" s="210" t="s">
        <v>1113</v>
      </c>
      <c r="K78" s="223">
        <v>0</v>
      </c>
      <c r="L78" s="357">
        <v>0</v>
      </c>
      <c r="M78" s="357">
        <v>0</v>
      </c>
      <c r="N78" s="357">
        <v>0</v>
      </c>
      <c r="O78" s="357">
        <v>236</v>
      </c>
    </row>
    <row r="79" spans="8:15" x14ac:dyDescent="0.25">
      <c r="H79" s="368" t="s">
        <v>1073</v>
      </c>
      <c r="I79" s="368"/>
      <c r="J79" s="368"/>
      <c r="K79" s="352"/>
      <c r="L79" s="352">
        <f>SUM(L73:L78)</f>
        <v>900</v>
      </c>
      <c r="M79" s="352">
        <f>SUM(M73:M78)</f>
        <v>1800</v>
      </c>
      <c r="N79" s="352">
        <f>SUM(N73:N78)</f>
        <v>3600</v>
      </c>
      <c r="O79" s="352">
        <f>SUM(O73:O78)</f>
        <v>6336</v>
      </c>
    </row>
    <row r="85" spans="8:15" ht="30" x14ac:dyDescent="0.25">
      <c r="H85" s="353" t="s">
        <v>1228</v>
      </c>
      <c r="I85" s="353" t="s">
        <v>1229</v>
      </c>
      <c r="J85" s="354" t="s">
        <v>1230</v>
      </c>
      <c r="K85" s="353">
        <v>2020</v>
      </c>
      <c r="L85" s="353">
        <v>2021</v>
      </c>
      <c r="M85" s="353">
        <v>2022</v>
      </c>
      <c r="N85" s="365">
        <v>2023</v>
      </c>
      <c r="O85" s="353">
        <v>2024</v>
      </c>
    </row>
    <row r="86" spans="8:15" x14ac:dyDescent="0.25">
      <c r="H86" s="223" t="s">
        <v>1163</v>
      </c>
      <c r="I86" s="372">
        <v>2103300</v>
      </c>
      <c r="J86" s="210" t="s">
        <v>1109</v>
      </c>
      <c r="K86" s="223">
        <v>0</v>
      </c>
      <c r="L86" s="223"/>
      <c r="M86" s="223"/>
      <c r="N86" s="223"/>
      <c r="O86" s="223">
        <v>1000</v>
      </c>
    </row>
    <row r="87" spans="8:15" x14ac:dyDescent="0.25">
      <c r="H87" s="223" t="s">
        <v>1163</v>
      </c>
      <c r="I87" s="372">
        <v>2103300</v>
      </c>
      <c r="J87" s="210" t="s">
        <v>1113</v>
      </c>
      <c r="K87" s="223">
        <v>0</v>
      </c>
      <c r="L87" s="223"/>
      <c r="M87" s="223"/>
      <c r="N87" s="223"/>
      <c r="O87" s="223">
        <v>100</v>
      </c>
    </row>
    <row r="88" spans="8:15" x14ac:dyDescent="0.25">
      <c r="H88" s="223" t="s">
        <v>1169</v>
      </c>
      <c r="I88" s="372" t="s">
        <v>1251</v>
      </c>
      <c r="J88" s="210" t="s">
        <v>1109</v>
      </c>
      <c r="K88" s="223">
        <v>200</v>
      </c>
      <c r="L88" s="357">
        <v>100</v>
      </c>
      <c r="M88" s="357">
        <v>100</v>
      </c>
      <c r="N88" s="357">
        <v>100</v>
      </c>
      <c r="O88" s="357">
        <v>100</v>
      </c>
    </row>
    <row r="89" spans="8:15" x14ac:dyDescent="0.25">
      <c r="H89" s="368" t="s">
        <v>1075</v>
      </c>
      <c r="I89" s="368"/>
      <c r="J89" s="368"/>
      <c r="K89" s="352">
        <v>200</v>
      </c>
      <c r="L89" s="352">
        <f>SUM(L86:L88)</f>
        <v>100</v>
      </c>
      <c r="M89" s="352">
        <f>SUM(M86:M88)</f>
        <v>100</v>
      </c>
      <c r="N89" s="352">
        <f>SUM(N86:N88)</f>
        <v>100</v>
      </c>
      <c r="O89" s="352">
        <f>SUM(O86:O88)</f>
        <v>1200</v>
      </c>
    </row>
    <row r="93" spans="8:15" x14ac:dyDescent="0.25">
      <c r="H93" t="s">
        <v>172</v>
      </c>
    </row>
    <row r="94" spans="8:15" ht="30" x14ac:dyDescent="0.25">
      <c r="H94" s="353" t="s">
        <v>1228</v>
      </c>
      <c r="I94" s="353" t="s">
        <v>1229</v>
      </c>
      <c r="J94" s="354" t="s">
        <v>1230</v>
      </c>
      <c r="K94" s="353">
        <v>2020</v>
      </c>
      <c r="L94" s="353">
        <v>2021</v>
      </c>
      <c r="M94" s="353">
        <v>2022</v>
      </c>
      <c r="N94" s="365">
        <v>2023</v>
      </c>
      <c r="O94" s="353">
        <v>2024</v>
      </c>
    </row>
    <row r="95" spans="8:15" x14ac:dyDescent="0.25">
      <c r="H95" s="223" t="s">
        <v>1173</v>
      </c>
      <c r="I95" s="372">
        <v>25004</v>
      </c>
      <c r="J95" s="210" t="s">
        <v>1109</v>
      </c>
      <c r="K95" s="184"/>
      <c r="L95" s="223">
        <v>500</v>
      </c>
      <c r="M95" s="223">
        <v>500</v>
      </c>
      <c r="N95" s="223">
        <v>500</v>
      </c>
      <c r="O95" s="223">
        <v>500</v>
      </c>
    </row>
    <row r="96" spans="8:15" x14ac:dyDescent="0.25">
      <c r="H96" s="223" t="s">
        <v>1174</v>
      </c>
      <c r="I96" s="372">
        <v>24004</v>
      </c>
      <c r="J96" s="210" t="s">
        <v>1109</v>
      </c>
      <c r="K96" s="184"/>
      <c r="L96" s="223">
        <v>100</v>
      </c>
      <c r="M96" s="223">
        <v>300</v>
      </c>
      <c r="N96" s="223">
        <v>300</v>
      </c>
      <c r="O96" s="223">
        <v>300</v>
      </c>
    </row>
    <row r="97" spans="8:15" x14ac:dyDescent="0.25">
      <c r="H97" s="223" t="s">
        <v>1175</v>
      </c>
      <c r="I97" s="372">
        <v>24004</v>
      </c>
      <c r="J97" s="210" t="s">
        <v>1109</v>
      </c>
      <c r="K97" s="184"/>
      <c r="L97" s="223">
        <v>100</v>
      </c>
      <c r="M97" s="223">
        <v>300</v>
      </c>
      <c r="N97" s="223">
        <v>300</v>
      </c>
      <c r="O97" s="223">
        <v>300</v>
      </c>
    </row>
    <row r="98" spans="8:15" x14ac:dyDescent="0.25">
      <c r="H98" s="223" t="s">
        <v>1176</v>
      </c>
      <c r="I98" s="372">
        <v>25004</v>
      </c>
      <c r="J98" s="210" t="s">
        <v>1109</v>
      </c>
      <c r="K98" s="184"/>
      <c r="L98" s="223">
        <v>0</v>
      </c>
      <c r="M98" s="223">
        <v>100</v>
      </c>
      <c r="N98" s="223">
        <v>300</v>
      </c>
      <c r="O98" s="223">
        <v>300</v>
      </c>
    </row>
    <row r="99" spans="8:15" x14ac:dyDescent="0.25">
      <c r="H99" s="223" t="s">
        <v>1185</v>
      </c>
      <c r="I99" s="372">
        <v>25004</v>
      </c>
      <c r="J99" s="210" t="s">
        <v>1109</v>
      </c>
      <c r="K99" s="184"/>
      <c r="L99" s="223">
        <v>0</v>
      </c>
      <c r="M99" s="223">
        <v>0</v>
      </c>
      <c r="N99" s="223">
        <v>100</v>
      </c>
      <c r="O99" s="223">
        <v>300</v>
      </c>
    </row>
    <row r="100" spans="8:15" x14ac:dyDescent="0.25">
      <c r="H100" s="223" t="s">
        <v>1178</v>
      </c>
      <c r="I100" s="372">
        <v>2103101</v>
      </c>
      <c r="J100" s="210" t="s">
        <v>1109</v>
      </c>
      <c r="K100" s="184"/>
      <c r="L100" s="223">
        <v>0</v>
      </c>
      <c r="M100" s="223">
        <v>300</v>
      </c>
      <c r="N100" s="223">
        <v>500</v>
      </c>
      <c r="O100" s="223">
        <v>500</v>
      </c>
    </row>
    <row r="101" spans="8:15" x14ac:dyDescent="0.25">
      <c r="H101" s="223" t="s">
        <v>1179</v>
      </c>
      <c r="I101" s="372">
        <v>2103102</v>
      </c>
      <c r="J101" s="210" t="s">
        <v>1109</v>
      </c>
      <c r="K101" s="184"/>
      <c r="L101" s="223">
        <v>0</v>
      </c>
      <c r="M101" s="223">
        <v>300</v>
      </c>
      <c r="N101" s="223">
        <v>600</v>
      </c>
      <c r="O101" s="223">
        <v>600</v>
      </c>
    </row>
    <row r="102" spans="8:15" x14ac:dyDescent="0.25">
      <c r="H102" s="223" t="s">
        <v>1180</v>
      </c>
      <c r="I102" s="372">
        <v>2103107</v>
      </c>
      <c r="J102" s="210" t="s">
        <v>1113</v>
      </c>
      <c r="K102" s="184"/>
      <c r="L102" s="223">
        <v>500</v>
      </c>
      <c r="M102" s="223">
        <v>500</v>
      </c>
      <c r="N102" s="223">
        <v>500</v>
      </c>
      <c r="O102" s="223">
        <v>500</v>
      </c>
    </row>
    <row r="103" spans="8:15" x14ac:dyDescent="0.25">
      <c r="H103" s="223" t="s">
        <v>1252</v>
      </c>
      <c r="I103" s="372">
        <v>21015</v>
      </c>
      <c r="J103" s="210" t="s">
        <v>1109</v>
      </c>
      <c r="K103" s="184"/>
      <c r="L103" s="223">
        <v>1500</v>
      </c>
      <c r="M103" s="223">
        <v>3000</v>
      </c>
      <c r="N103" s="223">
        <v>3000</v>
      </c>
      <c r="O103" s="223">
        <v>3000</v>
      </c>
    </row>
    <row r="104" spans="8:15" x14ac:dyDescent="0.25">
      <c r="H104" s="223" t="s">
        <v>1253</v>
      </c>
      <c r="I104" s="372">
        <v>21015</v>
      </c>
      <c r="J104" s="210" t="s">
        <v>1109</v>
      </c>
      <c r="K104" s="184"/>
      <c r="L104" s="223">
        <v>1500</v>
      </c>
      <c r="M104" s="223">
        <v>3000</v>
      </c>
      <c r="N104" s="223">
        <v>3000</v>
      </c>
      <c r="O104" s="223">
        <v>3000</v>
      </c>
    </row>
    <row r="105" spans="8:15" x14ac:dyDescent="0.25">
      <c r="H105" s="223" t="s">
        <v>1254</v>
      </c>
      <c r="I105" s="372">
        <v>21015</v>
      </c>
      <c r="J105" s="210" t="s">
        <v>1109</v>
      </c>
      <c r="K105" s="184"/>
      <c r="L105" s="223">
        <v>0</v>
      </c>
      <c r="M105" s="223">
        <v>1500</v>
      </c>
      <c r="N105" s="223">
        <v>3000</v>
      </c>
      <c r="O105" s="223">
        <v>3000</v>
      </c>
    </row>
    <row r="106" spans="8:15" x14ac:dyDescent="0.25">
      <c r="H106" s="223" t="s">
        <v>1186</v>
      </c>
      <c r="I106" s="372">
        <v>21015</v>
      </c>
      <c r="J106" s="210" t="s">
        <v>1109</v>
      </c>
      <c r="K106" s="184"/>
      <c r="L106" s="223">
        <v>0</v>
      </c>
      <c r="M106" s="223">
        <v>0</v>
      </c>
      <c r="N106" s="223">
        <v>1500</v>
      </c>
      <c r="O106" s="223">
        <v>3000</v>
      </c>
    </row>
    <row r="107" spans="8:15" x14ac:dyDescent="0.25">
      <c r="H107" s="368" t="s">
        <v>1077</v>
      </c>
      <c r="I107" s="368"/>
      <c r="J107" s="368"/>
      <c r="K107" s="352">
        <v>4600</v>
      </c>
      <c r="L107" s="352">
        <f>SUM(L95:L106)</f>
        <v>4200</v>
      </c>
      <c r="M107" s="352">
        <f>SUM(M95:M106)</f>
        <v>9800</v>
      </c>
      <c r="N107" s="352">
        <f>SUM(N95:N106)</f>
        <v>13600</v>
      </c>
      <c r="O107" s="352">
        <f>SUM(O95:O106)</f>
        <v>15300</v>
      </c>
    </row>
    <row r="109" spans="8:15" x14ac:dyDescent="0.25">
      <c r="H109" s="373" t="s">
        <v>172</v>
      </c>
      <c r="I109" s="373"/>
    </row>
    <row r="110" spans="8:15" ht="30" x14ac:dyDescent="0.25">
      <c r="H110" s="353" t="s">
        <v>1228</v>
      </c>
      <c r="I110" s="353" t="s">
        <v>1229</v>
      </c>
      <c r="J110" s="354" t="s">
        <v>1230</v>
      </c>
      <c r="K110" s="353">
        <v>2020</v>
      </c>
      <c r="L110" s="353">
        <v>2021</v>
      </c>
      <c r="M110" s="353">
        <v>2022</v>
      </c>
      <c r="N110" s="365">
        <v>2023</v>
      </c>
      <c r="O110" s="353">
        <v>2024</v>
      </c>
    </row>
    <row r="111" spans="8:15" x14ac:dyDescent="0.25">
      <c r="H111" s="277" t="s">
        <v>1255</v>
      </c>
      <c r="I111" s="370">
        <v>25004</v>
      </c>
      <c r="J111" s="210" t="s">
        <v>1109</v>
      </c>
      <c r="K111" s="223">
        <v>0</v>
      </c>
      <c r="L111" s="223">
        <v>0</v>
      </c>
      <c r="M111" s="223">
        <v>0</v>
      </c>
      <c r="N111" s="223">
        <v>0</v>
      </c>
      <c r="O111" s="223">
        <v>100</v>
      </c>
    </row>
    <row r="112" spans="8:15" x14ac:dyDescent="0.25">
      <c r="H112" s="277" t="s">
        <v>1256</v>
      </c>
      <c r="I112" s="370">
        <v>21015</v>
      </c>
      <c r="J112" s="210" t="s">
        <v>1109</v>
      </c>
      <c r="K112" s="223">
        <v>0</v>
      </c>
      <c r="L112" s="223">
        <v>0</v>
      </c>
      <c r="M112" s="223">
        <v>0</v>
      </c>
      <c r="N112" s="223">
        <v>0</v>
      </c>
      <c r="O112" s="223">
        <v>1500</v>
      </c>
    </row>
    <row r="113" spans="8:15" x14ac:dyDescent="0.25">
      <c r="H113" s="368" t="s">
        <v>1077</v>
      </c>
      <c r="I113" s="368"/>
      <c r="J113" s="368"/>
      <c r="K113" s="352">
        <v>0</v>
      </c>
      <c r="L113" s="352">
        <v>0</v>
      </c>
      <c r="M113" s="352">
        <v>0</v>
      </c>
      <c r="N113" s="352">
        <v>0</v>
      </c>
      <c r="O113" s="352">
        <f>SUM(O111:O112)</f>
        <v>1600</v>
      </c>
    </row>
    <row r="115" spans="8:15" x14ac:dyDescent="0.25">
      <c r="H115" t="s">
        <v>183</v>
      </c>
    </row>
    <row r="116" spans="8:15" ht="30" x14ac:dyDescent="0.25">
      <c r="H116" s="353" t="s">
        <v>1228</v>
      </c>
      <c r="I116" s="353" t="s">
        <v>1229</v>
      </c>
      <c r="J116" s="354" t="s">
        <v>1230</v>
      </c>
      <c r="K116" s="353">
        <v>2020</v>
      </c>
      <c r="L116" s="353">
        <v>2021</v>
      </c>
      <c r="M116" s="353">
        <v>2022</v>
      </c>
      <c r="N116" s="365">
        <v>2023</v>
      </c>
      <c r="O116" s="353">
        <v>2024</v>
      </c>
    </row>
    <row r="117" spans="8:15" x14ac:dyDescent="0.25">
      <c r="H117" s="277" t="s">
        <v>1192</v>
      </c>
      <c r="I117" s="370">
        <v>1501300</v>
      </c>
      <c r="J117" s="210" t="s">
        <v>1109</v>
      </c>
      <c r="K117" s="223">
        <v>300</v>
      </c>
      <c r="L117" s="357">
        <v>200</v>
      </c>
      <c r="M117" s="357">
        <v>600</v>
      </c>
      <c r="N117" s="357">
        <v>600</v>
      </c>
      <c r="O117" s="357">
        <v>600</v>
      </c>
    </row>
    <row r="118" spans="8:15" x14ac:dyDescent="0.25">
      <c r="H118" s="277" t="s">
        <v>1192</v>
      </c>
      <c r="I118" s="370">
        <v>1501300</v>
      </c>
      <c r="J118" s="210" t="s">
        <v>1112</v>
      </c>
      <c r="K118" s="223">
        <v>0</v>
      </c>
      <c r="L118" s="357">
        <v>39</v>
      </c>
      <c r="M118" s="357">
        <v>78</v>
      </c>
      <c r="N118" s="357">
        <v>78</v>
      </c>
      <c r="O118" s="357">
        <v>78</v>
      </c>
    </row>
    <row r="119" spans="8:15" x14ac:dyDescent="0.25">
      <c r="H119" s="277" t="s">
        <v>1192</v>
      </c>
      <c r="I119" s="370">
        <v>1501300</v>
      </c>
      <c r="J119" s="210" t="s">
        <v>1113</v>
      </c>
      <c r="K119" s="223">
        <v>0</v>
      </c>
      <c r="L119" s="357">
        <v>21</v>
      </c>
      <c r="M119" s="357">
        <v>42</v>
      </c>
      <c r="N119" s="357">
        <v>42</v>
      </c>
      <c r="O119" s="357">
        <v>42</v>
      </c>
    </row>
    <row r="120" spans="8:15" x14ac:dyDescent="0.25">
      <c r="H120" s="276" t="s">
        <v>1257</v>
      </c>
      <c r="I120" s="276"/>
      <c r="J120" s="210" t="s">
        <v>1109</v>
      </c>
      <c r="K120" s="223"/>
      <c r="L120" s="223">
        <v>100</v>
      </c>
      <c r="M120" s="223">
        <v>100</v>
      </c>
      <c r="N120" s="223">
        <v>100</v>
      </c>
      <c r="O120" s="223">
        <v>100</v>
      </c>
    </row>
    <row r="121" spans="8:15" x14ac:dyDescent="0.25">
      <c r="H121" s="374" t="s">
        <v>1258</v>
      </c>
      <c r="J121" s="210" t="s">
        <v>1109</v>
      </c>
      <c r="N121" s="375">
        <v>1500</v>
      </c>
      <c r="O121" s="375">
        <v>3000</v>
      </c>
    </row>
    <row r="122" spans="8:15" x14ac:dyDescent="0.25">
      <c r="H122" s="368" t="s">
        <v>1079</v>
      </c>
      <c r="I122" s="368"/>
      <c r="J122" s="368"/>
      <c r="K122" s="352">
        <f>SUM(K117:K120)</f>
        <v>300</v>
      </c>
      <c r="L122" s="352">
        <f>SUM(L117:L121)</f>
        <v>360</v>
      </c>
      <c r="M122" s="352">
        <f>SUM(M117:M121)</f>
        <v>820</v>
      </c>
      <c r="N122" s="352">
        <f>SUM(N117:N121)</f>
        <v>2320</v>
      </c>
      <c r="O122" s="352">
        <f>SUM(O117:O121)</f>
        <v>3820</v>
      </c>
    </row>
    <row r="123" spans="8:15" x14ac:dyDescent="0.25">
      <c r="H123" s="376"/>
      <c r="I123" s="376"/>
      <c r="J123" s="376"/>
      <c r="K123" s="377"/>
      <c r="L123" s="377"/>
      <c r="M123" s="377"/>
      <c r="O123" s="377"/>
    </row>
    <row r="125" spans="8:15" ht="30" x14ac:dyDescent="0.25">
      <c r="H125" s="353" t="s">
        <v>1228</v>
      </c>
      <c r="I125" s="353" t="s">
        <v>1229</v>
      </c>
      <c r="J125" s="354" t="s">
        <v>1230</v>
      </c>
      <c r="K125" s="353">
        <v>2020</v>
      </c>
      <c r="L125" s="353">
        <v>2021</v>
      </c>
      <c r="M125" s="353">
        <v>2022</v>
      </c>
      <c r="N125" s="365">
        <v>2023</v>
      </c>
      <c r="O125" s="353">
        <v>2024</v>
      </c>
    </row>
    <row r="126" spans="8:15" x14ac:dyDescent="0.25">
      <c r="H126" s="277" t="s">
        <v>1259</v>
      </c>
      <c r="I126" s="370">
        <v>60008</v>
      </c>
      <c r="J126" s="210" t="s">
        <v>1109</v>
      </c>
      <c r="K126" s="223">
        <v>4800</v>
      </c>
      <c r="L126" s="357">
        <v>6600</v>
      </c>
      <c r="M126" s="357">
        <v>6600</v>
      </c>
      <c r="N126" s="357">
        <v>6600</v>
      </c>
      <c r="O126" s="357">
        <v>6600</v>
      </c>
    </row>
    <row r="127" spans="8:15" x14ac:dyDescent="0.25">
      <c r="H127" s="277" t="s">
        <v>1259</v>
      </c>
      <c r="I127" s="370">
        <v>60008</v>
      </c>
      <c r="J127" s="210" t="s">
        <v>1112</v>
      </c>
      <c r="K127" s="223">
        <v>650</v>
      </c>
      <c r="L127" s="357">
        <v>400</v>
      </c>
      <c r="M127" s="357">
        <v>400</v>
      </c>
      <c r="N127" s="357">
        <v>400</v>
      </c>
      <c r="O127" s="357">
        <v>400</v>
      </c>
    </row>
    <row r="128" spans="8:15" x14ac:dyDescent="0.25">
      <c r="H128" s="277" t="s">
        <v>1260</v>
      </c>
      <c r="I128" s="370">
        <v>60008</v>
      </c>
      <c r="J128" s="210" t="s">
        <v>1113</v>
      </c>
      <c r="K128" s="223">
        <v>850</v>
      </c>
      <c r="L128" s="357">
        <v>500</v>
      </c>
      <c r="M128" s="357">
        <v>500</v>
      </c>
      <c r="N128" s="357">
        <v>500</v>
      </c>
      <c r="O128" s="357">
        <v>500</v>
      </c>
    </row>
    <row r="129" spans="8:23" x14ac:dyDescent="0.25">
      <c r="H129" s="277" t="s">
        <v>1200</v>
      </c>
      <c r="I129" s="370">
        <v>6001000</v>
      </c>
      <c r="J129" s="210" t="s">
        <v>1109</v>
      </c>
      <c r="K129" s="223">
        <v>0</v>
      </c>
      <c r="L129" s="223">
        <v>2000</v>
      </c>
      <c r="M129" s="223">
        <v>4000</v>
      </c>
      <c r="N129" s="223">
        <v>4000</v>
      </c>
      <c r="O129" s="223">
        <v>4000</v>
      </c>
    </row>
    <row r="130" spans="8:23" x14ac:dyDescent="0.25">
      <c r="H130" s="368" t="s">
        <v>1081</v>
      </c>
      <c r="I130" s="368"/>
      <c r="J130" s="368"/>
      <c r="K130" s="352">
        <f>SUM(K126:K129)</f>
        <v>6300</v>
      </c>
      <c r="L130" s="352">
        <f>SUM(L126:L129)</f>
        <v>9500</v>
      </c>
      <c r="M130" s="352">
        <f>SUM(M126:M129)</f>
        <v>11500</v>
      </c>
      <c r="N130" s="352">
        <f>SUM(N126:N129)</f>
        <v>11500</v>
      </c>
      <c r="O130" s="352">
        <f>SUM(O126:O129)</f>
        <v>11500</v>
      </c>
    </row>
    <row r="131" spans="8:23" x14ac:dyDescent="0.25">
      <c r="W131">
        <f>16025+20000+904+5029-5029</f>
        <v>36929</v>
      </c>
    </row>
    <row r="134" spans="8:23" x14ac:dyDescent="0.25">
      <c r="H134" s="378"/>
      <c r="I134" s="378"/>
      <c r="J134" s="378"/>
      <c r="K134" s="379">
        <v>2020</v>
      </c>
      <c r="L134" s="379">
        <v>2021</v>
      </c>
      <c r="M134" s="379">
        <v>2022</v>
      </c>
      <c r="N134" s="379">
        <v>2023</v>
      </c>
      <c r="O134" s="379">
        <v>2024</v>
      </c>
    </row>
    <row r="135" spans="8:23" x14ac:dyDescent="0.25">
      <c r="H135" s="184" t="s">
        <v>1261</v>
      </c>
      <c r="I135" s="184"/>
      <c r="J135" s="210"/>
      <c r="L135" s="184">
        <f>SUMIFS(L:L,$J:$J,"INTERNHUSLEIE")</f>
        <v>36429</v>
      </c>
      <c r="M135" s="184">
        <f>SUMIFS(M:M,$J:$J,"INTERNHUSLEIE")</f>
        <v>67109</v>
      </c>
      <c r="N135" s="184">
        <f>SUMIFS(N:N,$J:$J,"INTERNHUSLEIE")</f>
        <v>79509</v>
      </c>
      <c r="O135" s="184">
        <f>SUMIFS(O:O,$J:$J,"INTERNHUSLEIE")</f>
        <v>105709</v>
      </c>
    </row>
    <row r="136" spans="8:23" x14ac:dyDescent="0.25">
      <c r="H136" s="184" t="s">
        <v>1262</v>
      </c>
      <c r="I136" s="184"/>
      <c r="J136" s="210"/>
      <c r="L136" s="184">
        <f>SUMIFS(L:L,$J:$J,"RENHOLD")</f>
        <v>2192</v>
      </c>
      <c r="M136" s="184">
        <f>SUMIFS(M:M,$J:$J,"RENHOLD")</f>
        <v>3733</v>
      </c>
      <c r="N136" s="184">
        <f>SUMIFS(N:N,$J:$J,"RENHOLD")</f>
        <v>3733</v>
      </c>
      <c r="O136" s="184">
        <f>SUMIFS(O:O,$J:$J,"RENHOLD")</f>
        <v>3783</v>
      </c>
    </row>
    <row r="137" spans="8:23" x14ac:dyDescent="0.25">
      <c r="H137" s="184" t="s">
        <v>1263</v>
      </c>
      <c r="I137" s="184"/>
      <c r="J137" s="210"/>
      <c r="L137" s="184">
        <f>SUMIFS(L:L,$J:$J,"ENERGI")</f>
        <v>1726</v>
      </c>
      <c r="M137" s="184">
        <f>SUMIFS(M:M,$J:$J,"ENERGI")</f>
        <v>2402</v>
      </c>
      <c r="N137" s="184">
        <f>SUMIFS(N:N,$J:$J,"ENERGI")</f>
        <v>2602</v>
      </c>
      <c r="O137" s="184">
        <f>SUMIFS(O:O,$J:$J,"ENERGI")</f>
        <v>3088</v>
      </c>
    </row>
    <row r="138" spans="8:23" x14ac:dyDescent="0.25">
      <c r="H138" s="185" t="s">
        <v>1264</v>
      </c>
      <c r="I138" s="185"/>
      <c r="J138" s="185"/>
      <c r="L138" s="185">
        <f>SUM(L135:L137)</f>
        <v>40347</v>
      </c>
      <c r="M138" s="185">
        <f>SUM(M135:M137)</f>
        <v>73244</v>
      </c>
      <c r="N138" s="185">
        <f>SUM(N135:N137)</f>
        <v>85844</v>
      </c>
      <c r="O138" s="185">
        <f>SUM(O135:O137)</f>
        <v>112580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A1BD7-C405-4B0B-A24E-4E7934B2410E}">
  <sheetPr>
    <tabColor rgb="FF00B050"/>
  </sheetPr>
  <dimension ref="A1:V257"/>
  <sheetViews>
    <sheetView topLeftCell="A91" zoomScaleNormal="100" workbookViewId="0">
      <selection activeCell="A91" sqref="A1:XFD1048576"/>
    </sheetView>
  </sheetViews>
  <sheetFormatPr baseColWidth="10" defaultColWidth="11.42578125" defaultRowHeight="15" x14ac:dyDescent="0.25"/>
  <cols>
    <col min="1" max="1" width="14" customWidth="1"/>
    <col min="2" max="2" width="5.5703125" style="563" bestFit="1" customWidth="1"/>
    <col min="3" max="3" width="46.42578125" customWidth="1"/>
    <col min="4" max="5" width="12.140625" bestFit="1" customWidth="1"/>
    <col min="7" max="9" width="12.140625" bestFit="1" customWidth="1"/>
    <col min="10" max="10" width="55.42578125" customWidth="1"/>
    <col min="11" max="11" width="18.140625" customWidth="1"/>
  </cols>
  <sheetData>
    <row r="1" spans="1:13" s="28" customFormat="1" ht="23.25" x14ac:dyDescent="0.25">
      <c r="A1" s="294" t="s">
        <v>0</v>
      </c>
      <c r="B1" s="553"/>
      <c r="C1" s="296"/>
      <c r="D1" s="525"/>
      <c r="E1" s="93"/>
      <c r="F1" s="294"/>
      <c r="G1" s="294"/>
      <c r="H1" s="294"/>
      <c r="I1" s="294"/>
      <c r="M1" s="38"/>
    </row>
    <row r="2" spans="1:13" s="28" customFormat="1" x14ac:dyDescent="0.25">
      <c r="A2" s="38"/>
      <c r="B2" s="553"/>
      <c r="C2" s="295"/>
      <c r="D2" s="93"/>
      <c r="E2" s="93"/>
      <c r="F2" s="38"/>
      <c r="G2" s="38"/>
      <c r="H2" s="38"/>
      <c r="I2" s="38"/>
      <c r="M2" s="38"/>
    </row>
    <row r="3" spans="1:13" s="38" customFormat="1" x14ac:dyDescent="0.25">
      <c r="A3" s="297"/>
      <c r="B3" s="554"/>
      <c r="C3" s="298"/>
      <c r="D3" s="299"/>
      <c r="E3" s="299"/>
      <c r="F3" s="300">
        <v>2020</v>
      </c>
      <c r="G3" s="300">
        <v>46210</v>
      </c>
      <c r="H3" s="300">
        <v>2022</v>
      </c>
      <c r="I3" s="300"/>
    </row>
    <row r="4" spans="1:13" s="38" customFormat="1" x14ac:dyDescent="0.25">
      <c r="A4" s="301" t="s">
        <v>1</v>
      </c>
      <c r="B4" s="555"/>
      <c r="C4" s="303"/>
      <c r="D4" s="304"/>
      <c r="E4" s="304"/>
      <c r="F4" s="305">
        <v>4902782</v>
      </c>
      <c r="G4" s="305">
        <f>F4</f>
        <v>4902782</v>
      </c>
      <c r="H4" s="305">
        <f>G4</f>
        <v>4902782</v>
      </c>
      <c r="I4" s="305">
        <f>H4</f>
        <v>4902782</v>
      </c>
    </row>
    <row r="5" spans="1:13" s="38" customFormat="1" x14ac:dyDescent="0.25">
      <c r="A5" s="38" t="str">
        <f>C64</f>
        <v>SUM SENTRALE INNTEKTER OG FINANSPOSTER</v>
      </c>
      <c r="B5" s="553"/>
      <c r="C5" s="123"/>
      <c r="D5" s="93"/>
      <c r="E5" s="93"/>
      <c r="F5" s="2">
        <f>F64</f>
        <v>-5409737</v>
      </c>
      <c r="G5" s="2">
        <f>G64</f>
        <v>-5366278</v>
      </c>
      <c r="H5" s="2">
        <f>H64</f>
        <v>-5337274</v>
      </c>
      <c r="I5" s="2">
        <f>I64</f>
        <v>-5339792</v>
      </c>
      <c r="J5" s="95"/>
    </row>
    <row r="6" spans="1:13" s="38" customFormat="1" x14ac:dyDescent="0.25">
      <c r="A6" s="307" t="s">
        <v>2</v>
      </c>
      <c r="B6" s="556"/>
      <c r="C6" s="309"/>
      <c r="D6" s="310"/>
      <c r="E6" s="310"/>
      <c r="F6" s="311">
        <f>SUM(F4:F5)</f>
        <v>-506955</v>
      </c>
      <c r="G6" s="311">
        <f>SUM(G4:G5)</f>
        <v>-463496</v>
      </c>
      <c r="H6" s="311">
        <f>SUM(H4:H5)</f>
        <v>-434492</v>
      </c>
      <c r="I6" s="311">
        <f>SUM(I4:I5)</f>
        <v>-437010</v>
      </c>
    </row>
    <row r="7" spans="1:13" s="38" customFormat="1" x14ac:dyDescent="0.25">
      <c r="A7" s="312"/>
      <c r="B7" s="555"/>
      <c r="C7" s="302"/>
      <c r="D7" s="304"/>
      <c r="E7" s="304"/>
      <c r="F7" s="313"/>
      <c r="G7" s="313"/>
      <c r="H7" s="313"/>
      <c r="I7" s="313"/>
    </row>
    <row r="8" spans="1:13" s="38" customFormat="1" x14ac:dyDescent="0.25">
      <c r="A8" s="314" t="s">
        <v>3</v>
      </c>
      <c r="B8" s="341"/>
      <c r="C8" s="207"/>
      <c r="D8" s="315"/>
      <c r="E8" s="315"/>
      <c r="F8" s="39">
        <f>SUMIF($D:$D,"ØP 22-25",F:F)</f>
        <v>9430</v>
      </c>
      <c r="G8" s="39">
        <f>SUMIF($D:$D,"ØP 22-25",G:G)</f>
        <v>1173</v>
      </c>
      <c r="H8" s="39">
        <f>SUMIF($D:$D,"ØP 22-25",H:H)</f>
        <v>19303</v>
      </c>
      <c r="I8" s="39">
        <f>SUMIF($D:$D,"ØP 22-25",I:I)</f>
        <v>18123</v>
      </c>
    </row>
    <row r="9" spans="1:13" s="38" customFormat="1" x14ac:dyDescent="0.25">
      <c r="A9" s="316" t="s">
        <v>4</v>
      </c>
      <c r="B9" s="557"/>
      <c r="C9" s="317"/>
      <c r="D9" s="318"/>
      <c r="E9" s="318"/>
      <c r="F9" s="267">
        <f>SUMIF($D:$D,"ØP 22-25 REKALK",F:F)</f>
        <v>194523</v>
      </c>
      <c r="G9" s="267">
        <f>SUMIF($D:$D,"ØP 22-25 REKALK",G:G)</f>
        <v>186926</v>
      </c>
      <c r="H9" s="267">
        <f>SUMIF($D:$D,"ØP 22-25 REKALK",H:H)</f>
        <v>178205</v>
      </c>
      <c r="I9" s="267">
        <f>SUMIF($D:$D,"ØP 22-25 REKALK",I:I)</f>
        <v>179230</v>
      </c>
    </row>
    <row r="10" spans="1:13" s="38" customFormat="1" x14ac:dyDescent="0.25">
      <c r="A10" s="319" t="s">
        <v>5</v>
      </c>
      <c r="B10" s="558"/>
      <c r="C10" s="320"/>
      <c r="D10" s="321"/>
      <c r="E10" s="321"/>
      <c r="F10" s="322">
        <f>F6+F8+F9</f>
        <v>-303002</v>
      </c>
      <c r="G10" s="322">
        <f>G6+G8+G9</f>
        <v>-275397</v>
      </c>
      <c r="H10" s="322">
        <f>H6+H8+H9</f>
        <v>-236984</v>
      </c>
      <c r="I10" s="322">
        <f>I6+I8+I9</f>
        <v>-239657</v>
      </c>
    </row>
    <row r="11" spans="1:13" s="28" customFormat="1" x14ac:dyDescent="0.25">
      <c r="A11" s="38"/>
      <c r="B11" s="553"/>
      <c r="C11" s="295"/>
      <c r="D11" s="93"/>
      <c r="E11" s="93"/>
      <c r="F11" s="2"/>
      <c r="G11" s="2"/>
      <c r="H11" s="2"/>
      <c r="I11" s="2"/>
      <c r="M11" s="38"/>
    </row>
    <row r="12" spans="1:13" s="28" customFormat="1" x14ac:dyDescent="0.25">
      <c r="A12" s="312" t="s">
        <v>6</v>
      </c>
      <c r="B12" s="553"/>
      <c r="C12" s="295"/>
      <c r="D12" s="93"/>
      <c r="E12" s="93"/>
      <c r="F12" s="2">
        <f>SUMIFS(F:F,$D:$D,"NYTT",$E:$E,"INNSP")</f>
        <v>0</v>
      </c>
      <c r="G12" s="2">
        <f>SUMIFS(G:G,$D:$D,"NYTT",$E:$E,"INNSP")</f>
        <v>0</v>
      </c>
      <c r="H12" s="2">
        <f>SUMIFS(H:H,$D:$D,"NYTT",$E:$E,"INNSP")</f>
        <v>0</v>
      </c>
      <c r="I12" s="2">
        <f>SUMIFS(I:I,$D:$D,"NYTT",$E:$E,"INNSP")</f>
        <v>0</v>
      </c>
      <c r="M12" s="38"/>
    </row>
    <row r="13" spans="1:13" s="38" customFormat="1" x14ac:dyDescent="0.25">
      <c r="A13" s="316" t="s">
        <v>7</v>
      </c>
      <c r="B13" s="557"/>
      <c r="C13" s="317"/>
      <c r="D13" s="318"/>
      <c r="E13" s="318"/>
      <c r="F13" s="267">
        <f>SUMIFS(F:F,$D:$D,"NYTT",$E:$E,"MÅ")</f>
        <v>303002</v>
      </c>
      <c r="G13" s="267">
        <f>SUMIFS(G:G,$D:$D,"NYTT",$E:$E,"MÅ")</f>
        <v>275397</v>
      </c>
      <c r="H13" s="267">
        <f>SUMIFS(H:H,$D:$D,"NYTT",$E:$E,"MÅ")</f>
        <v>236984</v>
      </c>
      <c r="I13" s="267">
        <f>SUMIFS(I:I,$D:$D,"NYTT",$E:$E,"MÅ")</f>
        <v>239657</v>
      </c>
    </row>
    <row r="14" spans="1:13" s="38" customFormat="1" x14ac:dyDescent="0.25">
      <c r="A14" s="307" t="s">
        <v>8</v>
      </c>
      <c r="B14" s="559"/>
      <c r="C14" s="309"/>
      <c r="D14" s="323"/>
      <c r="E14" s="323"/>
      <c r="F14" s="324">
        <f>F6+F8+F9+F12+F13</f>
        <v>0</v>
      </c>
      <c r="G14" s="324">
        <f>G6+G8+G9+G12+G13</f>
        <v>0</v>
      </c>
      <c r="H14" s="324">
        <f>H6+H8+H9+H12+H13</f>
        <v>0</v>
      </c>
      <c r="I14" s="324">
        <f>I6+I8+I9+I12+I13</f>
        <v>0</v>
      </c>
    </row>
    <row r="15" spans="1:13" s="38" customFormat="1" x14ac:dyDescent="0.25">
      <c r="A15" s="312"/>
      <c r="B15" s="555"/>
      <c r="C15" s="302"/>
      <c r="D15" s="304"/>
      <c r="E15" s="304"/>
      <c r="F15" s="491"/>
      <c r="G15" s="313"/>
      <c r="H15" s="313"/>
      <c r="I15" s="313"/>
    </row>
    <row r="16" spans="1:13" s="38" customFormat="1" x14ac:dyDescent="0.25">
      <c r="A16" s="312" t="s">
        <v>9</v>
      </c>
      <c r="B16" s="555"/>
      <c r="C16" s="302"/>
      <c r="D16" s="304"/>
      <c r="E16" s="304"/>
      <c r="F16" s="267">
        <f>SUMIFS(F:F,$D:$D,"Endring",$E:$E,"endring")</f>
        <v>0</v>
      </c>
      <c r="G16" s="267">
        <f>SUMIFS(G:G,$D:$D,"Endring",$E:$E,"endring")</f>
        <v>0</v>
      </c>
      <c r="H16" s="267">
        <f>SUMIFS(H:H,$D:$D,"Endring",$E:$E,"endring")</f>
        <v>0</v>
      </c>
      <c r="I16" s="267">
        <f>SUMIFS(I:I,$D:$D,"Endring",$E:$E,"endring")</f>
        <v>0</v>
      </c>
    </row>
    <row r="17" spans="1:16" s="38" customFormat="1" x14ac:dyDescent="0.25">
      <c r="A17" s="312"/>
      <c r="B17" s="555"/>
      <c r="C17" s="302"/>
      <c r="D17" s="304"/>
      <c r="E17" s="304"/>
      <c r="F17" s="491"/>
      <c r="G17" s="313"/>
      <c r="H17" s="313"/>
      <c r="I17" s="313"/>
    </row>
    <row r="18" spans="1:16" s="38" customFormat="1" x14ac:dyDescent="0.25">
      <c r="A18" s="314" t="s">
        <v>10</v>
      </c>
      <c r="B18" s="341"/>
      <c r="C18" s="207"/>
      <c r="D18" s="315"/>
      <c r="E18" s="315"/>
      <c r="F18" s="39">
        <f>SUMIF($D:$D,"NYTT",F:F)-F19-F13-F12</f>
        <v>0</v>
      </c>
      <c r="G18" s="39">
        <f>SUMIF($D:$D,"NYTT",G:G)-G19-G13-G12</f>
        <v>0</v>
      </c>
      <c r="H18" s="39">
        <f>SUMIF($D:$D,"NYTT",H:H)-H19-H13-H12</f>
        <v>0</v>
      </c>
      <c r="I18" s="39">
        <f>SUMIF($D:$D,"NYTT",I:I)-I19-I13-I12</f>
        <v>0</v>
      </c>
    </row>
    <row r="19" spans="1:16" s="38" customFormat="1" x14ac:dyDescent="0.25">
      <c r="A19" s="325" t="s">
        <v>11</v>
      </c>
      <c r="B19" s="341"/>
      <c r="C19" s="326"/>
      <c r="D19" s="315"/>
      <c r="E19" s="315"/>
      <c r="F19" s="327">
        <f>SUMIFS(F:F,$D:$D,"NYTT",$E:$E,"IKKE PRI")</f>
        <v>0</v>
      </c>
      <c r="G19" s="327">
        <f>SUMIFS(G:G,$D:$D,"NYTT",$E:$E,"IKKE PRI")</f>
        <v>0</v>
      </c>
      <c r="H19" s="327">
        <f>SUMIFS(H:H,$D:$D,"NYTT",$E:$E,"IKKE PRI")</f>
        <v>0</v>
      </c>
      <c r="I19" s="327">
        <f>SUMIFS(I:I,$D:$D,"NYTT",$E:$E,"IKKE PRI")</f>
        <v>0</v>
      </c>
    </row>
    <row r="20" spans="1:16" s="38" customFormat="1" x14ac:dyDescent="0.25">
      <c r="A20" s="325"/>
      <c r="B20" s="341"/>
      <c r="C20" s="326"/>
      <c r="D20" s="315"/>
      <c r="E20" s="315"/>
      <c r="F20" s="292">
        <f>(F8+F9+F13+F18+F19+F12+F16)-SUMIF($B:$B,"X",F:F)</f>
        <v>0</v>
      </c>
      <c r="G20" s="292">
        <f>(G8+G9+G13+G18+G19+G12+G16)-SUMIF($B:$B,"X",G:G)</f>
        <v>0</v>
      </c>
      <c r="H20" s="292">
        <f>(H8+H9+H13+H18+H19+H12+H16)-SUMIF($B:$B,"X",H:H)</f>
        <v>0</v>
      </c>
      <c r="I20" s="292">
        <f>(I8+I9+I13+I18+I19+I12+I16)-SUMIF($B:$B,"X",I:I)</f>
        <v>0</v>
      </c>
    </row>
    <row r="21" spans="1:16" s="38" customFormat="1" x14ac:dyDescent="0.25">
      <c r="A21" s="328"/>
      <c r="B21" s="329"/>
      <c r="C21" s="298"/>
      <c r="D21" s="330"/>
      <c r="E21" s="330"/>
      <c r="F21" s="331"/>
      <c r="G21" s="331"/>
      <c r="H21" s="331"/>
      <c r="I21" s="331"/>
    </row>
    <row r="22" spans="1:16" s="38" customFormat="1" x14ac:dyDescent="0.25">
      <c r="A22" s="332"/>
      <c r="B22" s="553"/>
      <c r="C22" s="333"/>
      <c r="D22" s="93"/>
      <c r="E22" s="93"/>
      <c r="F22" s="334">
        <f>F8+F9+F13+F12</f>
        <v>506955</v>
      </c>
      <c r="G22" s="334">
        <f>G8+G9+G13+G12</f>
        <v>463496</v>
      </c>
      <c r="H22" s="334">
        <f>H8+H9+H13+H12</f>
        <v>434492</v>
      </c>
      <c r="I22" s="334">
        <f>I8+I9+I13+I12</f>
        <v>437010</v>
      </c>
    </row>
    <row r="23" spans="1:16" s="38" customFormat="1" x14ac:dyDescent="0.25">
      <c r="A23" s="332"/>
      <c r="B23" s="553"/>
      <c r="C23" s="333"/>
      <c r="D23" s="93"/>
      <c r="E23" s="93"/>
      <c r="F23" s="334"/>
      <c r="G23" s="334"/>
      <c r="H23" s="334"/>
      <c r="I23" s="334"/>
    </row>
    <row r="24" spans="1:16" s="38" customFormat="1" hidden="1" x14ac:dyDescent="0.25">
      <c r="A24" s="192" t="s">
        <v>12</v>
      </c>
      <c r="B24" s="560"/>
      <c r="C24" s="236"/>
      <c r="D24" s="237"/>
      <c r="E24" s="237"/>
      <c r="F24" s="193"/>
      <c r="G24" s="193"/>
      <c r="H24" s="193"/>
      <c r="I24" s="193"/>
    </row>
    <row r="25" spans="1:16" s="125" customFormat="1" hidden="1" x14ac:dyDescent="0.25">
      <c r="A25" s="194" t="s">
        <v>13</v>
      </c>
      <c r="B25" s="561"/>
      <c r="C25" s="195"/>
      <c r="D25" s="239"/>
      <c r="E25" s="239"/>
      <c r="F25" s="196" t="e">
        <f>SUMIF(#REF!,"FOND",F:F)</f>
        <v>#REF!</v>
      </c>
      <c r="G25" s="196" t="e">
        <f>SUMIF(#REF!,"FOND",G:G)</f>
        <v>#REF!</v>
      </c>
      <c r="H25" s="196" t="e">
        <f>SUMIF(#REF!,"FOND",H:H)</f>
        <v>#REF!</v>
      </c>
      <c r="I25" s="196" t="e">
        <f>SUMIF(#REF!,"FOND",I:I)</f>
        <v>#REF!</v>
      </c>
      <c r="J25" s="38"/>
    </row>
    <row r="26" spans="1:16" s="38" customFormat="1" hidden="1" x14ac:dyDescent="0.25">
      <c r="A26" s="197" t="s">
        <v>14</v>
      </c>
      <c r="B26" s="560"/>
      <c r="C26" s="236"/>
      <c r="D26" s="237"/>
      <c r="E26" s="237"/>
      <c r="F26" s="198" t="e">
        <f>SUBTOTAL(9,F24:F25)</f>
        <v>#REF!</v>
      </c>
      <c r="G26" s="198" t="e">
        <f>SUBTOTAL(9,G24:G25)</f>
        <v>#REF!</v>
      </c>
      <c r="H26" s="198" t="e">
        <f>SUBTOTAL(9,H24:H25)</f>
        <v>#REF!</v>
      </c>
      <c r="I26" s="198" t="e">
        <f>SUBTOTAL(9,I24:I25)</f>
        <v>#REF!</v>
      </c>
    </row>
    <row r="27" spans="1:16" s="38" customFormat="1" x14ac:dyDescent="0.25">
      <c r="A27" s="28"/>
      <c r="B27" s="562"/>
      <c r="C27" s="11"/>
      <c r="D27" s="242"/>
      <c r="E27" s="242"/>
      <c r="F27" s="336">
        <f>(F8+F9+F13+F18+F19+F12)-SUMIF($B:$B,"X",F:F)</f>
        <v>0</v>
      </c>
      <c r="G27" s="336">
        <f>(G8+G9+G13+G18+G19+G12)-SUMIF($B:$B,"X",G:G)</f>
        <v>0</v>
      </c>
      <c r="H27" s="336">
        <f>(H8+H9+H13+H18+H19+H12)-SUMIF($B:$B,"X",H:H)</f>
        <v>0</v>
      </c>
      <c r="I27" s="336">
        <f>(I8+I9+I13+I18+I19+I12)-SUMIF($B:$B,"X",I:I)</f>
        <v>0</v>
      </c>
    </row>
    <row r="28" spans="1:16" s="38" customFormat="1" x14ac:dyDescent="0.25">
      <c r="A28" s="4" t="s">
        <v>15</v>
      </c>
      <c r="B28" s="5" t="s">
        <v>16</v>
      </c>
      <c r="C28" s="3" t="s">
        <v>17</v>
      </c>
      <c r="D28" s="8" t="s">
        <v>18</v>
      </c>
      <c r="E28" s="46" t="s">
        <v>19</v>
      </c>
      <c r="F28" s="4">
        <v>2023</v>
      </c>
      <c r="G28" s="4">
        <v>2024</v>
      </c>
      <c r="H28" s="4">
        <v>2025</v>
      </c>
      <c r="I28" s="4">
        <v>2026</v>
      </c>
      <c r="J28" s="4" t="s">
        <v>20</v>
      </c>
    </row>
    <row r="29" spans="1:16" s="38" customFormat="1" x14ac:dyDescent="0.25">
      <c r="A29" s="234"/>
      <c r="B29" s="562"/>
      <c r="C29" s="17"/>
      <c r="D29" s="51"/>
      <c r="E29" s="549"/>
      <c r="F29" s="334"/>
      <c r="G29" s="334"/>
      <c r="H29" s="334"/>
      <c r="I29" s="235"/>
    </row>
    <row r="30" spans="1:16" s="38" customFormat="1" x14ac:dyDescent="0.25">
      <c r="A30" s="15"/>
      <c r="B30" s="44"/>
      <c r="C30" s="16" t="s">
        <v>21</v>
      </c>
      <c r="D30" s="41"/>
      <c r="E30" s="551"/>
      <c r="F30" s="625"/>
      <c r="G30" s="625"/>
      <c r="H30" s="625"/>
      <c r="I30" s="85"/>
    </row>
    <row r="31" spans="1:16" s="38" customFormat="1" x14ac:dyDescent="0.25">
      <c r="A31" s="78" t="s">
        <v>22</v>
      </c>
      <c r="B31" s="78" t="str">
        <f>IF(ISBLANK(A31),"","I"&amp;COUNTA($A$31:A31))</f>
        <v>I1</v>
      </c>
      <c r="C31" s="98" t="s">
        <v>23</v>
      </c>
      <c r="D31" s="79" t="s">
        <v>22</v>
      </c>
      <c r="E31" s="79" t="s">
        <v>24</v>
      </c>
      <c r="F31" s="90">
        <v>-2998000</v>
      </c>
      <c r="G31" s="90">
        <v>-3044000</v>
      </c>
      <c r="H31" s="90">
        <v>-3073000</v>
      </c>
      <c r="I31" s="90">
        <v>-3097000</v>
      </c>
      <c r="J31" s="38" t="s">
        <v>25</v>
      </c>
      <c r="M31" s="1"/>
      <c r="N31" s="1"/>
      <c r="O31" s="1"/>
      <c r="P31" s="1"/>
    </row>
    <row r="32" spans="1:16" s="38" customFormat="1" x14ac:dyDescent="0.25">
      <c r="A32" s="78" t="s">
        <v>22</v>
      </c>
      <c r="B32" s="78" t="str">
        <f>IF(ISBLANK(A32),"","I"&amp;COUNTA($A$31:A32))</f>
        <v>I2</v>
      </c>
      <c r="C32" s="98" t="s">
        <v>29</v>
      </c>
      <c r="D32" s="79" t="s">
        <v>22</v>
      </c>
      <c r="E32" s="79" t="s">
        <v>24</v>
      </c>
      <c r="F32" s="90">
        <v>-2291000</v>
      </c>
      <c r="G32" s="90">
        <v>-2330000</v>
      </c>
      <c r="H32" s="90">
        <v>-2343000</v>
      </c>
      <c r="I32" s="90">
        <v>-2359000</v>
      </c>
      <c r="J32" s="38" t="s">
        <v>25</v>
      </c>
      <c r="M32" s="620"/>
      <c r="N32" s="620"/>
      <c r="O32" s="620"/>
      <c r="P32" s="620"/>
    </row>
    <row r="33" spans="1:18" s="38" customFormat="1" x14ac:dyDescent="0.25">
      <c r="A33" s="78" t="s">
        <v>22</v>
      </c>
      <c r="B33" s="78" t="str">
        <f>IF(ISBLANK(A33),"","I"&amp;COUNTA($A$31:A33))</f>
        <v>I3</v>
      </c>
      <c r="C33" s="98" t="s">
        <v>30</v>
      </c>
      <c r="D33" s="79" t="s">
        <v>22</v>
      </c>
      <c r="E33" s="79" t="s">
        <v>24</v>
      </c>
      <c r="F33" s="481">
        <v>50000</v>
      </c>
      <c r="G33" s="481"/>
      <c r="H33" s="481"/>
      <c r="I33" s="481"/>
      <c r="J33" s="38" t="s">
        <v>31</v>
      </c>
      <c r="M33" s="620"/>
      <c r="N33" s="620"/>
      <c r="O33" s="620"/>
      <c r="P33" s="620"/>
    </row>
    <row r="34" spans="1:18" s="38" customFormat="1" x14ac:dyDescent="0.25">
      <c r="A34" s="78" t="s">
        <v>22</v>
      </c>
      <c r="B34" s="78" t="str">
        <f>IF(ISBLANK(A34),"","I"&amp;COUNTA($A$31:A34))</f>
        <v>I4</v>
      </c>
      <c r="C34" s="98" t="s">
        <v>32</v>
      </c>
      <c r="D34" s="79" t="s">
        <v>22</v>
      </c>
      <c r="E34" s="79" t="s">
        <v>24</v>
      </c>
      <c r="F34" s="481">
        <v>-55000</v>
      </c>
      <c r="G34" s="481">
        <v>-57000</v>
      </c>
      <c r="H34" s="481">
        <v>-59000</v>
      </c>
      <c r="I34" s="481">
        <v>-61000</v>
      </c>
      <c r="J34" s="38" t="s">
        <v>33</v>
      </c>
    </row>
    <row r="35" spans="1:18" s="38" customFormat="1" x14ac:dyDescent="0.25">
      <c r="A35" s="78" t="s">
        <v>22</v>
      </c>
      <c r="B35" s="78" t="str">
        <f>IF(ISBLANK(A35),"","I"&amp;COUNTA($A$31:A35))</f>
        <v>I5</v>
      </c>
      <c r="C35" s="98" t="s">
        <v>34</v>
      </c>
      <c r="D35" s="79" t="s">
        <v>22</v>
      </c>
      <c r="E35" s="79" t="s">
        <v>24</v>
      </c>
      <c r="F35" s="481">
        <v>-250000</v>
      </c>
      <c r="G35" s="481">
        <v>-150000</v>
      </c>
      <c r="H35" s="481">
        <v>-80000</v>
      </c>
      <c r="I35" s="481">
        <v>-64000</v>
      </c>
      <c r="J35" s="38" t="s">
        <v>35</v>
      </c>
      <c r="M35" s="481"/>
      <c r="N35" s="481"/>
      <c r="O35" s="481"/>
      <c r="P35" s="481"/>
    </row>
    <row r="36" spans="1:18" s="38" customFormat="1" x14ac:dyDescent="0.25">
      <c r="A36" s="78" t="s">
        <v>22</v>
      </c>
      <c r="B36" s="78" t="str">
        <f>IF(ISBLANK(A36),"","I"&amp;COUNTA($A$31:A36))</f>
        <v>I6</v>
      </c>
      <c r="C36" s="98" t="s">
        <v>36</v>
      </c>
      <c r="D36" s="79" t="s">
        <v>22</v>
      </c>
      <c r="E36" s="79" t="s">
        <v>24</v>
      </c>
      <c r="F36" s="90">
        <v>-11000</v>
      </c>
      <c r="G36" s="90">
        <v>-11000</v>
      </c>
      <c r="H36" s="90">
        <v>-11000</v>
      </c>
      <c r="I36" s="90">
        <v>-11000</v>
      </c>
      <c r="J36" s="38" t="s">
        <v>37</v>
      </c>
      <c r="M36" s="617"/>
      <c r="N36" s="617"/>
      <c r="O36" s="617"/>
      <c r="P36" s="617"/>
    </row>
    <row r="37" spans="1:18" s="38" customFormat="1" x14ac:dyDescent="0.25">
      <c r="A37" s="78" t="s">
        <v>22</v>
      </c>
      <c r="B37" s="78" t="str">
        <f>IF(ISBLANK(A37),"","I"&amp;COUNTA($A$31:A37))</f>
        <v>I7</v>
      </c>
      <c r="C37" s="98" t="s">
        <v>38</v>
      </c>
      <c r="D37" s="79" t="s">
        <v>22</v>
      </c>
      <c r="E37" s="79" t="s">
        <v>24</v>
      </c>
      <c r="F37" s="90">
        <v>11000</v>
      </c>
      <c r="G37" s="90">
        <v>11000</v>
      </c>
      <c r="H37" s="90">
        <v>11000</v>
      </c>
      <c r="I37" s="90">
        <v>11000</v>
      </c>
      <c r="J37" s="38" t="s">
        <v>37</v>
      </c>
      <c r="M37" s="617"/>
      <c r="N37" s="617"/>
      <c r="O37" s="617"/>
      <c r="P37" s="617"/>
    </row>
    <row r="38" spans="1:18" s="38" customFormat="1" ht="25.5" x14ac:dyDescent="0.25">
      <c r="A38" s="78" t="s">
        <v>22</v>
      </c>
      <c r="B38" s="78" t="str">
        <f>IF(ISBLANK(A38),"","I"&amp;COUNTA($A$31:A38))</f>
        <v>I8</v>
      </c>
      <c r="C38" s="98" t="s">
        <v>39</v>
      </c>
      <c r="D38" s="79" t="s">
        <v>22</v>
      </c>
      <c r="E38" s="79" t="s">
        <v>24</v>
      </c>
      <c r="F38" s="90">
        <v>-12300</v>
      </c>
      <c r="G38" s="90">
        <v>-11200</v>
      </c>
      <c r="H38" s="90">
        <v>-10100</v>
      </c>
      <c r="I38" s="90">
        <v>-9400</v>
      </c>
      <c r="J38" s="38" t="s">
        <v>40</v>
      </c>
      <c r="M38" s="618"/>
      <c r="N38" s="618"/>
      <c r="O38" s="618"/>
      <c r="P38" s="618"/>
    </row>
    <row r="39" spans="1:18" s="38" customFormat="1" x14ac:dyDescent="0.25">
      <c r="A39" s="78" t="s">
        <v>22</v>
      </c>
      <c r="B39" s="78" t="str">
        <f>IF(ISBLANK(A39),"","I"&amp;COUNTA($A$31:A39))</f>
        <v>I9</v>
      </c>
      <c r="C39" s="578" t="s">
        <v>41</v>
      </c>
      <c r="D39" s="579" t="s">
        <v>22</v>
      </c>
      <c r="E39" s="579" t="s">
        <v>24</v>
      </c>
      <c r="F39" s="481">
        <v>-116222</v>
      </c>
      <c r="G39" s="481">
        <v>-95707</v>
      </c>
      <c r="H39" s="481">
        <v>-71318</v>
      </c>
      <c r="I39" s="90">
        <v>-66738</v>
      </c>
      <c r="J39" s="580" t="s">
        <v>42</v>
      </c>
    </row>
    <row r="40" spans="1:18" s="38" customFormat="1" x14ac:dyDescent="0.25">
      <c r="A40" s="78" t="s">
        <v>22</v>
      </c>
      <c r="B40" s="78" t="str">
        <f>IF(ISBLANK(A40),"","I"&amp;COUNTA($A$31:A40))</f>
        <v>I10</v>
      </c>
      <c r="C40" s="98" t="s">
        <v>43</v>
      </c>
      <c r="D40" s="79" t="s">
        <v>22</v>
      </c>
      <c r="E40" s="79" t="s">
        <v>24</v>
      </c>
      <c r="F40" s="90">
        <v>161000</v>
      </c>
      <c r="G40" s="90">
        <v>174000</v>
      </c>
      <c r="H40" s="90">
        <v>187000</v>
      </c>
      <c r="I40" s="90">
        <v>217000</v>
      </c>
      <c r="J40" s="38" t="s">
        <v>44</v>
      </c>
    </row>
    <row r="41" spans="1:18" s="38" customFormat="1" x14ac:dyDescent="0.25">
      <c r="A41" s="590"/>
      <c r="B41" s="78"/>
      <c r="C41" s="587" t="s">
        <v>306</v>
      </c>
      <c r="D41" s="588" t="s">
        <v>22</v>
      </c>
      <c r="E41" s="588" t="s">
        <v>24</v>
      </c>
      <c r="F41" s="589"/>
      <c r="G41" s="589"/>
      <c r="H41" s="589"/>
      <c r="I41" s="589"/>
      <c r="J41" s="591" t="s">
        <v>307</v>
      </c>
      <c r="O41" s="95"/>
      <c r="P41" s="95"/>
      <c r="Q41" s="95"/>
      <c r="R41" s="95"/>
    </row>
    <row r="42" spans="1:18" s="38" customFormat="1" x14ac:dyDescent="0.25">
      <c r="A42" s="78" t="s">
        <v>22</v>
      </c>
      <c r="B42" s="78" t="str">
        <f>IF(ISBLANK(A42),"","I"&amp;COUNTA($A$31:A42))</f>
        <v>I11</v>
      </c>
      <c r="C42" s="98" t="s">
        <v>47</v>
      </c>
      <c r="D42" s="79" t="s">
        <v>22</v>
      </c>
      <c r="E42" s="79" t="s">
        <v>24</v>
      </c>
      <c r="F42" s="90">
        <v>285000</v>
      </c>
      <c r="G42" s="90">
        <v>311000</v>
      </c>
      <c r="H42" s="90">
        <v>339000</v>
      </c>
      <c r="I42" s="90">
        <v>361000</v>
      </c>
      <c r="J42" s="38" t="s">
        <v>44</v>
      </c>
      <c r="M42" s="1"/>
      <c r="N42" s="1"/>
      <c r="O42" s="1"/>
      <c r="P42" s="1"/>
    </row>
    <row r="43" spans="1:18" s="38" customFormat="1" x14ac:dyDescent="0.25">
      <c r="A43" s="590"/>
      <c r="B43" s="78"/>
      <c r="C43" s="587" t="s">
        <v>308</v>
      </c>
      <c r="D43" s="588" t="s">
        <v>22</v>
      </c>
      <c r="E43" s="588" t="s">
        <v>24</v>
      </c>
      <c r="F43" s="589"/>
      <c r="G43" s="589"/>
      <c r="H43" s="589"/>
      <c r="I43" s="589"/>
      <c r="J43" s="591" t="s">
        <v>307</v>
      </c>
    </row>
    <row r="44" spans="1:18" s="38" customFormat="1" x14ac:dyDescent="0.25">
      <c r="A44" s="78" t="s">
        <v>22</v>
      </c>
      <c r="B44" s="78" t="str">
        <f>IF(ISBLANK(A44),"","I"&amp;COUNTA($A$31:A44))</f>
        <v>I12</v>
      </c>
      <c r="C44" s="98" t="s">
        <v>50</v>
      </c>
      <c r="D44" s="79" t="s">
        <v>22</v>
      </c>
      <c r="E44" s="79" t="s">
        <v>24</v>
      </c>
      <c r="F44" s="90">
        <v>-59000</v>
      </c>
      <c r="G44" s="90">
        <v>-59000</v>
      </c>
      <c r="H44" s="90">
        <v>-55000</v>
      </c>
      <c r="I44" s="90">
        <v>-55000</v>
      </c>
      <c r="J44" s="38" t="s">
        <v>40</v>
      </c>
      <c r="M44" s="481"/>
      <c r="N44" s="481"/>
      <c r="O44" s="481"/>
      <c r="P44" s="481"/>
    </row>
    <row r="45" spans="1:18" s="38" customFormat="1" x14ac:dyDescent="0.25">
      <c r="A45" s="78" t="s">
        <v>22</v>
      </c>
      <c r="B45" s="78" t="str">
        <f>IF(ISBLANK(A45),"","I"&amp;COUNTA($A$31:A45))</f>
        <v>I13</v>
      </c>
      <c r="C45" s="98" t="s">
        <v>51</v>
      </c>
      <c r="D45" s="79" t="s">
        <v>22</v>
      </c>
      <c r="E45" s="79" t="s">
        <v>24</v>
      </c>
      <c r="F45" s="90">
        <v>-83200</v>
      </c>
      <c r="G45" s="90">
        <v>-87900</v>
      </c>
      <c r="H45" s="90">
        <v>-86100</v>
      </c>
      <c r="I45" s="90">
        <v>-89300</v>
      </c>
      <c r="J45" s="38" t="s">
        <v>40</v>
      </c>
      <c r="M45" s="617"/>
      <c r="N45" s="617"/>
      <c r="O45" s="617"/>
      <c r="P45" s="617"/>
    </row>
    <row r="46" spans="1:18" s="38" customFormat="1" x14ac:dyDescent="0.25">
      <c r="A46" s="78" t="s">
        <v>22</v>
      </c>
      <c r="B46" s="78" t="str">
        <f>IF(ISBLANK(A46),"","I"&amp;COUNTA($A$31:A46))</f>
        <v>I14</v>
      </c>
      <c r="C46" s="98" t="s">
        <v>52</v>
      </c>
      <c r="D46" s="79" t="s">
        <v>22</v>
      </c>
      <c r="E46" s="79" t="s">
        <v>24</v>
      </c>
      <c r="F46" s="90">
        <v>83200</v>
      </c>
      <c r="G46" s="90">
        <v>87900</v>
      </c>
      <c r="H46" s="90">
        <v>86100</v>
      </c>
      <c r="I46" s="90">
        <v>89300</v>
      </c>
      <c r="J46" s="38" t="s">
        <v>40</v>
      </c>
      <c r="M46" s="617"/>
      <c r="N46" s="617"/>
      <c r="O46" s="617"/>
      <c r="P46" s="617"/>
    </row>
    <row r="47" spans="1:18" s="38" customFormat="1" x14ac:dyDescent="0.25">
      <c r="A47" s="78" t="s">
        <v>22</v>
      </c>
      <c r="B47" s="78" t="str">
        <f>IF(ISBLANK(A47),"","I"&amp;COUNTA($A$31:A47))</f>
        <v>I15</v>
      </c>
      <c r="C47" s="98" t="s">
        <v>53</v>
      </c>
      <c r="D47" s="79" t="s">
        <v>22</v>
      </c>
      <c r="E47" s="79" t="s">
        <v>24</v>
      </c>
      <c r="F47" s="90">
        <v>-16400</v>
      </c>
      <c r="G47" s="90">
        <v>-15400</v>
      </c>
      <c r="H47" s="90">
        <v>-13700</v>
      </c>
      <c r="I47" s="90">
        <v>-12700</v>
      </c>
      <c r="J47" s="38" t="s">
        <v>40</v>
      </c>
      <c r="M47" s="339"/>
      <c r="N47" s="339"/>
      <c r="O47" s="339"/>
      <c r="P47" s="339"/>
    </row>
    <row r="48" spans="1:18" s="38" customFormat="1" x14ac:dyDescent="0.25">
      <c r="A48" s="78" t="s">
        <v>22</v>
      </c>
      <c r="B48" s="78" t="str">
        <f>IF(ISBLANK(A48),"","I"&amp;COUNTA($A$31:A48))</f>
        <v>I16</v>
      </c>
      <c r="C48" s="98" t="s">
        <v>54</v>
      </c>
      <c r="D48" s="79" t="s">
        <v>22</v>
      </c>
      <c r="E48" s="79" t="s">
        <v>24</v>
      </c>
      <c r="F48" s="90">
        <v>-136700</v>
      </c>
      <c r="G48" s="90">
        <v>-140600</v>
      </c>
      <c r="H48" s="90">
        <v>-144500</v>
      </c>
      <c r="I48" s="90">
        <v>-148400</v>
      </c>
      <c r="J48" s="38" t="s">
        <v>40</v>
      </c>
      <c r="M48" s="617"/>
      <c r="N48" s="617"/>
      <c r="O48" s="617"/>
      <c r="P48" s="617"/>
    </row>
    <row r="49" spans="1:22" s="38" customFormat="1" x14ac:dyDescent="0.25">
      <c r="A49" s="78" t="s">
        <v>22</v>
      </c>
      <c r="B49" s="78" t="str">
        <f>IF(ISBLANK(A49),"","I"&amp;COUNTA($A$31:A49))</f>
        <v>I17</v>
      </c>
      <c r="C49" s="98" t="s">
        <v>55</v>
      </c>
      <c r="D49" s="79" t="s">
        <v>22</v>
      </c>
      <c r="E49" s="79" t="s">
        <v>24</v>
      </c>
      <c r="F49" s="90">
        <v>-715</v>
      </c>
      <c r="G49" s="90">
        <v>-1070</v>
      </c>
      <c r="H49" s="90">
        <v>-1070</v>
      </c>
      <c r="I49" s="90">
        <v>-1070</v>
      </c>
      <c r="J49" s="293" t="s">
        <v>56</v>
      </c>
      <c r="M49" s="617"/>
      <c r="N49" s="617"/>
      <c r="O49" s="617"/>
      <c r="P49" s="617"/>
    </row>
    <row r="50" spans="1:22" s="38" customFormat="1" x14ac:dyDescent="0.25">
      <c r="A50" s="78" t="s">
        <v>22</v>
      </c>
      <c r="B50" s="78" t="str">
        <f>IF(ISBLANK(A50),"","I"&amp;COUNTA($A$31:A50))</f>
        <v>I18</v>
      </c>
      <c r="C50" s="98" t="s">
        <v>57</v>
      </c>
      <c r="D50" s="79" t="s">
        <v>22</v>
      </c>
      <c r="E50" s="79" t="s">
        <v>24</v>
      </c>
      <c r="F50" s="90">
        <v>-2000</v>
      </c>
      <c r="G50" s="90">
        <v>-2000</v>
      </c>
      <c r="H50" s="90">
        <v>-2000</v>
      </c>
      <c r="I50" s="90">
        <v>-2000</v>
      </c>
      <c r="J50" s="293" t="s">
        <v>58</v>
      </c>
      <c r="M50" s="618"/>
      <c r="N50" s="618"/>
      <c r="O50" s="618"/>
      <c r="P50" s="618"/>
    </row>
    <row r="51" spans="1:22" s="38" customFormat="1" x14ac:dyDescent="0.25">
      <c r="A51" s="78" t="s">
        <v>22</v>
      </c>
      <c r="B51" s="78" t="str">
        <f>IF(ISBLANK(A51),"","I"&amp;COUNTA($A$31:A51))</f>
        <v>I19</v>
      </c>
      <c r="C51" s="98" t="s">
        <v>59</v>
      </c>
      <c r="D51" s="79" t="s">
        <v>22</v>
      </c>
      <c r="E51" s="79" t="s">
        <v>24</v>
      </c>
      <c r="F51" s="90">
        <v>-5200</v>
      </c>
      <c r="G51" s="90">
        <v>-5000</v>
      </c>
      <c r="H51" s="90">
        <v>-4500</v>
      </c>
      <c r="I51" s="90">
        <v>-4200</v>
      </c>
      <c r="J51" s="293" t="s">
        <v>40</v>
      </c>
    </row>
    <row r="52" spans="1:22" s="38" customFormat="1" x14ac:dyDescent="0.25">
      <c r="A52" s="78"/>
      <c r="B52" s="78"/>
      <c r="C52" s="98" t="s">
        <v>60</v>
      </c>
      <c r="D52" s="79" t="s">
        <v>22</v>
      </c>
      <c r="E52" s="79" t="s">
        <v>24</v>
      </c>
      <c r="F52" s="90"/>
      <c r="G52" s="90"/>
      <c r="H52" s="90"/>
      <c r="I52" s="90"/>
      <c r="J52" s="293" t="s">
        <v>61</v>
      </c>
    </row>
    <row r="53" spans="1:22" s="38" customFormat="1" x14ac:dyDescent="0.25">
      <c r="A53" s="78" t="s">
        <v>22</v>
      </c>
      <c r="B53" s="78" t="str">
        <f>IF(ISBLANK(A53),"","I"&amp;COUNTA($A$31:A53))</f>
        <v>I20</v>
      </c>
      <c r="C53" s="98" t="s">
        <v>62</v>
      </c>
      <c r="D53" s="79" t="s">
        <v>22</v>
      </c>
      <c r="E53" s="79" t="s">
        <v>24</v>
      </c>
      <c r="F53" s="90">
        <v>-500</v>
      </c>
      <c r="G53" s="90">
        <v>-500</v>
      </c>
      <c r="H53" s="90">
        <v>-500</v>
      </c>
      <c r="I53" s="90">
        <v>-500</v>
      </c>
      <c r="J53" s="293" t="s">
        <v>63</v>
      </c>
    </row>
    <row r="54" spans="1:22" s="38" customFormat="1" x14ac:dyDescent="0.25">
      <c r="A54" s="78" t="s">
        <v>22</v>
      </c>
      <c r="B54" s="78" t="str">
        <f>IF(ISBLANK(A54),"","I"&amp;COUNTA($A$31:A54))</f>
        <v>I21</v>
      </c>
      <c r="C54" s="98" t="s">
        <v>64</v>
      </c>
      <c r="D54" s="79" t="s">
        <v>22</v>
      </c>
      <c r="E54" s="79" t="s">
        <v>24</v>
      </c>
      <c r="F54" s="595">
        <v>119722</v>
      </c>
      <c r="G54" s="595">
        <v>148223</v>
      </c>
      <c r="H54" s="595">
        <v>90904</v>
      </c>
      <c r="I54" s="595">
        <v>68921</v>
      </c>
      <c r="J54" s="38" t="s">
        <v>65</v>
      </c>
    </row>
    <row r="55" spans="1:22" s="38" customFormat="1" x14ac:dyDescent="0.25">
      <c r="A55" s="78"/>
      <c r="B55" s="78"/>
      <c r="C55" s="98" t="s">
        <v>68</v>
      </c>
      <c r="D55" s="79" t="s">
        <v>22</v>
      </c>
      <c r="E55" s="79" t="s">
        <v>24</v>
      </c>
      <c r="F55" s="90"/>
      <c r="G55" s="90"/>
      <c r="H55" s="90"/>
      <c r="I55" s="90"/>
    </row>
    <row r="56" spans="1:22" s="38" customFormat="1" x14ac:dyDescent="0.25">
      <c r="A56" s="78" t="s">
        <v>22</v>
      </c>
      <c r="B56" s="78" t="str">
        <f>IF(ISBLANK(A56),"","I"&amp;COUNTA($A$31:A56))</f>
        <v>I22</v>
      </c>
      <c r="C56" s="98" t="s">
        <v>69</v>
      </c>
      <c r="D56" s="79" t="s">
        <v>22</v>
      </c>
      <c r="E56" s="79" t="s">
        <v>24</v>
      </c>
      <c r="F56" s="90">
        <v>340000</v>
      </c>
      <c r="G56" s="90">
        <v>350000</v>
      </c>
      <c r="H56" s="90">
        <v>360000</v>
      </c>
      <c r="I56" s="90">
        <v>370000</v>
      </c>
      <c r="J56" s="38" t="s">
        <v>70</v>
      </c>
      <c r="S56" s="339"/>
      <c r="T56" s="339"/>
      <c r="U56" s="339"/>
      <c r="V56" s="339"/>
    </row>
    <row r="57" spans="1:22" s="38" customFormat="1" x14ac:dyDescent="0.25">
      <c r="A57" s="45" t="s">
        <v>22</v>
      </c>
      <c r="B57" s="78" t="str">
        <f>IF(ISBLANK(A57),"","I"&amp;COUNTA($A$31:A57))</f>
        <v>I23</v>
      </c>
      <c r="C57" s="98" t="s">
        <v>71</v>
      </c>
      <c r="D57" s="79" t="s">
        <v>22</v>
      </c>
      <c r="E57" s="79" t="s">
        <v>24</v>
      </c>
      <c r="F57" s="90">
        <v>-340000</v>
      </c>
      <c r="G57" s="90">
        <v>-350000</v>
      </c>
      <c r="H57" s="90">
        <v>-360000</v>
      </c>
      <c r="I57" s="90">
        <v>-370000</v>
      </c>
      <c r="J57" s="38" t="s">
        <v>70</v>
      </c>
      <c r="S57" s="621"/>
      <c r="T57" s="621"/>
      <c r="U57" s="621"/>
      <c r="V57" s="621"/>
    </row>
    <row r="58" spans="1:22" s="38" customFormat="1" x14ac:dyDescent="0.25">
      <c r="A58" s="45" t="s">
        <v>22</v>
      </c>
      <c r="B58" s="78" t="str">
        <f>IF(ISBLANK(A58),"","I"&amp;COUNTA($A$31:A58))</f>
        <v>I24</v>
      </c>
      <c r="C58" s="98" t="s">
        <v>72</v>
      </c>
      <c r="D58" s="79" t="s">
        <v>22</v>
      </c>
      <c r="E58" s="79" t="s">
        <v>24</v>
      </c>
      <c r="F58" s="90">
        <v>-27043</v>
      </c>
      <c r="G58" s="90">
        <v>-27162</v>
      </c>
      <c r="H58" s="90">
        <v>-28274</v>
      </c>
      <c r="I58" s="90">
        <v>-30191</v>
      </c>
      <c r="J58" s="293" t="s">
        <v>73</v>
      </c>
    </row>
    <row r="59" spans="1:22" s="38" customFormat="1" x14ac:dyDescent="0.25">
      <c r="A59" s="45" t="s">
        <v>22</v>
      </c>
      <c r="B59" s="78" t="str">
        <f>IF(ISBLANK(A59),"","I"&amp;COUNTA($A$31:A59))</f>
        <v>I25</v>
      </c>
      <c r="C59" s="98" t="s">
        <v>74</v>
      </c>
      <c r="D59" s="79" t="s">
        <v>22</v>
      </c>
      <c r="E59" s="79" t="s">
        <v>24</v>
      </c>
      <c r="F59" s="90">
        <v>-54620</v>
      </c>
      <c r="G59" s="90">
        <v>-59551</v>
      </c>
      <c r="H59" s="90">
        <v>-65379</v>
      </c>
      <c r="I59" s="90">
        <v>-71940</v>
      </c>
      <c r="J59" s="293" t="s">
        <v>73</v>
      </c>
    </row>
    <row r="60" spans="1:22" s="38" customFormat="1" x14ac:dyDescent="0.25">
      <c r="A60" s="45" t="s">
        <v>22</v>
      </c>
      <c r="B60" s="78" t="str">
        <f>IF(ISBLANK(A60),"","I"&amp;COUNTA($A$31:A60))</f>
        <v>I26</v>
      </c>
      <c r="C60" s="98" t="s">
        <v>75</v>
      </c>
      <c r="D60" s="79" t="s">
        <v>22</v>
      </c>
      <c r="E60" s="79" t="s">
        <v>24</v>
      </c>
      <c r="F60" s="90">
        <v>-759</v>
      </c>
      <c r="G60" s="90">
        <v>-1311</v>
      </c>
      <c r="H60" s="90">
        <v>-2837</v>
      </c>
      <c r="I60" s="90">
        <v>-3574</v>
      </c>
      <c r="J60" s="293" t="s">
        <v>73</v>
      </c>
    </row>
    <row r="61" spans="1:22" s="38" customFormat="1" x14ac:dyDescent="0.25">
      <c r="A61" s="78" t="s">
        <v>22</v>
      </c>
      <c r="B61" s="78" t="str">
        <f>IF(ISBLANK(A61),"","I"&amp;COUNTA($A$31:A61))</f>
        <v>I27</v>
      </c>
      <c r="C61" s="98"/>
      <c r="D61" s="79" t="s">
        <v>22</v>
      </c>
      <c r="E61" s="79" t="s">
        <v>24</v>
      </c>
      <c r="F61" s="90"/>
      <c r="G61" s="90"/>
      <c r="H61" s="90"/>
      <c r="I61" s="90"/>
    </row>
    <row r="62" spans="1:22" s="38" customFormat="1" x14ac:dyDescent="0.25">
      <c r="A62" s="78" t="s">
        <v>22</v>
      </c>
      <c r="B62" s="78" t="str">
        <f>IF(ISBLANK(A62),"","I"&amp;COUNTA($A$31:A62))</f>
        <v>I28</v>
      </c>
      <c r="C62" s="98"/>
      <c r="D62" s="79" t="s">
        <v>22</v>
      </c>
      <c r="E62" s="79" t="s">
        <v>24</v>
      </c>
      <c r="F62" s="90"/>
      <c r="G62" s="90"/>
      <c r="H62" s="90"/>
      <c r="I62" s="90"/>
    </row>
    <row r="63" spans="1:22" s="38" customFormat="1" x14ac:dyDescent="0.25">
      <c r="A63" s="244"/>
      <c r="B63" s="244"/>
      <c r="C63" s="245"/>
      <c r="D63" s="214"/>
      <c r="E63" s="111"/>
      <c r="F63" s="110"/>
      <c r="G63" s="110"/>
      <c r="H63" s="110"/>
      <c r="I63" s="110"/>
    </row>
    <row r="64" spans="1:22" s="38" customFormat="1" x14ac:dyDescent="0.25">
      <c r="A64" s="43"/>
      <c r="B64" s="43"/>
      <c r="C64" s="3" t="s">
        <v>76</v>
      </c>
      <c r="D64" s="63"/>
      <c r="E64" s="63"/>
      <c r="F64" s="9">
        <f>SUMIF($A:$A,"SENT.INNT",F:F)</f>
        <v>-5409737</v>
      </c>
      <c r="G64" s="9">
        <f>SUMIF($A:$A,"SENT.INNT",G:G)</f>
        <v>-5366278</v>
      </c>
      <c r="H64" s="9">
        <f>SUMIF($A:$A,"SENT.INNT",H:H)</f>
        <v>-5337274</v>
      </c>
      <c r="I64" s="9">
        <f>SUMIF($A:$A,"SENT.INNT",I:I)</f>
        <v>-5339792</v>
      </c>
    </row>
    <row r="65" spans="1:11" s="38" customFormat="1" x14ac:dyDescent="0.25">
      <c r="A65" s="46"/>
      <c r="B65" s="46"/>
      <c r="C65" s="3" t="s">
        <v>77</v>
      </c>
      <c r="D65" s="52"/>
      <c r="E65" s="52"/>
      <c r="F65" s="9">
        <f>F4</f>
        <v>4902782</v>
      </c>
      <c r="G65" s="9">
        <f>G4</f>
        <v>4902782</v>
      </c>
      <c r="H65" s="9">
        <f>H4</f>
        <v>4902782</v>
      </c>
      <c r="I65" s="9">
        <f>I4</f>
        <v>4902782</v>
      </c>
    </row>
    <row r="66" spans="1:11" s="38" customFormat="1" x14ac:dyDescent="0.25">
      <c r="A66" s="43"/>
      <c r="B66" s="43"/>
      <c r="C66" s="3" t="s">
        <v>78</v>
      </c>
      <c r="D66" s="52"/>
      <c r="E66" s="52"/>
      <c r="F66" s="9">
        <f>F64+F65</f>
        <v>-506955</v>
      </c>
      <c r="G66" s="9">
        <f>G64+G65</f>
        <v>-463496</v>
      </c>
      <c r="H66" s="9">
        <f>H64+H65</f>
        <v>-434492</v>
      </c>
      <c r="I66" s="9">
        <f>I64+I65</f>
        <v>-437010</v>
      </c>
    </row>
    <row r="67" spans="1:11" s="38" customFormat="1" x14ac:dyDescent="0.25">
      <c r="A67" s="47"/>
      <c r="B67" s="47"/>
      <c r="C67" s="11"/>
      <c r="D67" s="49"/>
      <c r="E67" s="49"/>
      <c r="F67" s="12"/>
      <c r="G67" s="12"/>
      <c r="H67" s="12"/>
      <c r="I67" s="12"/>
    </row>
    <row r="68" spans="1:11" s="1" customFormat="1" x14ac:dyDescent="0.25">
      <c r="A68" s="48"/>
      <c r="B68" s="48"/>
      <c r="C68" s="13" t="s">
        <v>79</v>
      </c>
      <c r="D68" s="50"/>
      <c r="E68" s="50"/>
      <c r="F68" s="14"/>
      <c r="G68" s="14"/>
      <c r="H68" s="14"/>
      <c r="I68" s="14"/>
    </row>
    <row r="69" spans="1:11" s="38" customFormat="1" x14ac:dyDescent="0.25">
      <c r="A69" s="72"/>
      <c r="B69" s="341"/>
      <c r="C69" s="246" t="s">
        <v>80</v>
      </c>
      <c r="D69" s="83"/>
      <c r="E69" s="83"/>
      <c r="F69" s="4">
        <v>2023</v>
      </c>
      <c r="G69" s="4">
        <v>2024</v>
      </c>
      <c r="H69" s="4">
        <f>G69+1</f>
        <v>2025</v>
      </c>
      <c r="I69" s="4">
        <f>H69+1</f>
        <v>2026</v>
      </c>
    </row>
    <row r="70" spans="1:11" s="38" customFormat="1" x14ac:dyDescent="0.25">
      <c r="A70" s="78" t="s">
        <v>81</v>
      </c>
      <c r="B70" s="78" t="str">
        <f>IF(ISBLANK(A70),"","OV"&amp;COUNTA($A$70:A70))</f>
        <v>OV1</v>
      </c>
      <c r="C70" s="245" t="s">
        <v>82</v>
      </c>
      <c r="D70" s="72" t="s">
        <v>83</v>
      </c>
      <c r="E70" s="79" t="s">
        <v>84</v>
      </c>
      <c r="F70" s="217">
        <v>9023</v>
      </c>
      <c r="G70" s="217">
        <v>12060</v>
      </c>
      <c r="H70" s="217">
        <v>12626</v>
      </c>
      <c r="I70" s="217">
        <v>11906</v>
      </c>
    </row>
    <row r="71" spans="1:11" s="38" customFormat="1" x14ac:dyDescent="0.25">
      <c r="A71" s="78" t="s">
        <v>81</v>
      </c>
      <c r="B71" s="78" t="str">
        <f>IF(ISBLANK(A71),"","OV"&amp;COUNTA($A$70:A71))</f>
        <v>OV2</v>
      </c>
      <c r="C71" s="245" t="s">
        <v>85</v>
      </c>
      <c r="D71" s="72" t="s">
        <v>83</v>
      </c>
      <c r="E71" s="79" t="s">
        <v>84</v>
      </c>
      <c r="F71" s="217">
        <v>877</v>
      </c>
      <c r="G71" s="217">
        <v>877</v>
      </c>
      <c r="H71" s="217">
        <v>877</v>
      </c>
      <c r="I71" s="217">
        <v>877</v>
      </c>
    </row>
    <row r="72" spans="1:11" s="38" customFormat="1" x14ac:dyDescent="0.25">
      <c r="A72" s="78" t="s">
        <v>81</v>
      </c>
      <c r="B72" s="78" t="str">
        <f>IF(ISBLANK(A72),"","OV"&amp;COUNTA($A$70:A72))</f>
        <v>OV3</v>
      </c>
      <c r="C72" s="245" t="s">
        <v>86</v>
      </c>
      <c r="D72" s="72" t="s">
        <v>83</v>
      </c>
      <c r="E72" s="79" t="s">
        <v>84</v>
      </c>
      <c r="F72" s="217">
        <v>1456</v>
      </c>
      <c r="G72" s="217">
        <v>1946</v>
      </c>
      <c r="H72" s="217">
        <v>2038</v>
      </c>
      <c r="I72" s="217">
        <v>1922</v>
      </c>
    </row>
    <row r="73" spans="1:11" s="38" customFormat="1" x14ac:dyDescent="0.25">
      <c r="A73" s="78" t="s">
        <v>81</v>
      </c>
      <c r="B73" s="78" t="str">
        <f>IF(ISBLANK(A73),"","OV"&amp;COUNTA($A$70:A73))</f>
        <v>OV4</v>
      </c>
      <c r="C73" s="245" t="s">
        <v>87</v>
      </c>
      <c r="D73" s="72" t="s">
        <v>83</v>
      </c>
      <c r="E73" s="79" t="s">
        <v>84</v>
      </c>
      <c r="F73" s="217">
        <v>142</v>
      </c>
      <c r="G73" s="217">
        <v>142</v>
      </c>
      <c r="H73" s="217">
        <v>142</v>
      </c>
      <c r="I73" s="217">
        <v>142</v>
      </c>
    </row>
    <row r="74" spans="1:11" s="38" customFormat="1" x14ac:dyDescent="0.25">
      <c r="A74" s="78" t="s">
        <v>81</v>
      </c>
      <c r="B74" s="78" t="str">
        <f>IF(ISBLANK(A74),"","OV"&amp;COUNTA($A$70:A74))</f>
        <v>OV5</v>
      </c>
      <c r="C74" s="245" t="s">
        <v>88</v>
      </c>
      <c r="D74" s="72" t="s">
        <v>89</v>
      </c>
      <c r="E74" s="79" t="s">
        <v>84</v>
      </c>
      <c r="F74" s="217">
        <v>0</v>
      </c>
      <c r="G74" s="217">
        <v>-852</v>
      </c>
      <c r="H74" s="217">
        <v>-852</v>
      </c>
      <c r="I74" s="217">
        <v>-852</v>
      </c>
    </row>
    <row r="75" spans="1:11" s="38" customFormat="1" x14ac:dyDescent="0.25">
      <c r="A75" s="78" t="s">
        <v>81</v>
      </c>
      <c r="B75" s="78" t="str">
        <f>IF(ISBLANK(A75),"","OV"&amp;COUNTA($A$70:A75))</f>
        <v>OV6</v>
      </c>
      <c r="C75" s="245" t="s">
        <v>90</v>
      </c>
      <c r="D75" s="72" t="s">
        <v>91</v>
      </c>
      <c r="E75" s="79" t="s">
        <v>24</v>
      </c>
      <c r="F75" s="217">
        <v>7400</v>
      </c>
      <c r="G75" s="217">
        <v>7400</v>
      </c>
      <c r="H75" s="217">
        <v>7400</v>
      </c>
      <c r="I75" s="217">
        <v>7400</v>
      </c>
      <c r="J75" s="293"/>
      <c r="K75" s="632"/>
    </row>
    <row r="76" spans="1:11" s="38" customFormat="1" x14ac:dyDescent="0.25">
      <c r="A76" s="78" t="s">
        <v>81</v>
      </c>
      <c r="B76" s="78" t="str">
        <f>IF(ISBLANK(A76),"","OV"&amp;COUNTA($A$70:A76))</f>
        <v>OV7</v>
      </c>
      <c r="C76" s="569" t="s">
        <v>92</v>
      </c>
      <c r="D76" s="570" t="s">
        <v>91</v>
      </c>
      <c r="E76" s="568" t="s">
        <v>24</v>
      </c>
      <c r="F76" s="575">
        <v>6000</v>
      </c>
      <c r="G76" s="575">
        <v>6000</v>
      </c>
      <c r="H76" s="575"/>
      <c r="I76" s="575"/>
      <c r="J76" s="95"/>
    </row>
    <row r="77" spans="1:11" s="38" customFormat="1" x14ac:dyDescent="0.25">
      <c r="A77" s="78" t="s">
        <v>81</v>
      </c>
      <c r="B77" s="78" t="str">
        <f>IF(ISBLANK(A77),"","OV"&amp;COUNTA($A$70:A77))</f>
        <v>OV8</v>
      </c>
      <c r="C77" s="245" t="s">
        <v>93</v>
      </c>
      <c r="D77" s="72" t="s">
        <v>83</v>
      </c>
      <c r="E77" s="79" t="s">
        <v>84</v>
      </c>
      <c r="F77" s="217">
        <v>157</v>
      </c>
      <c r="G77" s="217">
        <v>210</v>
      </c>
      <c r="H77" s="217">
        <v>220</v>
      </c>
      <c r="I77" s="217">
        <v>208</v>
      </c>
    </row>
    <row r="78" spans="1:11" s="38" customFormat="1" x14ac:dyDescent="0.25">
      <c r="A78" s="78" t="s">
        <v>81</v>
      </c>
      <c r="B78" s="78" t="str">
        <f>IF(ISBLANK(A78),"","OV"&amp;COUNTA($A$70:A78))</f>
        <v>OV9</v>
      </c>
      <c r="C78" s="245" t="s">
        <v>94</v>
      </c>
      <c r="D78" s="72" t="s">
        <v>83</v>
      </c>
      <c r="E78" s="79" t="s">
        <v>84</v>
      </c>
      <c r="F78" s="217">
        <v>15</v>
      </c>
      <c r="G78" s="217">
        <v>15</v>
      </c>
      <c r="H78" s="217">
        <v>15</v>
      </c>
      <c r="I78" s="217">
        <v>15</v>
      </c>
    </row>
    <row r="79" spans="1:11" s="38" customFormat="1" x14ac:dyDescent="0.25">
      <c r="A79" s="78" t="s">
        <v>81</v>
      </c>
      <c r="B79" s="78" t="str">
        <f>IF(ISBLANK(A79),"","OV"&amp;COUNTA($A$70:A79))</f>
        <v>OV10</v>
      </c>
      <c r="C79" s="245" t="s">
        <v>95</v>
      </c>
      <c r="D79" s="72" t="s">
        <v>83</v>
      </c>
      <c r="E79" s="79" t="s">
        <v>84</v>
      </c>
      <c r="F79" s="217">
        <v>12348</v>
      </c>
      <c r="G79" s="217">
        <v>12348</v>
      </c>
      <c r="H79" s="217">
        <v>12348</v>
      </c>
      <c r="I79" s="217">
        <v>12348</v>
      </c>
    </row>
    <row r="80" spans="1:11" s="38" customFormat="1" x14ac:dyDescent="0.25">
      <c r="A80" s="78" t="s">
        <v>81</v>
      </c>
      <c r="B80" s="78" t="str">
        <f>IF(ISBLANK(A80),"","OV"&amp;COUNTA($A$70:A80))</f>
        <v>OV11</v>
      </c>
      <c r="C80" s="245" t="s">
        <v>96</v>
      </c>
      <c r="D80" s="72" t="s">
        <v>83</v>
      </c>
      <c r="E80" s="79" t="s">
        <v>84</v>
      </c>
      <c r="F80" s="217">
        <v>-12348</v>
      </c>
      <c r="G80" s="217">
        <v>-12348</v>
      </c>
      <c r="H80" s="217">
        <v>-12348</v>
      </c>
      <c r="I80" s="217">
        <v>-12348</v>
      </c>
    </row>
    <row r="81" spans="1:11" s="38" customFormat="1" x14ac:dyDescent="0.25">
      <c r="A81" s="78" t="s">
        <v>81</v>
      </c>
      <c r="B81" s="78" t="str">
        <f>IF(ISBLANK(A81),"","OV"&amp;COUNTA($A$70:A81))</f>
        <v>OV12</v>
      </c>
      <c r="C81" s="245" t="s">
        <v>101</v>
      </c>
      <c r="D81" s="72" t="s">
        <v>91</v>
      </c>
      <c r="E81" s="79" t="s">
        <v>24</v>
      </c>
      <c r="F81" s="217">
        <v>400</v>
      </c>
      <c r="G81" s="217">
        <v>400</v>
      </c>
      <c r="H81" s="217">
        <v>400</v>
      </c>
      <c r="I81" s="217">
        <v>400</v>
      </c>
    </row>
    <row r="82" spans="1:11" s="38" customFormat="1" x14ac:dyDescent="0.25">
      <c r="A82" s="78" t="s">
        <v>81</v>
      </c>
      <c r="B82" s="78" t="str">
        <f>IF(ISBLANK(A82),"","OV"&amp;COUNTA($A$70:A82))</f>
        <v>OV13</v>
      </c>
      <c r="C82" s="245" t="s">
        <v>102</v>
      </c>
      <c r="D82" s="72" t="s">
        <v>91</v>
      </c>
      <c r="E82" s="79" t="s">
        <v>24</v>
      </c>
      <c r="F82" s="217">
        <v>1000</v>
      </c>
      <c r="G82" s="217">
        <v>1000</v>
      </c>
      <c r="H82" s="217">
        <v>1000</v>
      </c>
      <c r="I82" s="217">
        <v>1000</v>
      </c>
    </row>
    <row r="83" spans="1:11" s="38" customFormat="1" x14ac:dyDescent="0.25">
      <c r="A83" s="78" t="s">
        <v>81</v>
      </c>
      <c r="B83" s="78" t="str">
        <f>IF(ISBLANK(A83),"","OV"&amp;COUNTA($A$70:A83))</f>
        <v>OV14</v>
      </c>
      <c r="C83" s="569" t="s">
        <v>103</v>
      </c>
      <c r="D83" s="570" t="s">
        <v>91</v>
      </c>
      <c r="E83" s="568" t="s">
        <v>24</v>
      </c>
      <c r="F83" s="575">
        <v>0</v>
      </c>
      <c r="G83" s="575">
        <v>0</v>
      </c>
      <c r="H83" s="575"/>
      <c r="I83" s="575"/>
    </row>
    <row r="84" spans="1:11" x14ac:dyDescent="0.25">
      <c r="A84" s="78" t="s">
        <v>81</v>
      </c>
      <c r="B84" s="78" t="str">
        <f>IF(ISBLANK(A84),"","OV"&amp;COUNTA($A$70:A84))</f>
        <v>OV15</v>
      </c>
      <c r="C84" s="245" t="s">
        <v>104</v>
      </c>
      <c r="D84" s="72" t="s">
        <v>91</v>
      </c>
      <c r="E84" s="79" t="s">
        <v>24</v>
      </c>
      <c r="F84" s="217">
        <v>6000</v>
      </c>
      <c r="G84" s="217">
        <v>6000</v>
      </c>
      <c r="H84" s="217">
        <v>6000</v>
      </c>
      <c r="I84" s="217">
        <v>6000</v>
      </c>
      <c r="K84" s="38"/>
    </row>
    <row r="85" spans="1:11" s="38" customFormat="1" x14ac:dyDescent="0.25">
      <c r="A85" s="78" t="s">
        <v>81</v>
      </c>
      <c r="B85" s="78" t="str">
        <f>IF(ISBLANK(A85),"","OV"&amp;COUNTA($A$70:A85))</f>
        <v>OV16</v>
      </c>
      <c r="C85" s="245" t="s">
        <v>105</v>
      </c>
      <c r="D85" s="72" t="s">
        <v>91</v>
      </c>
      <c r="E85" s="71" t="s">
        <v>24</v>
      </c>
      <c r="F85" s="484">
        <v>18500</v>
      </c>
      <c r="G85" s="484">
        <v>18500</v>
      </c>
      <c r="H85" s="484">
        <v>18500</v>
      </c>
      <c r="I85" s="484">
        <v>18500</v>
      </c>
    </row>
    <row r="86" spans="1:11" s="1" customFormat="1" x14ac:dyDescent="0.25">
      <c r="A86" s="78"/>
      <c r="B86" s="78" t="str">
        <f>IF(ISBLANK(A86),"","OV"&amp;COUNTA($A$70:A86))</f>
        <v/>
      </c>
      <c r="C86" s="16" t="s">
        <v>112</v>
      </c>
      <c r="D86" s="50"/>
      <c r="E86" s="50"/>
      <c r="F86" s="4">
        <f>F69</f>
        <v>2023</v>
      </c>
      <c r="G86" s="4">
        <f>F86+1</f>
        <v>2024</v>
      </c>
      <c r="H86" s="4">
        <f>G86+1</f>
        <v>2025</v>
      </c>
      <c r="I86" s="4">
        <f>H86+1</f>
        <v>2026</v>
      </c>
      <c r="K86" s="38"/>
    </row>
    <row r="87" spans="1:11" s="38" customFormat="1" ht="14.25" customHeight="1" x14ac:dyDescent="0.25">
      <c r="A87" s="78" t="s">
        <v>81</v>
      </c>
      <c r="B87" s="78" t="str">
        <f>IF(ISBLANK(A87),"","OV"&amp;COUNTA($A$70:A87))</f>
        <v>OV17</v>
      </c>
      <c r="C87" s="480" t="s">
        <v>113</v>
      </c>
      <c r="D87" s="79" t="s">
        <v>83</v>
      </c>
      <c r="E87" s="79" t="s">
        <v>84</v>
      </c>
      <c r="F87" s="481">
        <v>44600</v>
      </c>
      <c r="G87" s="481">
        <v>44600</v>
      </c>
      <c r="H87" s="481">
        <v>44600</v>
      </c>
      <c r="I87" s="481">
        <v>44600</v>
      </c>
      <c r="J87" s="144"/>
    </row>
    <row r="88" spans="1:11" s="38" customFormat="1" x14ac:dyDescent="0.25">
      <c r="A88" s="78" t="s">
        <v>81</v>
      </c>
      <c r="B88" s="78" t="str">
        <f>IF(ISBLANK(A88),"","OV"&amp;COUNTA($A$70:A88))</f>
        <v>OV18</v>
      </c>
      <c r="C88" s="480" t="s">
        <v>114</v>
      </c>
      <c r="D88" s="79" t="s">
        <v>91</v>
      </c>
      <c r="E88" s="79" t="s">
        <v>24</v>
      </c>
      <c r="F88" s="481">
        <v>2600</v>
      </c>
      <c r="G88" s="481">
        <v>5200</v>
      </c>
      <c r="H88" s="481">
        <v>5200</v>
      </c>
      <c r="I88" s="481">
        <v>5200</v>
      </c>
      <c r="J88" s="144"/>
    </row>
    <row r="89" spans="1:11" s="38" customFormat="1" x14ac:dyDescent="0.25">
      <c r="A89" s="78" t="s">
        <v>81</v>
      </c>
      <c r="B89" s="78" t="str">
        <f>IF(ISBLANK(A89),"","OV"&amp;COUNTA($A$70:A89))</f>
        <v>OV19</v>
      </c>
      <c r="C89" s="480" t="s">
        <v>115</v>
      </c>
      <c r="D89" s="79" t="s">
        <v>91</v>
      </c>
      <c r="E89" s="79" t="s">
        <v>24</v>
      </c>
      <c r="F89" s="633">
        <v>1567</v>
      </c>
      <c r="G89" s="633">
        <v>1567</v>
      </c>
      <c r="H89" s="633">
        <v>1567</v>
      </c>
      <c r="I89" s="633">
        <v>1567</v>
      </c>
      <c r="J89" s="144"/>
    </row>
    <row r="90" spans="1:11" s="38" customFormat="1" x14ac:dyDescent="0.25">
      <c r="A90" s="78" t="s">
        <v>81</v>
      </c>
      <c r="B90" s="78" t="str">
        <f>IF(ISBLANK(A90),"","OV"&amp;COUNTA($A$70:A90))</f>
        <v>OV20</v>
      </c>
      <c r="C90" s="569" t="s">
        <v>116</v>
      </c>
      <c r="D90" s="577" t="s">
        <v>91</v>
      </c>
      <c r="E90" s="573" t="s">
        <v>24</v>
      </c>
      <c r="F90" s="572">
        <v>1600</v>
      </c>
      <c r="G90" s="572">
        <v>1600</v>
      </c>
      <c r="H90" s="572"/>
      <c r="I90" s="572"/>
      <c r="J90" s="144"/>
    </row>
    <row r="91" spans="1:11" s="38" customFormat="1" ht="30" x14ac:dyDescent="0.25">
      <c r="A91" s="78"/>
      <c r="B91" s="78" t="str">
        <f>IF(ISBLANK(A91),"","OV"&amp;COUNTA($A$70:A91))</f>
        <v/>
      </c>
      <c r="C91" s="82" t="s">
        <v>117</v>
      </c>
      <c r="D91" s="96"/>
      <c r="E91" s="71"/>
      <c r="F91" s="4">
        <f>F86</f>
        <v>2023</v>
      </c>
      <c r="G91" s="4">
        <f>F91+1</f>
        <v>2024</v>
      </c>
      <c r="H91" s="4">
        <f>G91+1</f>
        <v>2025</v>
      </c>
      <c r="I91" s="4">
        <f>H91+1</f>
        <v>2026</v>
      </c>
    </row>
    <row r="92" spans="1:11" s="38" customFormat="1" x14ac:dyDescent="0.25">
      <c r="A92" s="78" t="s">
        <v>81</v>
      </c>
      <c r="B92" s="78" t="str">
        <f>IF(ISBLANK(A92),"","OV"&amp;COUNTA($A$70:A92))</f>
        <v>OV21</v>
      </c>
      <c r="C92" s="245" t="s">
        <v>118</v>
      </c>
      <c r="D92" s="72" t="s">
        <v>83</v>
      </c>
      <c r="E92" s="79" t="s">
        <v>84</v>
      </c>
      <c r="F92" s="217">
        <v>5500</v>
      </c>
      <c r="G92" s="217">
        <v>0</v>
      </c>
      <c r="H92" s="217">
        <v>0</v>
      </c>
      <c r="I92" s="217">
        <v>0</v>
      </c>
    </row>
    <row r="93" spans="1:11" s="38" customFormat="1" ht="25.5" x14ac:dyDescent="0.25">
      <c r="A93" s="78" t="s">
        <v>81</v>
      </c>
      <c r="B93" s="78" t="str">
        <f>IF(ISBLANK(A93),"","OV"&amp;COUNTA($A$70:A93))</f>
        <v>OV22</v>
      </c>
      <c r="C93" s="245" t="s">
        <v>119</v>
      </c>
      <c r="D93" s="72" t="s">
        <v>89</v>
      </c>
      <c r="E93" s="111" t="s">
        <v>84</v>
      </c>
      <c r="F93" s="217">
        <v>5500</v>
      </c>
      <c r="G93" s="217">
        <v>0</v>
      </c>
      <c r="H93" s="217">
        <v>0</v>
      </c>
      <c r="I93" s="217">
        <v>0</v>
      </c>
    </row>
    <row r="94" spans="1:11" s="38" customFormat="1" x14ac:dyDescent="0.25">
      <c r="A94" s="78" t="s">
        <v>81</v>
      </c>
      <c r="B94" s="78" t="str">
        <f>IF(ISBLANK(A94),"","OV"&amp;COUNTA($A$70:A94))</f>
        <v>OV23</v>
      </c>
      <c r="C94" s="245" t="s">
        <v>120</v>
      </c>
      <c r="D94" s="72" t="s">
        <v>89</v>
      </c>
      <c r="E94" s="111" t="s">
        <v>84</v>
      </c>
      <c r="F94" s="217">
        <v>0</v>
      </c>
      <c r="G94" s="217">
        <v>4000</v>
      </c>
      <c r="H94" s="217">
        <v>4000</v>
      </c>
      <c r="I94" s="217">
        <v>4000</v>
      </c>
    </row>
    <row r="95" spans="1:11" s="38" customFormat="1" x14ac:dyDescent="0.25">
      <c r="A95" s="78" t="s">
        <v>81</v>
      </c>
      <c r="B95" s="78" t="str">
        <f>IF(ISBLANK(A95),"","OV"&amp;COUNTA($A$70:A95))</f>
        <v>OV24</v>
      </c>
      <c r="C95" s="245" t="s">
        <v>121</v>
      </c>
      <c r="D95" s="72" t="s">
        <v>83</v>
      </c>
      <c r="E95" s="111" t="s">
        <v>84</v>
      </c>
      <c r="F95" s="217">
        <v>-11000</v>
      </c>
      <c r="G95" s="217">
        <v>0</v>
      </c>
      <c r="H95" s="217">
        <v>0</v>
      </c>
      <c r="I95" s="217">
        <v>0</v>
      </c>
      <c r="J95" s="609"/>
    </row>
    <row r="96" spans="1:11" s="38" customFormat="1" x14ac:dyDescent="0.25">
      <c r="A96" s="78" t="s">
        <v>81</v>
      </c>
      <c r="B96" s="78" t="str">
        <f>IF(ISBLANK(A96),"","OV"&amp;COUNTA($A$70:A96))</f>
        <v>OV25</v>
      </c>
      <c r="C96" s="245" t="s">
        <v>122</v>
      </c>
      <c r="D96" s="72" t="s">
        <v>91</v>
      </c>
      <c r="E96" s="111" t="s">
        <v>24</v>
      </c>
      <c r="F96" s="217">
        <v>3200</v>
      </c>
      <c r="G96" s="217">
        <v>3200</v>
      </c>
      <c r="H96" s="217">
        <v>3200</v>
      </c>
      <c r="I96" s="217">
        <v>3200</v>
      </c>
    </row>
    <row r="97" spans="1:9" s="38" customFormat="1" x14ac:dyDescent="0.25">
      <c r="A97" s="78" t="s">
        <v>81</v>
      </c>
      <c r="B97" s="78" t="str">
        <f>IF(ISBLANK(A97),"","OV"&amp;COUNTA($A$70:A97))</f>
        <v>OV26</v>
      </c>
      <c r="C97" s="245" t="s">
        <v>123</v>
      </c>
      <c r="D97" s="72" t="s">
        <v>91</v>
      </c>
      <c r="E97" s="111" t="s">
        <v>24</v>
      </c>
      <c r="F97" s="217">
        <v>3700</v>
      </c>
      <c r="G97" s="217">
        <v>3700</v>
      </c>
      <c r="H97" s="217">
        <v>3700</v>
      </c>
      <c r="I97" s="217">
        <v>3700</v>
      </c>
    </row>
    <row r="98" spans="1:9" s="38" customFormat="1" x14ac:dyDescent="0.25">
      <c r="A98" s="78" t="s">
        <v>81</v>
      </c>
      <c r="B98" s="78" t="str">
        <f>IF(ISBLANK(A98),"","OV"&amp;COUNTA($A$70:A98))</f>
        <v>OV27</v>
      </c>
      <c r="C98" s="569" t="s">
        <v>124</v>
      </c>
      <c r="D98" s="570" t="s">
        <v>91</v>
      </c>
      <c r="E98" s="571" t="s">
        <v>24</v>
      </c>
      <c r="F98" s="575">
        <v>300</v>
      </c>
      <c r="G98" s="575">
        <v>300</v>
      </c>
      <c r="H98" s="575"/>
      <c r="I98" s="575"/>
    </row>
    <row r="99" spans="1:9" s="38" customFormat="1" x14ac:dyDescent="0.25">
      <c r="A99" s="78" t="s">
        <v>81</v>
      </c>
      <c r="B99" s="78" t="str">
        <f>IF(ISBLANK(A99),"","OV"&amp;COUNTA($A$70:A99))</f>
        <v>OV28</v>
      </c>
      <c r="C99" s="569" t="s">
        <v>125</v>
      </c>
      <c r="D99" s="570" t="s">
        <v>91</v>
      </c>
      <c r="E99" s="571" t="s">
        <v>24</v>
      </c>
      <c r="F99" s="575">
        <v>3200</v>
      </c>
      <c r="G99" s="575">
        <v>3200</v>
      </c>
      <c r="H99" s="575"/>
      <c r="I99" s="575"/>
    </row>
    <row r="100" spans="1:9" s="38" customFormat="1" x14ac:dyDescent="0.25">
      <c r="A100" s="78" t="s">
        <v>81</v>
      </c>
      <c r="B100" s="78" t="str">
        <f>IF(ISBLANK(A100),"","OV"&amp;COUNTA($A$70:A100))</f>
        <v>OV29</v>
      </c>
      <c r="C100" s="569" t="s">
        <v>126</v>
      </c>
      <c r="D100" s="570" t="s">
        <v>91</v>
      </c>
      <c r="E100" s="571" t="s">
        <v>24</v>
      </c>
      <c r="F100" s="575">
        <v>2400</v>
      </c>
      <c r="G100" s="575">
        <v>2400</v>
      </c>
      <c r="H100" s="575"/>
      <c r="I100" s="575"/>
    </row>
    <row r="101" spans="1:9" s="38" customFormat="1" x14ac:dyDescent="0.25">
      <c r="A101" s="43"/>
      <c r="B101" s="43" t="s">
        <v>127</v>
      </c>
      <c r="C101" s="3" t="s">
        <v>128</v>
      </c>
      <c r="D101" s="52"/>
      <c r="E101" s="52"/>
      <c r="F101" s="56">
        <f>SUMIF($A:$A,"OPP",F:F)</f>
        <v>114137</v>
      </c>
      <c r="G101" s="56">
        <f>SUMIF($A:$A,"OPP",G:G)</f>
        <v>123465</v>
      </c>
      <c r="H101" s="56">
        <f>SUMIF($A:$A,"OPP",H:H)</f>
        <v>110633</v>
      </c>
      <c r="I101" s="56">
        <f>SUMIF($A:$A,"OPP",I:I)</f>
        <v>109785</v>
      </c>
    </row>
    <row r="102" spans="1:9" s="38" customFormat="1" x14ac:dyDescent="0.25">
      <c r="A102" s="47"/>
      <c r="B102" s="78"/>
      <c r="C102" s="11"/>
      <c r="D102" s="49"/>
      <c r="E102" s="49"/>
      <c r="F102" s="57"/>
      <c r="G102" s="57"/>
      <c r="H102" s="57"/>
      <c r="I102" s="57"/>
    </row>
    <row r="103" spans="1:9" s="38" customFormat="1" x14ac:dyDescent="0.25">
      <c r="A103" s="48"/>
      <c r="B103" s="78"/>
      <c r="C103" s="13" t="s">
        <v>129</v>
      </c>
      <c r="D103" s="50"/>
      <c r="E103" s="61"/>
      <c r="F103" s="58"/>
      <c r="G103" s="58"/>
      <c r="H103" s="58"/>
      <c r="I103" s="58"/>
    </row>
    <row r="104" spans="1:9" s="38" customFormat="1" x14ac:dyDescent="0.25">
      <c r="A104" s="78"/>
      <c r="B104" s="78" t="str">
        <f>IF(ISBLANK(A104),"","H"&amp;COUNTA($A$104:A104))</f>
        <v/>
      </c>
      <c r="C104" s="82" t="s">
        <v>136</v>
      </c>
      <c r="D104" s="72"/>
      <c r="E104" s="71"/>
      <c r="F104" s="4">
        <f>F91</f>
        <v>2023</v>
      </c>
      <c r="G104" s="4">
        <f>F104+1</f>
        <v>2024</v>
      </c>
      <c r="H104" s="4">
        <f>G104+1</f>
        <v>2025</v>
      </c>
      <c r="I104" s="4">
        <f>H104+1</f>
        <v>2026</v>
      </c>
    </row>
    <row r="105" spans="1:9" s="38" customFormat="1" x14ac:dyDescent="0.25">
      <c r="A105" s="78" t="s">
        <v>131</v>
      </c>
      <c r="B105" s="78" t="str">
        <f>IF(ISBLANK(A105),"","H"&amp;COUNTA($A$104:A105))</f>
        <v>H1</v>
      </c>
      <c r="C105" s="245" t="s">
        <v>137</v>
      </c>
      <c r="D105" s="72" t="s">
        <v>89</v>
      </c>
      <c r="E105" s="71" t="s">
        <v>84</v>
      </c>
      <c r="F105" s="70">
        <v>2500</v>
      </c>
      <c r="G105" s="70">
        <v>5000</v>
      </c>
      <c r="H105" s="70">
        <v>7500</v>
      </c>
      <c r="I105" s="70">
        <v>10000</v>
      </c>
    </row>
    <row r="106" spans="1:9" s="38" customFormat="1" x14ac:dyDescent="0.25">
      <c r="A106" s="78"/>
      <c r="B106" s="78"/>
      <c r="C106" s="245"/>
      <c r="D106" s="72"/>
      <c r="E106" s="71"/>
      <c r="F106" s="217"/>
      <c r="G106" s="217"/>
      <c r="H106" s="217"/>
      <c r="I106" s="217"/>
    </row>
    <row r="107" spans="1:9" s="38" customFormat="1" x14ac:dyDescent="0.25">
      <c r="A107" s="341"/>
      <c r="B107" s="78" t="str">
        <f>IF(ISBLANK(A107),"","H"&amp;COUNTA($A$104:A107))</f>
        <v/>
      </c>
      <c r="C107" s="82" t="s">
        <v>142</v>
      </c>
      <c r="D107" s="83"/>
      <c r="E107" s="71"/>
      <c r="F107" s="4">
        <f>F104</f>
        <v>2023</v>
      </c>
      <c r="G107" s="4">
        <f>F107+1</f>
        <v>2024</v>
      </c>
      <c r="H107" s="4">
        <f>G107+1</f>
        <v>2025</v>
      </c>
      <c r="I107" s="4">
        <f>H107+1</f>
        <v>2026</v>
      </c>
    </row>
    <row r="108" spans="1:9" s="38" customFormat="1" x14ac:dyDescent="0.25">
      <c r="A108" s="78" t="s">
        <v>131</v>
      </c>
      <c r="B108" s="78" t="str">
        <f>IF(ISBLANK(A108),"","H"&amp;COUNTA($A$104:A108))</f>
        <v>H2</v>
      </c>
      <c r="C108" s="245" t="s">
        <v>143</v>
      </c>
      <c r="D108" s="72" t="s">
        <v>89</v>
      </c>
      <c r="E108" s="71" t="s">
        <v>84</v>
      </c>
      <c r="F108" s="70">
        <v>-300</v>
      </c>
      <c r="G108" s="70">
        <v>-900</v>
      </c>
      <c r="H108" s="70">
        <v>-1500</v>
      </c>
      <c r="I108" s="70">
        <v>-1500</v>
      </c>
    </row>
    <row r="109" spans="1:9" s="38" customFormat="1" x14ac:dyDescent="0.25">
      <c r="A109" s="78" t="s">
        <v>131</v>
      </c>
      <c r="B109" s="78" t="str">
        <f>IF(ISBLANK(A109),"","H"&amp;COUNTA($A$104:A109))</f>
        <v>H3</v>
      </c>
      <c r="C109" s="245" t="s">
        <v>144</v>
      </c>
      <c r="D109" s="72" t="s">
        <v>83</v>
      </c>
      <c r="E109" s="71" t="s">
        <v>84</v>
      </c>
      <c r="F109" s="217">
        <v>-27256</v>
      </c>
      <c r="G109" s="217">
        <v>-27256</v>
      </c>
      <c r="H109" s="217">
        <v>-27256</v>
      </c>
      <c r="I109" s="217">
        <v>-27256</v>
      </c>
    </row>
    <row r="110" spans="1:9" s="38" customFormat="1" x14ac:dyDescent="0.25">
      <c r="A110" s="78" t="s">
        <v>131</v>
      </c>
      <c r="B110" s="78" t="str">
        <f>IF(ISBLANK(A110),"","H"&amp;COUNTA($A$104:A110))</f>
        <v>H4</v>
      </c>
      <c r="C110" s="245" t="s">
        <v>145</v>
      </c>
      <c r="D110" s="72" t="s">
        <v>91</v>
      </c>
      <c r="E110" s="71" t="s">
        <v>24</v>
      </c>
      <c r="F110" s="217">
        <v>27256</v>
      </c>
      <c r="G110" s="217">
        <v>27256</v>
      </c>
      <c r="H110" s="217">
        <v>27256</v>
      </c>
      <c r="I110" s="217">
        <v>27256</v>
      </c>
    </row>
    <row r="111" spans="1:9" s="38" customFormat="1" x14ac:dyDescent="0.25">
      <c r="A111" s="78" t="s">
        <v>131</v>
      </c>
      <c r="B111" s="78" t="str">
        <f>IF(ISBLANK(A111),"","H"&amp;COUNTA($A$104:A111))</f>
        <v>H5</v>
      </c>
      <c r="C111" s="245" t="s">
        <v>146</v>
      </c>
      <c r="D111" s="72" t="s">
        <v>91</v>
      </c>
      <c r="E111" s="71" t="s">
        <v>24</v>
      </c>
      <c r="F111" s="217">
        <v>15000</v>
      </c>
      <c r="G111" s="217">
        <v>15000</v>
      </c>
      <c r="H111" s="217">
        <v>15000</v>
      </c>
      <c r="I111" s="217">
        <v>15000</v>
      </c>
    </row>
    <row r="112" spans="1:9" s="38" customFormat="1" x14ac:dyDescent="0.25">
      <c r="A112" s="78" t="s">
        <v>131</v>
      </c>
      <c r="B112" s="78" t="str">
        <f>IF(ISBLANK(A112),"","H"&amp;COUNTA($A$104:A112))</f>
        <v>H6</v>
      </c>
      <c r="C112" s="245" t="s">
        <v>147</v>
      </c>
      <c r="D112" s="72" t="s">
        <v>91</v>
      </c>
      <c r="E112" s="71" t="s">
        <v>24</v>
      </c>
      <c r="F112" s="70">
        <v>5000</v>
      </c>
      <c r="G112" s="217">
        <f>F112</f>
        <v>5000</v>
      </c>
      <c r="H112" s="217">
        <f>G112</f>
        <v>5000</v>
      </c>
      <c r="I112" s="217">
        <f>H112</f>
        <v>5000</v>
      </c>
    </row>
    <row r="113" spans="1:10" s="38" customFormat="1" x14ac:dyDescent="0.25">
      <c r="A113" s="78" t="s">
        <v>131</v>
      </c>
      <c r="B113" s="78" t="str">
        <f>IF(ISBLANK(A113),"","H"&amp;COUNTA($A$104:A113))</f>
        <v>H7</v>
      </c>
      <c r="C113" s="396" t="s">
        <v>148</v>
      </c>
      <c r="D113" s="72" t="s">
        <v>91</v>
      </c>
      <c r="E113" s="71" t="s">
        <v>24</v>
      </c>
      <c r="F113" s="217">
        <v>10000</v>
      </c>
      <c r="G113" s="217">
        <v>10000</v>
      </c>
      <c r="H113" s="217">
        <v>10000</v>
      </c>
      <c r="I113" s="217">
        <v>10000</v>
      </c>
    </row>
    <row r="114" spans="1:10" s="38" customFormat="1" x14ac:dyDescent="0.25">
      <c r="A114" s="78" t="s">
        <v>131</v>
      </c>
      <c r="B114" s="78" t="str">
        <f>IF(ISBLANK(A114),"","H"&amp;COUNTA($A$104:A114))</f>
        <v>H8</v>
      </c>
      <c r="C114" s="582" t="s">
        <v>149</v>
      </c>
      <c r="D114" s="72" t="s">
        <v>91</v>
      </c>
      <c r="E114" s="71" t="s">
        <v>24</v>
      </c>
      <c r="F114" s="217">
        <v>700</v>
      </c>
      <c r="G114" s="217">
        <v>700</v>
      </c>
      <c r="H114" s="217">
        <v>700</v>
      </c>
      <c r="I114" s="217">
        <v>700</v>
      </c>
    </row>
    <row r="115" spans="1:10" s="38" customFormat="1" x14ac:dyDescent="0.25">
      <c r="A115" s="78" t="s">
        <v>131</v>
      </c>
      <c r="B115" s="78" t="str">
        <f>IF(ISBLANK(A115),"","H"&amp;COUNTA($A$104:A115))</f>
        <v>H9</v>
      </c>
      <c r="C115" s="582" t="s">
        <v>150</v>
      </c>
      <c r="D115" s="72" t="s">
        <v>91</v>
      </c>
      <c r="E115" s="71" t="s">
        <v>24</v>
      </c>
      <c r="F115" s="217">
        <v>1000</v>
      </c>
      <c r="G115" s="217">
        <f>F115</f>
        <v>1000</v>
      </c>
      <c r="H115" s="217">
        <f>G115</f>
        <v>1000</v>
      </c>
      <c r="I115" s="217">
        <f>H115</f>
        <v>1000</v>
      </c>
    </row>
    <row r="116" spans="1:10" s="38" customFormat="1" x14ac:dyDescent="0.25">
      <c r="A116" s="78" t="s">
        <v>131</v>
      </c>
      <c r="B116" s="78" t="str">
        <f>IF(ISBLANK(A116),"","H"&amp;COUNTA($A$104:A116))</f>
        <v>H10</v>
      </c>
      <c r="C116" s="584" t="s">
        <v>151</v>
      </c>
      <c r="D116" s="72" t="s">
        <v>91</v>
      </c>
      <c r="E116" s="71" t="s">
        <v>24</v>
      </c>
      <c r="F116" s="217">
        <v>1100</v>
      </c>
      <c r="G116" s="217">
        <v>1100</v>
      </c>
      <c r="H116" s="217">
        <v>1100</v>
      </c>
      <c r="I116" s="217">
        <v>1100</v>
      </c>
    </row>
    <row r="117" spans="1:10" s="38" customFormat="1" x14ac:dyDescent="0.25">
      <c r="A117" s="78" t="s">
        <v>131</v>
      </c>
      <c r="B117" s="78" t="str">
        <f>IF(ISBLANK(A117),"","H"&amp;COUNTA($A$104:A117))</f>
        <v>H11</v>
      </c>
      <c r="C117" s="584" t="s">
        <v>152</v>
      </c>
      <c r="D117" s="72" t="s">
        <v>91</v>
      </c>
      <c r="E117" s="71" t="s">
        <v>24</v>
      </c>
      <c r="F117" s="217">
        <v>1200</v>
      </c>
      <c r="G117" s="217">
        <v>1200</v>
      </c>
      <c r="H117" s="217">
        <v>1200</v>
      </c>
      <c r="I117" s="217">
        <v>1200</v>
      </c>
    </row>
    <row r="118" spans="1:10" s="38" customFormat="1" ht="25.5" x14ac:dyDescent="0.25">
      <c r="A118" s="78" t="s">
        <v>131</v>
      </c>
      <c r="B118" s="78" t="str">
        <f>IF(ISBLANK(A118),"","H"&amp;COUNTA($A$104:A118))</f>
        <v>H12</v>
      </c>
      <c r="C118" s="582" t="s">
        <v>153</v>
      </c>
      <c r="D118" s="72" t="s">
        <v>91</v>
      </c>
      <c r="E118" s="71" t="s">
        <v>24</v>
      </c>
      <c r="F118" s="217">
        <v>-4000</v>
      </c>
      <c r="G118" s="217">
        <v>-4000</v>
      </c>
      <c r="H118" s="217">
        <v>-4000</v>
      </c>
      <c r="I118" s="217">
        <v>-4000</v>
      </c>
    </row>
    <row r="119" spans="1:10" s="38" customFormat="1" x14ac:dyDescent="0.25">
      <c r="A119" s="78"/>
      <c r="B119" s="78" t="str">
        <f>IF(ISBLANK(A119),"","H"&amp;COUNTA($A$104:A119))</f>
        <v/>
      </c>
      <c r="C119" s="82" t="s">
        <v>156</v>
      </c>
      <c r="D119" s="72"/>
      <c r="E119" s="71"/>
      <c r="F119" s="4">
        <f>F107</f>
        <v>2023</v>
      </c>
      <c r="G119" s="4">
        <f>F119+1</f>
        <v>2024</v>
      </c>
      <c r="H119" s="4">
        <f>G119+1</f>
        <v>2025</v>
      </c>
      <c r="I119" s="4">
        <f>H119+1</f>
        <v>2026</v>
      </c>
    </row>
    <row r="120" spans="1:10" s="38" customFormat="1" ht="25.5" x14ac:dyDescent="0.25">
      <c r="A120" s="78" t="s">
        <v>131</v>
      </c>
      <c r="B120" s="78" t="str">
        <f>IF(ISBLANK(A120),"","H"&amp;COUNTA($A$104:A120))</f>
        <v>H13</v>
      </c>
      <c r="C120" s="245" t="s">
        <v>157</v>
      </c>
      <c r="D120" s="72" t="s">
        <v>83</v>
      </c>
      <c r="E120" s="71" t="s">
        <v>84</v>
      </c>
      <c r="F120" s="217">
        <v>1200</v>
      </c>
      <c r="G120" s="217">
        <v>1700</v>
      </c>
      <c r="H120" s="217">
        <v>2100</v>
      </c>
      <c r="I120" s="217">
        <v>2500</v>
      </c>
      <c r="J120" s="293"/>
    </row>
    <row r="121" spans="1:10" s="38" customFormat="1" x14ac:dyDescent="0.25">
      <c r="A121" s="78" t="s">
        <v>131</v>
      </c>
      <c r="B121" s="78" t="str">
        <f>IF(ISBLANK(A121),"","H"&amp;COUNTA($A$104:A121))</f>
        <v>H14</v>
      </c>
      <c r="C121" s="480" t="s">
        <v>158</v>
      </c>
      <c r="D121" s="72" t="s">
        <v>91</v>
      </c>
      <c r="E121" s="71" t="s">
        <v>24</v>
      </c>
      <c r="F121" s="398">
        <v>6550</v>
      </c>
      <c r="G121" s="398">
        <v>9800</v>
      </c>
      <c r="H121" s="398">
        <v>9800</v>
      </c>
      <c r="I121" s="398">
        <v>9800</v>
      </c>
      <c r="J121" s="293"/>
    </row>
    <row r="122" spans="1:10" s="38" customFormat="1" x14ac:dyDescent="0.25">
      <c r="A122" s="78" t="s">
        <v>131</v>
      </c>
      <c r="B122" s="78" t="str">
        <f>IF(ISBLANK(A122),"","H"&amp;COUNTA($A$104:A122))</f>
        <v>H15</v>
      </c>
      <c r="C122" s="245" t="s">
        <v>159</v>
      </c>
      <c r="D122" s="72" t="s">
        <v>91</v>
      </c>
      <c r="E122" s="71" t="s">
        <v>24</v>
      </c>
      <c r="F122" s="217">
        <v>600</v>
      </c>
      <c r="G122" s="217">
        <f>F122</f>
        <v>600</v>
      </c>
      <c r="H122" s="217">
        <f>G122</f>
        <v>600</v>
      </c>
      <c r="I122" s="217">
        <f>H122</f>
        <v>600</v>
      </c>
      <c r="J122" s="144"/>
    </row>
    <row r="123" spans="1:10" s="38" customFormat="1" x14ac:dyDescent="0.25">
      <c r="A123" s="78" t="s">
        <v>131</v>
      </c>
      <c r="B123" s="78" t="str">
        <f>IF(ISBLANK(A123),"","H"&amp;COUNTA($A$104:A123))</f>
        <v>H16</v>
      </c>
      <c r="C123" s="245" t="s">
        <v>160</v>
      </c>
      <c r="D123" s="72" t="s">
        <v>91</v>
      </c>
      <c r="E123" s="71" t="s">
        <v>24</v>
      </c>
      <c r="F123" s="70">
        <f>1530-609</f>
        <v>921</v>
      </c>
      <c r="G123" s="70">
        <f>1530-609</f>
        <v>921</v>
      </c>
      <c r="H123" s="70">
        <f>1530-609</f>
        <v>921</v>
      </c>
      <c r="I123" s="70">
        <f>1530-609</f>
        <v>921</v>
      </c>
    </row>
    <row r="124" spans="1:10" s="38" customFormat="1" x14ac:dyDescent="0.25">
      <c r="A124" s="78" t="s">
        <v>131</v>
      </c>
      <c r="B124" s="78" t="str">
        <f>IF(ISBLANK(A124),"","H"&amp;COUNTA($A$104:A124))</f>
        <v>H17</v>
      </c>
      <c r="C124" s="480" t="s">
        <v>161</v>
      </c>
      <c r="D124" s="72" t="s">
        <v>91</v>
      </c>
      <c r="E124" s="71" t="s">
        <v>24</v>
      </c>
      <c r="F124" s="421">
        <v>1700</v>
      </c>
      <c r="G124" s="421">
        <v>1700</v>
      </c>
      <c r="H124" s="70">
        <v>1700</v>
      </c>
      <c r="I124" s="70">
        <v>1700</v>
      </c>
      <c r="J124" s="293"/>
    </row>
    <row r="125" spans="1:10" s="38" customFormat="1" x14ac:dyDescent="0.25">
      <c r="A125" s="78" t="s">
        <v>131</v>
      </c>
      <c r="B125" s="78" t="str">
        <f>IF(ISBLANK(A125),"","H"&amp;COUNTA($A$104:A125))</f>
        <v>H18</v>
      </c>
      <c r="C125" s="245" t="s">
        <v>162</v>
      </c>
      <c r="D125" s="72" t="s">
        <v>91</v>
      </c>
      <c r="E125" s="71" t="s">
        <v>24</v>
      </c>
      <c r="F125" s="217">
        <v>5000</v>
      </c>
      <c r="G125" s="217">
        <v>5000</v>
      </c>
      <c r="H125" s="217">
        <v>5000</v>
      </c>
      <c r="I125" s="217">
        <v>5000</v>
      </c>
      <c r="J125" s="293"/>
    </row>
    <row r="126" spans="1:10" s="38" customFormat="1" x14ac:dyDescent="0.25">
      <c r="A126" s="78" t="s">
        <v>131</v>
      </c>
      <c r="B126" s="78" t="str">
        <f>IF(ISBLANK(A126),"","H"&amp;COUNTA($A$104:A126))</f>
        <v>H19</v>
      </c>
      <c r="C126" s="245" t="s">
        <v>163</v>
      </c>
      <c r="D126" s="72" t="s">
        <v>91</v>
      </c>
      <c r="E126" s="71" t="s">
        <v>24</v>
      </c>
      <c r="F126" s="217">
        <v>3000</v>
      </c>
      <c r="G126" s="217">
        <v>3000</v>
      </c>
      <c r="H126" s="217">
        <v>3000</v>
      </c>
      <c r="I126" s="217">
        <v>3000</v>
      </c>
      <c r="J126" s="293"/>
    </row>
    <row r="127" spans="1:10" s="38" customFormat="1" x14ac:dyDescent="0.25">
      <c r="A127" s="78" t="s">
        <v>131</v>
      </c>
      <c r="B127" s="78" t="str">
        <f>IF(ISBLANK(A127),"","H"&amp;COUNTA($A$104:A127))</f>
        <v>H20</v>
      </c>
      <c r="C127" s="245" t="s">
        <v>164</v>
      </c>
      <c r="D127" s="72" t="s">
        <v>91</v>
      </c>
      <c r="E127" s="71" t="s">
        <v>24</v>
      </c>
      <c r="F127" s="217">
        <v>3000</v>
      </c>
      <c r="G127" s="217"/>
      <c r="H127" s="217"/>
      <c r="I127" s="217"/>
      <c r="J127" s="293"/>
    </row>
    <row r="128" spans="1:10" s="38" customFormat="1" x14ac:dyDescent="0.25">
      <c r="A128" s="78" t="s">
        <v>131</v>
      </c>
      <c r="B128" s="78" t="str">
        <f>IF(ISBLANK(A128),"","H"&amp;COUNTA($A$104:A128))</f>
        <v>H21</v>
      </c>
      <c r="C128" s="245" t="s">
        <v>165</v>
      </c>
      <c r="D128" s="72" t="s">
        <v>91</v>
      </c>
      <c r="E128" s="71" t="s">
        <v>24</v>
      </c>
      <c r="F128" s="217">
        <v>6100</v>
      </c>
      <c r="G128" s="217">
        <v>6100</v>
      </c>
      <c r="H128" s="217">
        <v>6100</v>
      </c>
      <c r="I128" s="217">
        <v>6100</v>
      </c>
      <c r="J128" s="293"/>
    </row>
    <row r="129" spans="1:10" s="38" customFormat="1" x14ac:dyDescent="0.25">
      <c r="A129" s="78"/>
      <c r="B129" s="78" t="str">
        <f>IF(ISBLANK(A129),"","H"&amp;COUNTA($A$104:A129))</f>
        <v/>
      </c>
      <c r="D129" s="83"/>
      <c r="E129" s="71"/>
      <c r="F129" s="4">
        <f>F119</f>
        <v>2023</v>
      </c>
      <c r="G129" s="4">
        <f>F129+1</f>
        <v>2024</v>
      </c>
      <c r="H129" s="4">
        <f>G129+1</f>
        <v>2025</v>
      </c>
      <c r="I129" s="4">
        <f>H129+1</f>
        <v>2026</v>
      </c>
    </row>
    <row r="130" spans="1:10" s="38" customFormat="1" x14ac:dyDescent="0.25">
      <c r="A130" s="78"/>
      <c r="B130" s="78"/>
      <c r="C130" s="82" t="s">
        <v>172</v>
      </c>
      <c r="D130" s="83"/>
      <c r="E130" s="71"/>
      <c r="F130" s="4"/>
      <c r="G130" s="4"/>
      <c r="H130" s="4"/>
      <c r="I130" s="4"/>
    </row>
    <row r="131" spans="1:10" s="38" customFormat="1" x14ac:dyDescent="0.25">
      <c r="A131" s="78" t="s">
        <v>131</v>
      </c>
      <c r="B131" s="78" t="str">
        <f>IF(ISBLANK(A131),"","H"&amp;COUNTA($A$104:A131))</f>
        <v>H22</v>
      </c>
      <c r="C131" s="245" t="s">
        <v>173</v>
      </c>
      <c r="D131" s="72" t="s">
        <v>83</v>
      </c>
      <c r="E131" s="71" t="s">
        <v>84</v>
      </c>
      <c r="F131" s="575">
        <v>-6879</v>
      </c>
      <c r="G131" s="575">
        <v>-5056</v>
      </c>
      <c r="H131" s="575">
        <v>705</v>
      </c>
      <c r="I131" s="575">
        <v>2528</v>
      </c>
      <c r="J131" s="293"/>
    </row>
    <row r="132" spans="1:10" s="38" customFormat="1" x14ac:dyDescent="0.25">
      <c r="A132" s="78" t="s">
        <v>131</v>
      </c>
      <c r="B132" s="78" t="str">
        <f>IF(ISBLANK(A132),"","H"&amp;COUNTA($A$104:A132))</f>
        <v>H23</v>
      </c>
      <c r="C132" s="245" t="s">
        <v>174</v>
      </c>
      <c r="D132" s="72" t="s">
        <v>83</v>
      </c>
      <c r="E132" s="71" t="s">
        <v>84</v>
      </c>
      <c r="F132" s="575">
        <v>39000</v>
      </c>
      <c r="G132" s="575">
        <v>20000</v>
      </c>
      <c r="H132" s="575">
        <v>5000</v>
      </c>
      <c r="I132" s="575">
        <v>5000</v>
      </c>
      <c r="J132" s="293"/>
    </row>
    <row r="133" spans="1:10" s="38" customFormat="1" x14ac:dyDescent="0.25">
      <c r="A133" s="78" t="s">
        <v>131</v>
      </c>
      <c r="B133" s="78" t="str">
        <f>IF(ISBLANK(A133),"","H"&amp;COUNTA($A$104:A133))</f>
        <v>H24</v>
      </c>
      <c r="C133" s="245" t="s">
        <v>175</v>
      </c>
      <c r="D133" s="72" t="s">
        <v>91</v>
      </c>
      <c r="E133" s="71" t="s">
        <v>24</v>
      </c>
      <c r="F133" s="217">
        <v>18000</v>
      </c>
      <c r="G133" s="217">
        <v>18000</v>
      </c>
      <c r="H133" s="217">
        <v>18000</v>
      </c>
      <c r="I133" s="217">
        <v>18000</v>
      </c>
      <c r="J133" s="293"/>
    </row>
    <row r="134" spans="1:10" s="38" customFormat="1" x14ac:dyDescent="0.25">
      <c r="A134" s="78" t="s">
        <v>131</v>
      </c>
      <c r="B134" s="78" t="str">
        <f>IF(ISBLANK(A134),"","H"&amp;COUNTA($A$104:A134))</f>
        <v>H25</v>
      </c>
      <c r="C134" s="569" t="s">
        <v>176</v>
      </c>
      <c r="D134" s="570" t="s">
        <v>91</v>
      </c>
      <c r="E134" s="573" t="s">
        <v>24</v>
      </c>
      <c r="F134" s="575">
        <v>1400</v>
      </c>
      <c r="G134" s="575">
        <v>1400</v>
      </c>
      <c r="H134" s="575"/>
      <c r="I134" s="575"/>
    </row>
    <row r="135" spans="1:10" s="38" customFormat="1" x14ac:dyDescent="0.25">
      <c r="A135" s="78" t="s">
        <v>131</v>
      </c>
      <c r="B135" s="78" t="str">
        <f>IF(ISBLANK(A135),"","H"&amp;COUNTA($A$104:A135))</f>
        <v>H26</v>
      </c>
      <c r="C135" s="569" t="s">
        <v>177</v>
      </c>
      <c r="D135" s="570" t="s">
        <v>91</v>
      </c>
      <c r="E135" s="573" t="s">
        <v>24</v>
      </c>
      <c r="F135" s="575">
        <v>2700</v>
      </c>
      <c r="G135" s="575">
        <v>2700</v>
      </c>
      <c r="H135" s="575"/>
      <c r="I135" s="575"/>
    </row>
    <row r="136" spans="1:10" s="38" customFormat="1" x14ac:dyDescent="0.25">
      <c r="A136" s="78" t="s">
        <v>131</v>
      </c>
      <c r="B136" s="78" t="str">
        <f>IF(ISBLANK(A136),"","H"&amp;COUNTA($A$104:A136))</f>
        <v>H27</v>
      </c>
      <c r="C136" s="569" t="s">
        <v>178</v>
      </c>
      <c r="D136" s="570" t="s">
        <v>91</v>
      </c>
      <c r="E136" s="573" t="s">
        <v>24</v>
      </c>
      <c r="F136" s="575">
        <f>6400+1000-3200</f>
        <v>4200</v>
      </c>
      <c r="G136" s="575">
        <f>6400+1000-3200</f>
        <v>4200</v>
      </c>
      <c r="H136" s="575"/>
      <c r="I136" s="575"/>
    </row>
    <row r="137" spans="1:10" s="38" customFormat="1" x14ac:dyDescent="0.25">
      <c r="A137" s="78"/>
      <c r="B137" s="78"/>
      <c r="C137" s="245"/>
      <c r="D137" s="72"/>
      <c r="E137" s="71"/>
      <c r="F137" s="546"/>
      <c r="G137" s="546"/>
      <c r="H137" s="546"/>
      <c r="I137" s="546"/>
    </row>
    <row r="138" spans="1:10" s="38" customFormat="1" x14ac:dyDescent="0.25">
      <c r="A138" s="78"/>
      <c r="B138" s="78" t="str">
        <f>IF(ISBLANK(A138),"","H"&amp;COUNTA($A$104:A138))</f>
        <v/>
      </c>
      <c r="C138" s="82" t="s">
        <v>179</v>
      </c>
      <c r="D138" s="83"/>
      <c r="E138" s="71"/>
      <c r="F138" s="4">
        <f>F129</f>
        <v>2023</v>
      </c>
      <c r="G138" s="4">
        <f>F138+1</f>
        <v>2024</v>
      </c>
      <c r="H138" s="4">
        <f>G138+1</f>
        <v>2025</v>
      </c>
      <c r="I138" s="4">
        <f>H138+1</f>
        <v>2026</v>
      </c>
    </row>
    <row r="139" spans="1:10" s="38" customFormat="1" x14ac:dyDescent="0.25">
      <c r="A139" s="78" t="s">
        <v>131</v>
      </c>
      <c r="B139" s="78" t="str">
        <f>IF(ISBLANK(A139),"","H"&amp;COUNTA($A$104:A139))</f>
        <v>H28</v>
      </c>
      <c r="C139" s="245" t="s">
        <v>180</v>
      </c>
      <c r="D139" s="72" t="s">
        <v>89</v>
      </c>
      <c r="E139" s="71" t="s">
        <v>84</v>
      </c>
      <c r="F139" s="70">
        <v>0</v>
      </c>
      <c r="G139" s="70">
        <v>1000</v>
      </c>
      <c r="H139" s="70">
        <v>12000</v>
      </c>
      <c r="I139" s="191">
        <v>12000</v>
      </c>
    </row>
    <row r="140" spans="1:10" s="38" customFormat="1" x14ac:dyDescent="0.25">
      <c r="A140" s="78" t="s">
        <v>131</v>
      </c>
      <c r="B140" s="78" t="str">
        <f>IF(ISBLANK(A140),"","H"&amp;COUNTA($A$104:A140))</f>
        <v>H29</v>
      </c>
      <c r="C140" s="245" t="s">
        <v>181</v>
      </c>
      <c r="D140" s="72" t="s">
        <v>89</v>
      </c>
      <c r="E140" s="71" t="s">
        <v>84</v>
      </c>
      <c r="F140" s="191">
        <v>0</v>
      </c>
      <c r="G140" s="191">
        <v>-4000</v>
      </c>
      <c r="H140" s="191">
        <v>-6000</v>
      </c>
      <c r="I140" s="191">
        <v>-6000</v>
      </c>
    </row>
    <row r="141" spans="1:10" s="38" customFormat="1" x14ac:dyDescent="0.25">
      <c r="A141" s="43"/>
      <c r="B141" s="43" t="s">
        <v>127</v>
      </c>
      <c r="C141" s="3" t="s">
        <v>182</v>
      </c>
      <c r="D141" s="52"/>
      <c r="E141" s="52"/>
      <c r="F141" s="56">
        <f>SUMIF($A:$A,"H&amp;V",F:F)</f>
        <v>118692</v>
      </c>
      <c r="G141" s="56">
        <f>SUMIF($A:$A,"H&amp;V",G:G)</f>
        <v>101165</v>
      </c>
      <c r="H141" s="56">
        <f>SUMIF($A:$A,"H&amp;V",H:H)</f>
        <v>94926</v>
      </c>
      <c r="I141" s="56">
        <f>SUMIF($A:$A,"H&amp;V",I:I)</f>
        <v>99649</v>
      </c>
    </row>
    <row r="142" spans="1:10" s="38" customFormat="1" x14ac:dyDescent="0.25">
      <c r="A142" s="47"/>
      <c r="B142" s="78"/>
      <c r="C142" s="11"/>
      <c r="D142" s="49"/>
      <c r="E142" s="49"/>
      <c r="F142" s="57"/>
      <c r="G142" s="57"/>
      <c r="H142" s="57"/>
      <c r="I142" s="57"/>
    </row>
    <row r="143" spans="1:10" s="38" customFormat="1" x14ac:dyDescent="0.25">
      <c r="A143" s="48"/>
      <c r="B143" s="78"/>
      <c r="C143" s="13" t="s">
        <v>183</v>
      </c>
      <c r="D143" s="50"/>
      <c r="E143" s="61"/>
      <c r="F143" s="58"/>
      <c r="G143" s="58"/>
      <c r="H143" s="58"/>
      <c r="I143" s="58"/>
    </row>
    <row r="144" spans="1:10" s="38" customFormat="1" x14ac:dyDescent="0.25">
      <c r="A144" s="341"/>
      <c r="B144" s="78"/>
      <c r="C144" s="82" t="s">
        <v>184</v>
      </c>
      <c r="D144" s="83"/>
      <c r="E144" s="71"/>
      <c r="F144" s="4">
        <f>F138</f>
        <v>2023</v>
      </c>
      <c r="G144" s="4">
        <f>F144+1</f>
        <v>2024</v>
      </c>
      <c r="H144" s="4">
        <f>G144+1</f>
        <v>2025</v>
      </c>
      <c r="I144" s="4">
        <f>H144+1</f>
        <v>2026</v>
      </c>
    </row>
    <row r="145" spans="1:10" s="38" customFormat="1" x14ac:dyDescent="0.25">
      <c r="A145" s="78"/>
      <c r="B145" s="78"/>
      <c r="C145" s="212"/>
      <c r="D145" s="79"/>
      <c r="E145" s="71"/>
      <c r="F145" s="191"/>
      <c r="G145" s="191"/>
      <c r="H145" s="191"/>
      <c r="I145" s="191"/>
    </row>
    <row r="146" spans="1:10" s="38" customFormat="1" x14ac:dyDescent="0.25">
      <c r="A146" s="78"/>
      <c r="B146" s="78" t="str">
        <f>IF(ISBLANK(A146),"","K"&amp;COUNTA($A$145:A146))</f>
        <v/>
      </c>
      <c r="C146" s="82" t="s">
        <v>185</v>
      </c>
      <c r="D146" s="79"/>
      <c r="E146" s="71"/>
      <c r="F146" s="191"/>
      <c r="G146" s="191"/>
      <c r="H146" s="191"/>
      <c r="I146" s="191"/>
    </row>
    <row r="147" spans="1:10" s="38" customFormat="1" x14ac:dyDescent="0.25">
      <c r="A147" s="78" t="s">
        <v>186</v>
      </c>
      <c r="B147" s="78" t="str">
        <f>IF(ISBLANK(A147),"","K"&amp;COUNTA($A$145:A147))</f>
        <v>K1</v>
      </c>
      <c r="C147" s="213" t="s">
        <v>187</v>
      </c>
      <c r="D147" s="72" t="s">
        <v>89</v>
      </c>
      <c r="E147" s="71" t="s">
        <v>84</v>
      </c>
      <c r="F147" s="70"/>
      <c r="G147" s="70">
        <v>-100</v>
      </c>
      <c r="H147" s="70">
        <v>-100</v>
      </c>
      <c r="I147" s="70">
        <v>-100</v>
      </c>
    </row>
    <row r="148" spans="1:10" s="38" customFormat="1" ht="25.5" x14ac:dyDescent="0.25">
      <c r="A148" s="78" t="s">
        <v>186</v>
      </c>
      <c r="B148" s="78" t="str">
        <f>IF(ISBLANK(A148),"","K"&amp;COUNTA($A$145:A148))</f>
        <v>K2</v>
      </c>
      <c r="C148" s="212" t="s">
        <v>188</v>
      </c>
      <c r="D148" s="72" t="s">
        <v>91</v>
      </c>
      <c r="E148" s="71" t="s">
        <v>24</v>
      </c>
      <c r="F148" s="191">
        <v>750</v>
      </c>
      <c r="G148" s="191">
        <v>750</v>
      </c>
      <c r="H148" s="191">
        <v>750</v>
      </c>
      <c r="I148" s="191">
        <v>750</v>
      </c>
    </row>
    <row r="149" spans="1:10" s="38" customFormat="1" ht="25.5" x14ac:dyDescent="0.2">
      <c r="A149" s="78" t="s">
        <v>186</v>
      </c>
      <c r="B149" s="78" t="str">
        <f>IF(ISBLANK(A149),"","K"&amp;COUNTA($A$145:A149))</f>
        <v>K3</v>
      </c>
      <c r="C149" s="623" t="s">
        <v>189</v>
      </c>
      <c r="D149" s="72" t="s">
        <v>91</v>
      </c>
      <c r="E149" s="71" t="s">
        <v>24</v>
      </c>
      <c r="F149" s="191">
        <v>-750</v>
      </c>
      <c r="G149" s="191">
        <v>-750</v>
      </c>
      <c r="H149" s="191"/>
      <c r="I149" s="191"/>
    </row>
    <row r="150" spans="1:10" s="38" customFormat="1" ht="25.5" x14ac:dyDescent="0.2">
      <c r="A150" s="78" t="s">
        <v>186</v>
      </c>
      <c r="B150" s="78" t="str">
        <f>IF(ISBLANK(A150),"","K"&amp;COUNTA($A$145:A150))</f>
        <v>K4</v>
      </c>
      <c r="C150" s="623" t="s">
        <v>190</v>
      </c>
      <c r="D150" s="72" t="s">
        <v>91</v>
      </c>
      <c r="E150" s="71" t="s">
        <v>24</v>
      </c>
      <c r="F150" s="191">
        <v>136</v>
      </c>
      <c r="G150" s="191">
        <v>136</v>
      </c>
      <c r="H150" s="191">
        <v>136</v>
      </c>
      <c r="I150" s="191">
        <v>136</v>
      </c>
    </row>
    <row r="151" spans="1:10" s="38" customFormat="1" x14ac:dyDescent="0.25">
      <c r="A151" s="43"/>
      <c r="B151" s="43" t="s">
        <v>127</v>
      </c>
      <c r="C151" s="3" t="s">
        <v>203</v>
      </c>
      <c r="D151" s="52"/>
      <c r="E151" s="52"/>
      <c r="F151" s="56">
        <f>SUMIF($A:$A,"KuN",F:F)</f>
        <v>136</v>
      </c>
      <c r="G151" s="56">
        <f>SUMIF($A:$A,"KuN",G:G)</f>
        <v>36</v>
      </c>
      <c r="H151" s="56">
        <f>SUMIF($A:$A,"KuN",H:H)</f>
        <v>786</v>
      </c>
      <c r="I151" s="56">
        <f>SUMIF($A:$A,"KuN",I:I)</f>
        <v>786</v>
      </c>
    </row>
    <row r="152" spans="1:10" s="38" customFormat="1" x14ac:dyDescent="0.25">
      <c r="A152" s="47"/>
      <c r="B152" s="78"/>
      <c r="C152" s="11"/>
      <c r="D152" s="49"/>
      <c r="E152" s="49"/>
      <c r="F152" s="57"/>
      <c r="G152" s="57"/>
      <c r="H152" s="57"/>
      <c r="I152" s="57"/>
    </row>
    <row r="153" spans="1:10" s="38" customFormat="1" x14ac:dyDescent="0.25">
      <c r="A153" s="48"/>
      <c r="B153" s="78"/>
      <c r="C153" s="248" t="s">
        <v>204</v>
      </c>
      <c r="D153" s="83"/>
      <c r="E153" s="71"/>
      <c r="F153" s="4">
        <f>F144</f>
        <v>2023</v>
      </c>
      <c r="G153" s="4">
        <f>F153+1</f>
        <v>2024</v>
      </c>
      <c r="H153" s="4">
        <f>G153+1</f>
        <v>2025</v>
      </c>
      <c r="I153" s="4">
        <f>H153+1</f>
        <v>2026</v>
      </c>
    </row>
    <row r="154" spans="1:10" s="38" customFormat="1" x14ac:dyDescent="0.25">
      <c r="A154" s="78"/>
      <c r="B154" s="78"/>
      <c r="C154" s="344"/>
      <c r="D154" s="72"/>
      <c r="E154" s="71"/>
      <c r="F154" s="217"/>
      <c r="G154" s="217"/>
      <c r="H154" s="217"/>
      <c r="I154" s="217"/>
    </row>
    <row r="155" spans="1:10" s="38" customFormat="1" x14ac:dyDescent="0.25">
      <c r="A155" s="78"/>
      <c r="B155" s="78"/>
      <c r="C155" s="208" t="s">
        <v>205</v>
      </c>
      <c r="D155" s="83"/>
      <c r="E155" s="71"/>
      <c r="F155" s="4">
        <f>F153</f>
        <v>2023</v>
      </c>
      <c r="G155" s="4">
        <f>F155+1</f>
        <v>2024</v>
      </c>
      <c r="H155" s="4">
        <f>G155+1</f>
        <v>2025</v>
      </c>
      <c r="I155" s="4">
        <f>H155+1</f>
        <v>2026</v>
      </c>
    </row>
    <row r="156" spans="1:10" s="38" customFormat="1" ht="25.5" x14ac:dyDescent="0.25">
      <c r="A156" s="78" t="s">
        <v>206</v>
      </c>
      <c r="B156" s="78" t="str">
        <f>IF(ISBLANK(A156),"","T"&amp;COUNTA($A$154:A156))</f>
        <v>T1</v>
      </c>
      <c r="C156" s="212" t="s">
        <v>207</v>
      </c>
      <c r="D156" s="72" t="s">
        <v>83</v>
      </c>
      <c r="E156" s="71"/>
      <c r="F156" s="217"/>
      <c r="G156" s="217">
        <v>1000</v>
      </c>
      <c r="H156" s="217">
        <v>1000</v>
      </c>
      <c r="I156" s="217">
        <v>1000</v>
      </c>
      <c r="J156" s="144"/>
    </row>
    <row r="157" spans="1:10" s="38" customFormat="1" x14ac:dyDescent="0.25">
      <c r="A157" s="78" t="s">
        <v>206</v>
      </c>
      <c r="B157" s="78" t="str">
        <f>IF(ISBLANK(A157),"","T"&amp;COUNTA($A$154:A157))</f>
        <v>T2</v>
      </c>
      <c r="C157" s="212" t="s">
        <v>208</v>
      </c>
      <c r="D157" s="72" t="s">
        <v>91</v>
      </c>
      <c r="E157" s="71" t="s">
        <v>24</v>
      </c>
      <c r="F157" s="217">
        <v>150</v>
      </c>
      <c r="G157" s="217">
        <v>150</v>
      </c>
      <c r="H157" s="217">
        <v>150</v>
      </c>
      <c r="I157" s="217">
        <v>150</v>
      </c>
    </row>
    <row r="158" spans="1:10" s="38" customFormat="1" x14ac:dyDescent="0.25">
      <c r="A158" s="78"/>
      <c r="B158" s="78"/>
      <c r="C158" s="212"/>
      <c r="D158" s="72"/>
      <c r="E158" s="71"/>
      <c r="F158" s="217"/>
      <c r="G158" s="217"/>
      <c r="H158" s="217"/>
      <c r="I158" s="217"/>
    </row>
    <row r="159" spans="1:10" s="38" customFormat="1" x14ac:dyDescent="0.25">
      <c r="A159" s="78"/>
      <c r="B159" s="78" t="str">
        <f>IF(ISBLANK(A159),"","T"&amp;COUNTA($A$154:A159))</f>
        <v/>
      </c>
      <c r="C159" s="208" t="s">
        <v>209</v>
      </c>
      <c r="D159" s="72"/>
      <c r="E159" s="71"/>
      <c r="F159" s="4">
        <f>F155</f>
        <v>2023</v>
      </c>
      <c r="G159" s="4">
        <f>F159+1</f>
        <v>2024</v>
      </c>
      <c r="H159" s="4">
        <f>G159+1</f>
        <v>2025</v>
      </c>
      <c r="I159" s="4">
        <f>H159+1</f>
        <v>2026</v>
      </c>
    </row>
    <row r="160" spans="1:10" s="38" customFormat="1" x14ac:dyDescent="0.25">
      <c r="A160" s="78" t="s">
        <v>206</v>
      </c>
      <c r="B160" s="78" t="str">
        <f>IF(ISBLANK(A160),"","T"&amp;COUNTA($A$154:A160))</f>
        <v>T3</v>
      </c>
      <c r="C160" s="344" t="s">
        <v>210</v>
      </c>
      <c r="D160" s="72" t="s">
        <v>91</v>
      </c>
      <c r="E160" s="71" t="s">
        <v>24</v>
      </c>
      <c r="F160" s="217">
        <v>15000</v>
      </c>
      <c r="G160" s="217">
        <v>6000</v>
      </c>
      <c r="H160" s="217"/>
      <c r="I160" s="217"/>
    </row>
    <row r="161" spans="1:10" s="38" customFormat="1" x14ac:dyDescent="0.25">
      <c r="A161" s="78" t="s">
        <v>206</v>
      </c>
      <c r="B161" s="78" t="str">
        <f>IF(ISBLANK(A161),"","T"&amp;COUNTA($A$154:A161))</f>
        <v>T4</v>
      </c>
      <c r="C161" s="344" t="s">
        <v>211</v>
      </c>
      <c r="D161" s="72" t="s">
        <v>91</v>
      </c>
      <c r="E161" s="71" t="s">
        <v>24</v>
      </c>
      <c r="F161" s="217">
        <v>450</v>
      </c>
      <c r="G161" s="217"/>
      <c r="H161" s="217"/>
      <c r="I161" s="217"/>
    </row>
    <row r="162" spans="1:10" s="38" customFormat="1" x14ac:dyDescent="0.25">
      <c r="A162" s="78"/>
      <c r="B162" s="78"/>
      <c r="C162" s="344"/>
      <c r="D162" s="72"/>
      <c r="E162" s="71"/>
      <c r="F162" s="217"/>
      <c r="G162" s="217"/>
      <c r="H162" s="217"/>
      <c r="I162" s="217"/>
    </row>
    <row r="163" spans="1:10" s="38" customFormat="1" x14ac:dyDescent="0.25">
      <c r="A163" s="78"/>
      <c r="B163" s="78" t="str">
        <f>IF(ISBLANK(A163),"","T"&amp;COUNTA($A$154:A163))</f>
        <v/>
      </c>
      <c r="C163" s="208" t="s">
        <v>212</v>
      </c>
      <c r="D163" s="72"/>
      <c r="E163" s="71"/>
      <c r="F163" s="4">
        <f>+F159</f>
        <v>2023</v>
      </c>
      <c r="G163" s="4">
        <f>F163+1</f>
        <v>2024</v>
      </c>
      <c r="H163" s="4">
        <f>G163+1</f>
        <v>2025</v>
      </c>
      <c r="I163" s="4">
        <f>H163+1</f>
        <v>2026</v>
      </c>
    </row>
    <row r="164" spans="1:10" s="38" customFormat="1" x14ac:dyDescent="0.25">
      <c r="A164" s="78"/>
      <c r="B164" s="78"/>
      <c r="C164" s="344"/>
      <c r="D164" s="72"/>
      <c r="E164" s="609"/>
      <c r="F164" s="217"/>
      <c r="G164" s="217"/>
      <c r="H164" s="217"/>
      <c r="I164" s="217"/>
      <c r="J164" s="144"/>
    </row>
    <row r="165" spans="1:10" s="38" customFormat="1" x14ac:dyDescent="0.25">
      <c r="A165" s="78"/>
      <c r="B165" s="78" t="str">
        <f>IF(ISBLANK(A165),"","T"&amp;COUNTA($A$154:A165))</f>
        <v/>
      </c>
      <c r="C165" s="208" t="s">
        <v>213</v>
      </c>
      <c r="D165" s="72"/>
      <c r="E165" s="71"/>
      <c r="F165" s="4">
        <f>F159</f>
        <v>2023</v>
      </c>
      <c r="G165" s="4">
        <f>F165+1</f>
        <v>2024</v>
      </c>
      <c r="H165" s="4">
        <f>G165+1</f>
        <v>2025</v>
      </c>
      <c r="I165" s="4">
        <f>H165+1</f>
        <v>2026</v>
      </c>
    </row>
    <row r="166" spans="1:10" s="38" customFormat="1" ht="25.5" x14ac:dyDescent="0.25">
      <c r="A166" s="45" t="s">
        <v>206</v>
      </c>
      <c r="B166" s="78" t="str">
        <f>IF(ISBLANK(A166),"","T"&amp;COUNTA($A$154:A166))</f>
        <v>T5</v>
      </c>
      <c r="C166" s="212" t="s">
        <v>214</v>
      </c>
      <c r="D166" s="72" t="s">
        <v>83</v>
      </c>
      <c r="E166" s="71" t="s">
        <v>84</v>
      </c>
      <c r="F166" s="546">
        <v>75</v>
      </c>
      <c r="G166" s="546">
        <v>75</v>
      </c>
      <c r="H166" s="546">
        <v>75</v>
      </c>
      <c r="I166" s="546">
        <v>75</v>
      </c>
      <c r="J166" s="144"/>
    </row>
    <row r="167" spans="1:10" s="38" customFormat="1" x14ac:dyDescent="0.25">
      <c r="A167" s="45" t="s">
        <v>206</v>
      </c>
      <c r="B167" s="78" t="str">
        <f>IF(ISBLANK(A167),"","T"&amp;COUNTA($A$154:A167))</f>
        <v>T6</v>
      </c>
      <c r="C167" s="212" t="s">
        <v>215</v>
      </c>
      <c r="D167" s="72" t="s">
        <v>83</v>
      </c>
      <c r="E167" s="71" t="s">
        <v>84</v>
      </c>
      <c r="F167" s="546"/>
      <c r="G167" s="546">
        <v>-300</v>
      </c>
      <c r="H167" s="546">
        <v>-300</v>
      </c>
      <c r="I167" s="546">
        <v>-300</v>
      </c>
      <c r="J167" s="144"/>
    </row>
    <row r="168" spans="1:10" s="38" customFormat="1" x14ac:dyDescent="0.25">
      <c r="A168" s="45" t="s">
        <v>206</v>
      </c>
      <c r="B168" s="78" t="str">
        <f>IF(ISBLANK(A168),"","T"&amp;COUNTA($A$154:A168))</f>
        <v>T7</v>
      </c>
      <c r="C168" s="212" t="s">
        <v>216</v>
      </c>
      <c r="D168" s="72" t="s">
        <v>83</v>
      </c>
      <c r="E168" s="71" t="s">
        <v>84</v>
      </c>
      <c r="F168" s="546"/>
      <c r="G168" s="546">
        <v>-500</v>
      </c>
      <c r="H168" s="546">
        <v>-500</v>
      </c>
      <c r="I168" s="546">
        <v>-500</v>
      </c>
      <c r="J168" s="144"/>
    </row>
    <row r="169" spans="1:10" s="38" customFormat="1" x14ac:dyDescent="0.25">
      <c r="A169" s="45" t="s">
        <v>206</v>
      </c>
      <c r="B169" s="78" t="str">
        <f>IF(ISBLANK(A169),"","T"&amp;COUNTA($A$154:A169))</f>
        <v>T8</v>
      </c>
      <c r="C169" s="212" t="s">
        <v>217</v>
      </c>
      <c r="D169" s="72" t="s">
        <v>83</v>
      </c>
      <c r="E169" s="71" t="s">
        <v>24</v>
      </c>
      <c r="F169" s="546">
        <v>-1437</v>
      </c>
      <c r="G169" s="546">
        <v>-1437</v>
      </c>
      <c r="H169" s="546">
        <v>-1437</v>
      </c>
      <c r="I169" s="546">
        <v>-1437</v>
      </c>
      <c r="J169" s="295"/>
    </row>
    <row r="170" spans="1:10" s="38" customFormat="1" x14ac:dyDescent="0.25">
      <c r="A170" s="45" t="s">
        <v>206</v>
      </c>
      <c r="B170" s="78" t="str">
        <f>IF(ISBLANK(A170),"","T"&amp;COUNTA($A$154:A170))</f>
        <v>T9</v>
      </c>
      <c r="C170" s="212" t="s">
        <v>218</v>
      </c>
      <c r="D170" s="72" t="s">
        <v>83</v>
      </c>
      <c r="E170" s="71" t="s">
        <v>24</v>
      </c>
      <c r="F170" s="546">
        <v>1300</v>
      </c>
      <c r="G170" s="546">
        <v>1300</v>
      </c>
      <c r="H170" s="546">
        <v>1300</v>
      </c>
      <c r="I170" s="546">
        <v>1300</v>
      </c>
    </row>
    <row r="171" spans="1:10" s="38" customFormat="1" x14ac:dyDescent="0.25">
      <c r="A171" s="45"/>
      <c r="B171" s="78" t="str">
        <f>IF(ISBLANK(A171),"","T"&amp;COUNTA($A$154:A171))</f>
        <v/>
      </c>
      <c r="C171" s="208" t="s">
        <v>224</v>
      </c>
      <c r="D171" s="72"/>
      <c r="E171" s="71"/>
      <c r="F171" s="4">
        <f>+F165</f>
        <v>2023</v>
      </c>
      <c r="G171" s="4">
        <f>F171+1</f>
        <v>2024</v>
      </c>
      <c r="H171" s="4">
        <f>G171+1</f>
        <v>2025</v>
      </c>
      <c r="I171" s="4">
        <f>H171+1</f>
        <v>2026</v>
      </c>
    </row>
    <row r="172" spans="1:10" s="38" customFormat="1" x14ac:dyDescent="0.25">
      <c r="A172" s="45" t="s">
        <v>206</v>
      </c>
      <c r="B172" s="78" t="str">
        <f>IF(ISBLANK(A172),"","T"&amp;COUNTA($A$154:A172))</f>
        <v>T10</v>
      </c>
      <c r="C172" s="212" t="s">
        <v>225</v>
      </c>
      <c r="D172" s="72" t="s">
        <v>91</v>
      </c>
      <c r="E172" s="71" t="s">
        <v>24</v>
      </c>
      <c r="F172" s="546">
        <v>1300</v>
      </c>
      <c r="G172" s="546">
        <v>1300</v>
      </c>
      <c r="H172" s="546">
        <v>600</v>
      </c>
      <c r="I172" s="546">
        <v>500</v>
      </c>
      <c r="J172" s="295"/>
    </row>
    <row r="173" spans="1:10" s="38" customFormat="1" x14ac:dyDescent="0.25">
      <c r="A173" s="45" t="s">
        <v>206</v>
      </c>
      <c r="B173" s="78" t="str">
        <f>IF(ISBLANK(A173),"","T"&amp;COUNTA($A$154:A173))</f>
        <v>T11</v>
      </c>
      <c r="C173" s="212" t="s">
        <v>226</v>
      </c>
      <c r="D173" s="72" t="s">
        <v>91</v>
      </c>
      <c r="E173" s="71" t="s">
        <v>24</v>
      </c>
      <c r="F173" s="546">
        <v>250</v>
      </c>
      <c r="G173" s="546">
        <v>250</v>
      </c>
      <c r="H173" s="546">
        <v>250</v>
      </c>
      <c r="I173" s="546">
        <v>250</v>
      </c>
      <c r="J173" s="295"/>
    </row>
    <row r="174" spans="1:10" s="38" customFormat="1" x14ac:dyDescent="0.25">
      <c r="A174" s="45" t="s">
        <v>206</v>
      </c>
      <c r="B174" s="78" t="str">
        <f>IF(ISBLANK(A174),"","T"&amp;COUNTA($A$154:A174))</f>
        <v>T12</v>
      </c>
      <c r="C174" s="212" t="s">
        <v>227</v>
      </c>
      <c r="D174" s="72" t="s">
        <v>91</v>
      </c>
      <c r="E174" s="71" t="s">
        <v>24</v>
      </c>
      <c r="F174" s="546">
        <v>150</v>
      </c>
      <c r="G174" s="546">
        <v>150</v>
      </c>
      <c r="H174" s="546">
        <v>150</v>
      </c>
      <c r="I174" s="546">
        <v>150</v>
      </c>
      <c r="J174" s="295"/>
    </row>
    <row r="175" spans="1:10" s="38" customFormat="1" x14ac:dyDescent="0.25">
      <c r="A175" s="45"/>
      <c r="B175" s="78" t="str">
        <f>IF(ISBLANK(A175),"","T"&amp;COUNTA($A$154:A175))</f>
        <v/>
      </c>
      <c r="C175" s="208" t="s">
        <v>228</v>
      </c>
      <c r="D175" s="72"/>
      <c r="E175" s="71"/>
      <c r="F175" s="4">
        <f>+F171</f>
        <v>2023</v>
      </c>
      <c r="G175" s="4">
        <f>F175+1</f>
        <v>2024</v>
      </c>
      <c r="H175" s="4">
        <f>G175+1</f>
        <v>2025</v>
      </c>
      <c r="I175" s="4">
        <f>H175+1</f>
        <v>2026</v>
      </c>
    </row>
    <row r="176" spans="1:10" s="38" customFormat="1" x14ac:dyDescent="0.25">
      <c r="A176" s="45" t="s">
        <v>206</v>
      </c>
      <c r="B176" s="78" t="str">
        <f>IF(ISBLANK(A176),"","T"&amp;COUNTA($A$154:A176))</f>
        <v>T13</v>
      </c>
      <c r="C176" s="385" t="s">
        <v>229</v>
      </c>
      <c r="D176" s="214" t="s">
        <v>91</v>
      </c>
      <c r="E176" s="111" t="s">
        <v>24</v>
      </c>
      <c r="F176" s="626">
        <v>1000</v>
      </c>
      <c r="G176" s="626">
        <v>1000</v>
      </c>
      <c r="H176" s="626">
        <v>1000</v>
      </c>
      <c r="I176" s="626">
        <v>1000</v>
      </c>
    </row>
    <row r="177" spans="1:9" s="38" customFormat="1" x14ac:dyDescent="0.25">
      <c r="A177" s="45"/>
      <c r="B177" s="78"/>
      <c r="C177" s="212"/>
      <c r="D177" s="214"/>
      <c r="E177" s="111"/>
      <c r="F177" s="217"/>
      <c r="G177" s="217"/>
      <c r="H177" s="217"/>
      <c r="I177" s="217"/>
    </row>
    <row r="178" spans="1:9" s="38" customFormat="1" x14ac:dyDescent="0.25">
      <c r="A178" s="43"/>
      <c r="B178" s="43" t="s">
        <v>127</v>
      </c>
      <c r="C178" s="3" t="s">
        <v>230</v>
      </c>
      <c r="D178" s="52"/>
      <c r="E178" s="52"/>
      <c r="F178" s="56">
        <f>SUMIF($A:$A,"byte",F:F)</f>
        <v>18238</v>
      </c>
      <c r="G178" s="56">
        <f>SUMIF($A:$A,"byte",G:G)</f>
        <v>8988</v>
      </c>
      <c r="H178" s="56">
        <f>SUMIF($A:$A,"byte",H:H)</f>
        <v>2288</v>
      </c>
      <c r="I178" s="56">
        <f>SUMIF($A:$A,"byte",I:I)</f>
        <v>2188</v>
      </c>
    </row>
    <row r="179" spans="1:9" s="38" customFormat="1" x14ac:dyDescent="0.25">
      <c r="A179"/>
      <c r="B179" s="78"/>
      <c r="C179"/>
      <c r="D179"/>
      <c r="E179"/>
      <c r="F179"/>
      <c r="G179"/>
      <c r="H179"/>
      <c r="I179"/>
    </row>
    <row r="180" spans="1:9" s="38" customFormat="1" x14ac:dyDescent="0.25">
      <c r="A180" s="78"/>
      <c r="B180" s="78"/>
      <c r="C180" s="208" t="s">
        <v>231</v>
      </c>
      <c r="D180" s="72"/>
      <c r="E180" s="71"/>
      <c r="F180" s="4">
        <f>F165</f>
        <v>2023</v>
      </c>
      <c r="G180" s="4">
        <f>F180+1</f>
        <v>2024</v>
      </c>
      <c r="H180" s="4">
        <f>G180+1</f>
        <v>2025</v>
      </c>
      <c r="I180" s="4">
        <f>H180+1</f>
        <v>2026</v>
      </c>
    </row>
    <row r="181" spans="1:9" s="38" customFormat="1" x14ac:dyDescent="0.25">
      <c r="A181" s="78" t="s">
        <v>232</v>
      </c>
      <c r="B181" s="78" t="str">
        <f>IF(ISBLANK(A181),"","O"&amp;COUNTA($A$181:A181))</f>
        <v>O1</v>
      </c>
      <c r="C181" s="84" t="s">
        <v>233</v>
      </c>
      <c r="D181" s="72" t="s">
        <v>89</v>
      </c>
      <c r="E181" s="71" t="s">
        <v>84</v>
      </c>
      <c r="F181" s="70"/>
      <c r="G181" s="70">
        <v>5000</v>
      </c>
      <c r="H181" s="70">
        <v>10000</v>
      </c>
      <c r="I181" s="70">
        <v>10000</v>
      </c>
    </row>
    <row r="182" spans="1:9" s="38" customFormat="1" x14ac:dyDescent="0.25">
      <c r="A182" s="78" t="s">
        <v>232</v>
      </c>
      <c r="B182" s="78" t="str">
        <f>IF(ISBLANK(A182),"","O"&amp;COUNTA($A$181:A182))</f>
        <v>O2</v>
      </c>
      <c r="C182" s="84" t="s">
        <v>234</v>
      </c>
      <c r="D182" s="72" t="s">
        <v>89</v>
      </c>
      <c r="E182" s="71" t="s">
        <v>84</v>
      </c>
      <c r="F182" s="70"/>
      <c r="G182" s="70">
        <v>-6400</v>
      </c>
      <c r="H182" s="70">
        <v>-6400</v>
      </c>
      <c r="I182" s="70">
        <v>-6400</v>
      </c>
    </row>
    <row r="183" spans="1:9" s="38" customFormat="1" x14ac:dyDescent="0.25">
      <c r="A183" s="78" t="s">
        <v>232</v>
      </c>
      <c r="B183" s="78" t="str">
        <f>IF(ISBLANK(A183),"","O"&amp;COUNTA($A$181:A183))</f>
        <v>O3</v>
      </c>
      <c r="C183" s="84" t="s">
        <v>235</v>
      </c>
      <c r="D183" s="72" t="s">
        <v>91</v>
      </c>
      <c r="E183" s="414" t="s">
        <v>24</v>
      </c>
      <c r="F183" s="70">
        <v>700</v>
      </c>
      <c r="G183" s="70">
        <v>700</v>
      </c>
      <c r="H183" s="70">
        <v>700</v>
      </c>
      <c r="I183" s="70">
        <v>700</v>
      </c>
    </row>
    <row r="184" spans="1:9" s="38" customFormat="1" ht="25.5" x14ac:dyDescent="0.25">
      <c r="A184" s="78" t="s">
        <v>232</v>
      </c>
      <c r="B184" s="78" t="str">
        <f>IF(ISBLANK(A184),"","O"&amp;COUNTA($A$181:A184))</f>
        <v>O4</v>
      </c>
      <c r="C184" s="84" t="s">
        <v>236</v>
      </c>
      <c r="D184" s="72" t="s">
        <v>91</v>
      </c>
      <c r="E184" s="414" t="s">
        <v>24</v>
      </c>
      <c r="F184" s="70">
        <v>-700</v>
      </c>
      <c r="G184" s="70"/>
      <c r="H184" s="70"/>
      <c r="I184" s="70"/>
    </row>
    <row r="185" spans="1:9" s="38" customFormat="1" x14ac:dyDescent="0.25">
      <c r="A185" s="78" t="s">
        <v>232</v>
      </c>
      <c r="B185" s="78" t="str">
        <f>IF(ISBLANK(A185),"","O"&amp;COUNTA($A$181:A185))</f>
        <v>O5</v>
      </c>
      <c r="C185" s="84" t="s">
        <v>237</v>
      </c>
      <c r="D185" s="72" t="s">
        <v>91</v>
      </c>
      <c r="E185" s="71" t="s">
        <v>24</v>
      </c>
      <c r="F185" s="70">
        <v>1200</v>
      </c>
      <c r="G185" s="70">
        <v>1200</v>
      </c>
      <c r="H185" s="70">
        <v>1200</v>
      </c>
      <c r="I185" s="70">
        <v>1200</v>
      </c>
    </row>
    <row r="186" spans="1:9" s="38" customFormat="1" x14ac:dyDescent="0.25">
      <c r="A186" s="78" t="s">
        <v>232</v>
      </c>
      <c r="B186" s="78" t="str">
        <f>IF(ISBLANK(A186),"","O"&amp;COUNTA($A$181:A186))</f>
        <v>O6</v>
      </c>
      <c r="C186" s="344" t="s">
        <v>238</v>
      </c>
      <c r="D186" s="72" t="s">
        <v>91</v>
      </c>
      <c r="E186" s="71" t="s">
        <v>24</v>
      </c>
      <c r="F186" s="217">
        <v>1000</v>
      </c>
      <c r="G186" s="217">
        <v>1000</v>
      </c>
      <c r="H186" s="217"/>
      <c r="I186" s="217"/>
    </row>
    <row r="187" spans="1:9" s="38" customFormat="1" x14ac:dyDescent="0.25">
      <c r="A187" s="78" t="s">
        <v>232</v>
      </c>
      <c r="B187" s="78" t="str">
        <f>IF(ISBLANK(A187),"","O"&amp;COUNTA($A$181:A187))</f>
        <v>O7</v>
      </c>
      <c r="C187" s="344" t="s">
        <v>239</v>
      </c>
      <c r="D187" s="72" t="s">
        <v>91</v>
      </c>
      <c r="E187" s="71" t="s">
        <v>24</v>
      </c>
      <c r="F187" s="217">
        <v>-1000</v>
      </c>
      <c r="G187" s="217">
        <v>-1000</v>
      </c>
      <c r="H187" s="217"/>
      <c r="I187" s="217"/>
    </row>
    <row r="188" spans="1:9" s="38" customFormat="1" x14ac:dyDescent="0.25">
      <c r="A188" s="43"/>
      <c r="B188" s="43" t="s">
        <v>127</v>
      </c>
      <c r="C188" s="3" t="s">
        <v>240</v>
      </c>
      <c r="D188" s="52"/>
      <c r="E188" s="52"/>
      <c r="F188" s="56">
        <f>SUMIF($A:$A,"ORG",F:F)</f>
        <v>1200</v>
      </c>
      <c r="G188" s="56">
        <f>SUMIF($A:$A,"ORG",G:G)</f>
        <v>500</v>
      </c>
      <c r="H188" s="56">
        <f>SUMIF($A:$A,"ORG",H:H)</f>
        <v>5500</v>
      </c>
      <c r="I188" s="56">
        <f>SUMIF($A:$A,"ORG",I:I)</f>
        <v>5500</v>
      </c>
    </row>
    <row r="189" spans="1:9" s="38" customFormat="1" x14ac:dyDescent="0.25">
      <c r="A189" s="47"/>
      <c r="B189" s="78"/>
      <c r="C189" s="11"/>
      <c r="D189" s="49"/>
      <c r="E189" s="49"/>
      <c r="F189" s="57"/>
      <c r="G189" s="57"/>
      <c r="H189" s="57"/>
      <c r="I189" s="57"/>
    </row>
    <row r="190" spans="1:9" s="38" customFormat="1" x14ac:dyDescent="0.25">
      <c r="A190" s="48"/>
      <c r="B190" s="78"/>
      <c r="C190" s="13" t="s">
        <v>241</v>
      </c>
      <c r="D190" s="50"/>
      <c r="E190" s="61"/>
      <c r="F190" s="4">
        <f>F180</f>
        <v>2023</v>
      </c>
      <c r="G190" s="4">
        <f>F190+1</f>
        <v>2024</v>
      </c>
      <c r="H190" s="4">
        <f>G190+1</f>
        <v>2025</v>
      </c>
      <c r="I190" s="4">
        <f>H190+1</f>
        <v>2026</v>
      </c>
    </row>
    <row r="191" spans="1:9" s="38" customFormat="1" x14ac:dyDescent="0.25">
      <c r="A191" s="45" t="s">
        <v>242</v>
      </c>
      <c r="B191" s="78" t="str">
        <f>IF(ISBLANK(A191),"","Ø"&amp;COUNTA($A$191:A191))</f>
        <v>Ø1</v>
      </c>
      <c r="C191" s="346" t="s">
        <v>243</v>
      </c>
      <c r="D191" s="72" t="s">
        <v>91</v>
      </c>
      <c r="E191" s="71" t="s">
        <v>24</v>
      </c>
      <c r="F191" s="70">
        <v>1400</v>
      </c>
      <c r="G191" s="70">
        <v>1400</v>
      </c>
      <c r="H191" s="70">
        <v>1400</v>
      </c>
      <c r="I191" s="70">
        <v>1400</v>
      </c>
    </row>
    <row r="192" spans="1:9" s="38" customFormat="1" x14ac:dyDescent="0.25">
      <c r="A192" s="45" t="s">
        <v>242</v>
      </c>
      <c r="B192" s="78" t="str">
        <f>IF(ISBLANK(A192),"","Ø"&amp;COUNTA($A$191:A192))</f>
        <v>Ø2</v>
      </c>
      <c r="C192" s="346" t="s">
        <v>244</v>
      </c>
      <c r="D192" s="72" t="s">
        <v>91</v>
      </c>
      <c r="E192" s="71" t="s">
        <v>24</v>
      </c>
      <c r="F192" s="70">
        <v>-1400</v>
      </c>
      <c r="G192" s="70">
        <v>-1400</v>
      </c>
      <c r="H192" s="70"/>
      <c r="I192" s="70"/>
    </row>
    <row r="193" spans="1:10" s="38" customFormat="1" x14ac:dyDescent="0.25">
      <c r="A193" s="45" t="s">
        <v>242</v>
      </c>
      <c r="B193" s="78" t="str">
        <f>IF(ISBLANK(A193),"","Ø"&amp;COUNTA($A$191:A193))</f>
        <v>Ø3</v>
      </c>
      <c r="C193" s="347" t="s">
        <v>245</v>
      </c>
      <c r="D193" s="72" t="s">
        <v>91</v>
      </c>
      <c r="E193" s="71" t="s">
        <v>24</v>
      </c>
      <c r="F193" s="70">
        <f>1600-1600</f>
        <v>0</v>
      </c>
      <c r="G193" s="70">
        <v>1600</v>
      </c>
      <c r="H193" s="70">
        <v>1600</v>
      </c>
      <c r="I193" s="70">
        <v>1600</v>
      </c>
    </row>
    <row r="194" spans="1:10" s="38" customFormat="1" x14ac:dyDescent="0.25">
      <c r="A194" s="45" t="s">
        <v>242</v>
      </c>
      <c r="B194" s="78" t="str">
        <f>IF(ISBLANK(A194),"","Ø"&amp;COUNTA($A$191:A194))</f>
        <v>Ø4</v>
      </c>
      <c r="C194" s="347" t="s">
        <v>246</v>
      </c>
      <c r="D194" s="72" t="s">
        <v>91</v>
      </c>
      <c r="E194" s="71" t="s">
        <v>24</v>
      </c>
      <c r="F194" s="70">
        <v>800</v>
      </c>
      <c r="G194" s="70">
        <v>800</v>
      </c>
      <c r="H194" s="70">
        <v>800</v>
      </c>
      <c r="I194" s="70">
        <v>800</v>
      </c>
    </row>
    <row r="195" spans="1:10" s="38" customFormat="1" ht="30" x14ac:dyDescent="0.25">
      <c r="A195" s="45" t="s">
        <v>242</v>
      </c>
      <c r="B195" s="78" t="str">
        <f>IF(ISBLANK(A195),"","Ø"&amp;COUNTA($A$191:A195))</f>
        <v>Ø5</v>
      </c>
      <c r="C195" s="347" t="s">
        <v>247</v>
      </c>
      <c r="D195" s="72" t="s">
        <v>91</v>
      </c>
      <c r="E195" s="71" t="s">
        <v>24</v>
      </c>
      <c r="F195" s="217">
        <v>-800</v>
      </c>
      <c r="G195" s="217"/>
      <c r="H195" s="217"/>
      <c r="I195" s="217"/>
    </row>
    <row r="196" spans="1:10" s="38" customFormat="1" x14ac:dyDescent="0.25">
      <c r="A196" s="43"/>
      <c r="B196" s="43" t="s">
        <v>127</v>
      </c>
      <c r="C196" s="3" t="s">
        <v>248</v>
      </c>
      <c r="D196" s="52"/>
      <c r="E196" s="52"/>
      <c r="F196" s="56">
        <f>SUMIF($A:$A,"ØK",F:F)</f>
        <v>0</v>
      </c>
      <c r="G196" s="56">
        <f>SUMIF($A:$A,"ØK",G:G)</f>
        <v>2400</v>
      </c>
      <c r="H196" s="56">
        <f>SUMIF($A:$A,"ØK",H:H)</f>
        <v>3800</v>
      </c>
      <c r="I196" s="56">
        <f>SUMIF($A:$A,"ØK",I:I)</f>
        <v>3800</v>
      </c>
    </row>
    <row r="197" spans="1:10" s="38" customFormat="1" x14ac:dyDescent="0.25">
      <c r="A197" s="47"/>
      <c r="B197" s="78"/>
      <c r="C197" s="11"/>
      <c r="D197" s="49"/>
      <c r="E197" s="49"/>
      <c r="F197" s="57"/>
      <c r="G197" s="57"/>
      <c r="H197" s="57"/>
      <c r="I197" s="57"/>
    </row>
    <row r="198" spans="1:10" s="38" customFormat="1" ht="30" x14ac:dyDescent="0.25">
      <c r="A198" s="48"/>
      <c r="B198" s="78"/>
      <c r="C198" s="13" t="s">
        <v>249</v>
      </c>
      <c r="D198" s="50"/>
      <c r="E198" s="61"/>
      <c r="F198" s="58"/>
      <c r="G198" s="58"/>
      <c r="H198" s="58"/>
      <c r="I198" s="58"/>
    </row>
    <row r="199" spans="1:10" s="38" customFormat="1" x14ac:dyDescent="0.25">
      <c r="A199" s="249"/>
      <c r="B199" s="78"/>
      <c r="C199" s="82" t="s">
        <v>250</v>
      </c>
      <c r="D199" s="83"/>
      <c r="E199" s="71"/>
      <c r="F199" s="4">
        <f>F190</f>
        <v>2023</v>
      </c>
      <c r="G199" s="4">
        <f>F199+1</f>
        <v>2024</v>
      </c>
      <c r="H199" s="4">
        <f>G199+1</f>
        <v>2025</v>
      </c>
      <c r="I199" s="4">
        <f>H199+1</f>
        <v>2026</v>
      </c>
    </row>
    <row r="200" spans="1:10" s="38" customFormat="1" x14ac:dyDescent="0.25">
      <c r="A200" s="72" t="s">
        <v>251</v>
      </c>
      <c r="B200" s="78" t="str">
        <f>IF(ISBLANK(A200),"","F"&amp;COUNTA($A$200:A200))</f>
        <v>F1</v>
      </c>
      <c r="C200" s="245" t="s">
        <v>252</v>
      </c>
      <c r="D200" s="79" t="s">
        <v>91</v>
      </c>
      <c r="E200" s="71" t="s">
        <v>24</v>
      </c>
      <c r="F200" s="191">
        <v>150</v>
      </c>
      <c r="G200" s="191">
        <v>150</v>
      </c>
      <c r="H200" s="191">
        <v>150</v>
      </c>
      <c r="I200" s="191">
        <v>150</v>
      </c>
    </row>
    <row r="201" spans="1:10" s="38" customFormat="1" x14ac:dyDescent="0.25">
      <c r="A201" s="72" t="s">
        <v>251</v>
      </c>
      <c r="B201" s="78" t="str">
        <f>IF(ISBLANK(A201),"","F"&amp;COUNTA($A$200:A201))</f>
        <v>F2</v>
      </c>
      <c r="C201" s="480" t="s">
        <v>253</v>
      </c>
      <c r="D201" s="79" t="s">
        <v>91</v>
      </c>
      <c r="E201" s="71" t="s">
        <v>24</v>
      </c>
      <c r="F201" s="634">
        <v>20000</v>
      </c>
      <c r="G201" s="634">
        <v>20000</v>
      </c>
      <c r="H201" s="634">
        <v>20000</v>
      </c>
      <c r="I201" s="634">
        <v>20000</v>
      </c>
      <c r="J201" s="38" t="s">
        <v>254</v>
      </c>
    </row>
    <row r="202" spans="1:10" s="38" customFormat="1" x14ac:dyDescent="0.25">
      <c r="A202" s="72" t="s">
        <v>251</v>
      </c>
      <c r="B202" s="78" t="str">
        <f>IF(ISBLANK(A202),"","F"&amp;COUNTA($A$200:A202))</f>
        <v>F3</v>
      </c>
      <c r="C202" s="480" t="s">
        <v>255</v>
      </c>
      <c r="D202" s="79" t="s">
        <v>91</v>
      </c>
      <c r="E202" s="71" t="s">
        <v>24</v>
      </c>
      <c r="F202" s="634">
        <v>-20000</v>
      </c>
      <c r="G202" s="634">
        <v>-20000</v>
      </c>
      <c r="H202" s="634">
        <v>-20000</v>
      </c>
      <c r="I202" s="634">
        <v>-20000</v>
      </c>
      <c r="J202" s="38" t="s">
        <v>254</v>
      </c>
    </row>
    <row r="203" spans="1:10" s="38" customFormat="1" x14ac:dyDescent="0.25">
      <c r="A203" s="72" t="s">
        <v>251</v>
      </c>
      <c r="B203" s="78" t="str">
        <f>IF(ISBLANK(A203),"","F"&amp;COUNTA($A$200:A203))</f>
        <v>F4</v>
      </c>
      <c r="C203" s="480" t="s">
        <v>256</v>
      </c>
      <c r="D203" s="79" t="s">
        <v>91</v>
      </c>
      <c r="E203" s="71" t="s">
        <v>24</v>
      </c>
      <c r="F203" s="634">
        <v>204</v>
      </c>
      <c r="G203" s="634">
        <v>204</v>
      </c>
      <c r="H203" s="634">
        <v>204</v>
      </c>
      <c r="I203" s="634">
        <v>204</v>
      </c>
    </row>
    <row r="204" spans="1:10" s="38" customFormat="1" x14ac:dyDescent="0.25">
      <c r="A204" s="72"/>
      <c r="B204" s="78" t="str">
        <f>IF(ISBLANK(A204),"","F"&amp;COUNTA($A$200:A204))</f>
        <v/>
      </c>
      <c r="C204" s="82" t="s">
        <v>257</v>
      </c>
      <c r="D204" s="83"/>
      <c r="E204" s="71"/>
      <c r="F204" s="300"/>
      <c r="G204" s="300"/>
      <c r="H204" s="300"/>
      <c r="I204" s="300"/>
    </row>
    <row r="205" spans="1:10" s="38" customFormat="1" x14ac:dyDescent="0.25">
      <c r="A205" s="72" t="s">
        <v>251</v>
      </c>
      <c r="B205" s="78" t="str">
        <f>IF(ISBLANK(A205),"","F"&amp;COUNTA($A$200:A205))</f>
        <v>F5</v>
      </c>
      <c r="C205" s="84" t="s">
        <v>258</v>
      </c>
      <c r="D205" s="72" t="s">
        <v>83</v>
      </c>
      <c r="E205" s="71" t="s">
        <v>84</v>
      </c>
      <c r="F205" s="631">
        <v>2500</v>
      </c>
      <c r="G205" s="631">
        <v>2300</v>
      </c>
      <c r="H205" s="631">
        <v>1700</v>
      </c>
      <c r="I205" s="631">
        <v>1300</v>
      </c>
      <c r="J205" s="611"/>
    </row>
    <row r="206" spans="1:10" s="38" customFormat="1" x14ac:dyDescent="0.25">
      <c r="A206" s="72" t="s">
        <v>251</v>
      </c>
      <c r="B206" s="78" t="str">
        <f>IF(ISBLANK(A206),"","F"&amp;COUNTA($A$200:A206))</f>
        <v>F6</v>
      </c>
      <c r="C206" s="84" t="s">
        <v>259</v>
      </c>
      <c r="D206" s="72" t="s">
        <v>83</v>
      </c>
      <c r="E206" s="71" t="s">
        <v>84</v>
      </c>
      <c r="F206" s="631">
        <v>1250</v>
      </c>
      <c r="G206" s="631">
        <v>1250</v>
      </c>
      <c r="H206" s="631">
        <v>1300</v>
      </c>
      <c r="I206" s="631">
        <v>1350</v>
      </c>
      <c r="J206" s="611"/>
    </row>
    <row r="207" spans="1:10" s="38" customFormat="1" x14ac:dyDescent="0.25">
      <c r="A207" s="72" t="s">
        <v>251</v>
      </c>
      <c r="B207" s="78" t="str">
        <f>IF(ISBLANK(A207),"","F"&amp;COUNTA($A$200:A207))</f>
        <v>F7</v>
      </c>
      <c r="C207" s="84" t="s">
        <v>260</v>
      </c>
      <c r="D207" s="72" t="s">
        <v>83</v>
      </c>
      <c r="E207" s="71" t="s">
        <v>24</v>
      </c>
      <c r="F207" s="391">
        <v>134000</v>
      </c>
      <c r="G207" s="391">
        <v>134000</v>
      </c>
      <c r="H207" s="391">
        <v>134000</v>
      </c>
      <c r="I207" s="391">
        <v>134000</v>
      </c>
    </row>
    <row r="208" spans="1:10" s="38" customFormat="1" x14ac:dyDescent="0.25">
      <c r="A208" s="72" t="s">
        <v>251</v>
      </c>
      <c r="B208" s="78" t="str">
        <f>IF(ISBLANK(A208),"","F"&amp;COUNTA($A$200:A208))</f>
        <v>F8</v>
      </c>
      <c r="C208" s="84" t="s">
        <v>261</v>
      </c>
      <c r="D208" s="72" t="s">
        <v>91</v>
      </c>
      <c r="E208" s="71" t="s">
        <v>24</v>
      </c>
      <c r="F208" s="391">
        <v>20000</v>
      </c>
      <c r="G208" s="391">
        <v>20000</v>
      </c>
      <c r="H208" s="391">
        <v>20000</v>
      </c>
      <c r="I208" s="391">
        <v>20000</v>
      </c>
    </row>
    <row r="209" spans="1:11" s="38" customFormat="1" ht="25.5" x14ac:dyDescent="0.25">
      <c r="A209" s="72" t="s">
        <v>251</v>
      </c>
      <c r="B209" s="78" t="str">
        <f>IF(ISBLANK(A209),"","F"&amp;COUNTA($A$200:A209))</f>
        <v>F9</v>
      </c>
      <c r="C209" s="84" t="s">
        <v>262</v>
      </c>
      <c r="D209" s="72" t="s">
        <v>89</v>
      </c>
      <c r="E209" s="71" t="s">
        <v>84</v>
      </c>
      <c r="F209" s="528"/>
      <c r="G209" s="528">
        <v>-575</v>
      </c>
      <c r="H209" s="528">
        <v>-575</v>
      </c>
      <c r="I209" s="528">
        <v>-575</v>
      </c>
    </row>
    <row r="210" spans="1:11" s="38" customFormat="1" ht="25.5" x14ac:dyDescent="0.25">
      <c r="A210" s="72" t="s">
        <v>251</v>
      </c>
      <c r="B210" s="78" t="str">
        <f>IF(ISBLANK(A210),"","F"&amp;COUNTA($A$200:A210))</f>
        <v>F10</v>
      </c>
      <c r="C210" s="84" t="s">
        <v>263</v>
      </c>
      <c r="D210" s="72" t="s">
        <v>89</v>
      </c>
      <c r="E210" s="71" t="s">
        <v>84</v>
      </c>
      <c r="F210" s="191"/>
      <c r="G210" s="191"/>
      <c r="H210" s="191"/>
      <c r="I210" s="191">
        <v>-450</v>
      </c>
      <c r="K210" s="95"/>
    </row>
    <row r="211" spans="1:11" s="38" customFormat="1" x14ac:dyDescent="0.25">
      <c r="A211" s="72" t="s">
        <v>251</v>
      </c>
      <c r="B211" s="78" t="str">
        <f>IF(ISBLANK(A211),"","F"&amp;COUNTA($A$200:A211))</f>
        <v>F11</v>
      </c>
      <c r="C211" s="84" t="s">
        <v>264</v>
      </c>
      <c r="D211" s="72" t="s">
        <v>91</v>
      </c>
      <c r="E211" s="71" t="s">
        <v>24</v>
      </c>
      <c r="F211" s="255">
        <v>70</v>
      </c>
      <c r="G211" s="255">
        <v>70</v>
      </c>
      <c r="H211" s="255">
        <v>70</v>
      </c>
      <c r="I211" s="255">
        <v>70</v>
      </c>
      <c r="J211" s="144"/>
      <c r="K211" s="95"/>
    </row>
    <row r="212" spans="1:11" s="38" customFormat="1" x14ac:dyDescent="0.25">
      <c r="A212" s="72" t="s">
        <v>251</v>
      </c>
      <c r="B212" s="78" t="str">
        <f>IF(ISBLANK(A212),"","F"&amp;COUNTA($A$200:A212))</f>
        <v>F12</v>
      </c>
      <c r="C212" s="627" t="s">
        <v>265</v>
      </c>
      <c r="D212" s="72" t="s">
        <v>91</v>
      </c>
      <c r="E212" s="71" t="s">
        <v>24</v>
      </c>
      <c r="F212" s="613">
        <v>700</v>
      </c>
      <c r="G212" s="613">
        <v>700</v>
      </c>
      <c r="H212" s="613">
        <v>800</v>
      </c>
      <c r="I212" s="613">
        <v>800</v>
      </c>
      <c r="J212" s="611"/>
    </row>
    <row r="213" spans="1:11" s="38" customFormat="1" x14ac:dyDescent="0.25">
      <c r="A213" s="72" t="s">
        <v>251</v>
      </c>
      <c r="B213" s="78" t="str">
        <f>IF(ISBLANK(A213),"","F"&amp;COUNTA($A$200:A213))</f>
        <v>F13</v>
      </c>
      <c r="C213" s="627" t="s">
        <v>266</v>
      </c>
      <c r="D213" s="72" t="s">
        <v>91</v>
      </c>
      <c r="E213" s="71" t="s">
        <v>24</v>
      </c>
      <c r="F213" s="613">
        <v>900</v>
      </c>
      <c r="G213" s="613">
        <v>900</v>
      </c>
      <c r="H213" s="613">
        <v>900</v>
      </c>
      <c r="I213" s="613">
        <v>900</v>
      </c>
      <c r="J213" s="611"/>
    </row>
    <row r="214" spans="1:11" s="38" customFormat="1" x14ac:dyDescent="0.25">
      <c r="A214" s="72" t="s">
        <v>251</v>
      </c>
      <c r="B214" s="78" t="str">
        <f>IF(ISBLANK(A214),"","F"&amp;COUNTA($A$200:A214))</f>
        <v>F14</v>
      </c>
      <c r="C214" s="627" t="s">
        <v>267</v>
      </c>
      <c r="D214" s="72" t="s">
        <v>91</v>
      </c>
      <c r="E214" s="71" t="s">
        <v>24</v>
      </c>
      <c r="F214" s="613">
        <v>365</v>
      </c>
      <c r="G214" s="613">
        <v>365</v>
      </c>
      <c r="H214" s="613">
        <v>365</v>
      </c>
      <c r="I214" s="613">
        <v>365</v>
      </c>
      <c r="J214" s="144"/>
    </row>
    <row r="215" spans="1:11" s="38" customFormat="1" x14ac:dyDescent="0.25">
      <c r="A215" s="72" t="s">
        <v>251</v>
      </c>
      <c r="B215" s="78" t="str">
        <f>IF(ISBLANK(A215),"","F"&amp;COUNTA($A$200:A215))</f>
        <v>F15</v>
      </c>
      <c r="C215" s="627" t="s">
        <v>268</v>
      </c>
      <c r="D215" s="72" t="s">
        <v>91</v>
      </c>
      <c r="E215" s="71" t="s">
        <v>24</v>
      </c>
      <c r="F215" s="613">
        <v>50</v>
      </c>
      <c r="G215" s="613">
        <v>50</v>
      </c>
      <c r="H215" s="613">
        <v>50</v>
      </c>
      <c r="I215" s="613">
        <v>50</v>
      </c>
      <c r="J215" s="144"/>
    </row>
    <row r="216" spans="1:11" s="38" customFormat="1" x14ac:dyDescent="0.25">
      <c r="A216" s="72" t="s">
        <v>251</v>
      </c>
      <c r="B216" s="78" t="str">
        <f>IF(ISBLANK(A216),"","F"&amp;COUNTA($A$200:A216))</f>
        <v>F16</v>
      </c>
      <c r="C216" s="627" t="s">
        <v>269</v>
      </c>
      <c r="D216" s="72" t="s">
        <v>91</v>
      </c>
      <c r="E216" s="71" t="s">
        <v>24</v>
      </c>
      <c r="F216" s="613">
        <v>62</v>
      </c>
      <c r="G216" s="613">
        <v>62</v>
      </c>
      <c r="H216" s="613">
        <v>62</v>
      </c>
      <c r="I216" s="613">
        <v>62</v>
      </c>
      <c r="J216" s="611"/>
    </row>
    <row r="217" spans="1:11" s="38" customFormat="1" x14ac:dyDescent="0.25">
      <c r="A217" s="72" t="s">
        <v>251</v>
      </c>
      <c r="B217" s="78" t="str">
        <f>IF(ISBLANK(A217),"","F"&amp;COUNTA($A$200:A217))</f>
        <v>F17</v>
      </c>
      <c r="C217" s="627" t="s">
        <v>270</v>
      </c>
      <c r="D217" s="72" t="s">
        <v>91</v>
      </c>
      <c r="E217" s="71" t="s">
        <v>24</v>
      </c>
      <c r="F217" s="613">
        <v>500</v>
      </c>
      <c r="G217" s="613"/>
      <c r="H217" s="613"/>
      <c r="I217" s="613"/>
      <c r="J217" s="611"/>
    </row>
    <row r="218" spans="1:11" s="38" customFormat="1" x14ac:dyDescent="0.25">
      <c r="A218" s="72" t="s">
        <v>251</v>
      </c>
      <c r="B218" s="78" t="str">
        <f>IF(ISBLANK(A218),"","F"&amp;COUNTA($A$200:A218))</f>
        <v>F18</v>
      </c>
      <c r="C218" s="627" t="s">
        <v>272</v>
      </c>
      <c r="D218" s="72" t="s">
        <v>91</v>
      </c>
      <c r="E218" s="71" t="s">
        <v>24</v>
      </c>
      <c r="F218" s="613">
        <v>-500</v>
      </c>
      <c r="G218" s="613"/>
      <c r="H218" s="613"/>
      <c r="I218" s="613"/>
      <c r="J218" s="611"/>
    </row>
    <row r="219" spans="1:11" s="38" customFormat="1" x14ac:dyDescent="0.25">
      <c r="A219" s="72" t="s">
        <v>251</v>
      </c>
      <c r="B219" s="78" t="str">
        <f>IF(ISBLANK(A219),"","F"&amp;COUNTA($A$200:A219))</f>
        <v>F19</v>
      </c>
      <c r="C219" s="627" t="s">
        <v>275</v>
      </c>
      <c r="D219" s="72" t="s">
        <v>91</v>
      </c>
      <c r="E219" s="71" t="s">
        <v>24</v>
      </c>
      <c r="F219" s="613">
        <v>773</v>
      </c>
      <c r="G219" s="613"/>
      <c r="H219" s="613"/>
      <c r="I219" s="613"/>
      <c r="J219" s="144"/>
    </row>
    <row r="220" spans="1:11" s="38" customFormat="1" x14ac:dyDescent="0.25">
      <c r="A220" s="72" t="s">
        <v>251</v>
      </c>
      <c r="B220" s="78" t="str">
        <f>IF(ISBLANK(A220),"","F"&amp;COUNTA($A$200:A220))</f>
        <v>F20</v>
      </c>
      <c r="C220" s="627" t="s">
        <v>276</v>
      </c>
      <c r="D220" s="72" t="s">
        <v>91</v>
      </c>
      <c r="E220" s="71" t="s">
        <v>24</v>
      </c>
      <c r="F220" s="613">
        <v>550</v>
      </c>
      <c r="G220" s="613">
        <v>550</v>
      </c>
      <c r="H220" s="613">
        <v>550</v>
      </c>
      <c r="I220" s="613">
        <v>550</v>
      </c>
      <c r="J220" s="144"/>
    </row>
    <row r="221" spans="1:11" s="38" customFormat="1" x14ac:dyDescent="0.25">
      <c r="A221" s="72" t="s">
        <v>251</v>
      </c>
      <c r="B221" s="78" t="str">
        <f>IF(ISBLANK(A221),"","F"&amp;COUNTA($A$200:A221))</f>
        <v>F21</v>
      </c>
      <c r="C221" s="627" t="s">
        <v>277</v>
      </c>
      <c r="D221" s="72" t="s">
        <v>91</v>
      </c>
      <c r="E221" s="71" t="s">
        <v>24</v>
      </c>
      <c r="F221" s="613">
        <v>1900</v>
      </c>
      <c r="G221" s="613">
        <v>1900</v>
      </c>
      <c r="H221" s="613">
        <v>1900</v>
      </c>
      <c r="I221" s="613">
        <v>1900</v>
      </c>
      <c r="J221" s="144"/>
    </row>
    <row r="222" spans="1:11" s="38" customFormat="1" x14ac:dyDescent="0.25">
      <c r="A222" s="72" t="s">
        <v>251</v>
      </c>
      <c r="B222" s="78" t="str">
        <f>IF(ISBLANK(A222),"","F"&amp;COUNTA($A$200:A222))</f>
        <v>F22</v>
      </c>
      <c r="C222" s="627" t="s">
        <v>278</v>
      </c>
      <c r="D222" s="72" t="s">
        <v>91</v>
      </c>
      <c r="E222" s="71" t="s">
        <v>24</v>
      </c>
      <c r="F222" s="580">
        <v>650</v>
      </c>
      <c r="G222" s="580">
        <v>650</v>
      </c>
      <c r="H222" s="580">
        <v>650</v>
      </c>
      <c r="I222" s="580">
        <v>650</v>
      </c>
      <c r="J222" s="144"/>
    </row>
    <row r="223" spans="1:11" s="38" customFormat="1" x14ac:dyDescent="0.25">
      <c r="A223" s="72" t="s">
        <v>251</v>
      </c>
      <c r="B223" s="78" t="str">
        <f>IF(ISBLANK(A223),"","F"&amp;COUNTA($A$200:A223))</f>
        <v>F23</v>
      </c>
      <c r="C223" s="627" t="s">
        <v>279</v>
      </c>
      <c r="D223" s="72" t="s">
        <v>91</v>
      </c>
      <c r="E223" s="71" t="s">
        <v>24</v>
      </c>
      <c r="F223" s="580">
        <f>+F222*-1</f>
        <v>-650</v>
      </c>
      <c r="G223" s="580">
        <f>+G222*-1</f>
        <v>-650</v>
      </c>
      <c r="H223" s="580">
        <f>+H222*-1</f>
        <v>-650</v>
      </c>
      <c r="I223" s="580">
        <f>+I222*-1</f>
        <v>-650</v>
      </c>
      <c r="J223" s="144"/>
    </row>
    <row r="224" spans="1:11" s="38" customFormat="1" x14ac:dyDescent="0.25">
      <c r="A224" s="72" t="s">
        <v>251</v>
      </c>
      <c r="B224" s="78" t="str">
        <f>IF(ISBLANK(A224),"","F"&amp;COUNTA($A$200:A224))</f>
        <v>F24</v>
      </c>
      <c r="C224" s="627" t="s">
        <v>280</v>
      </c>
      <c r="D224" s="72" t="s">
        <v>91</v>
      </c>
      <c r="E224" s="71" t="s">
        <v>24</v>
      </c>
      <c r="F224" s="255">
        <v>4000</v>
      </c>
      <c r="G224" s="255"/>
      <c r="H224" s="255"/>
      <c r="I224" s="255"/>
      <c r="J224" s="144"/>
    </row>
    <row r="225" spans="1:10" s="38" customFormat="1" x14ac:dyDescent="0.25">
      <c r="A225" s="72" t="s">
        <v>251</v>
      </c>
      <c r="B225" s="78" t="str">
        <f>IF(ISBLANK(A225),"","F"&amp;COUNTA($A$200:A225))</f>
        <v>F25</v>
      </c>
      <c r="C225" s="627" t="s">
        <v>281</v>
      </c>
      <c r="D225" s="72" t="s">
        <v>91</v>
      </c>
      <c r="E225" s="71" t="s">
        <v>24</v>
      </c>
      <c r="F225" s="255">
        <v>470</v>
      </c>
      <c r="G225" s="255">
        <v>470</v>
      </c>
      <c r="H225" s="255">
        <v>470</v>
      </c>
      <c r="I225" s="255">
        <v>470</v>
      </c>
      <c r="J225" s="144"/>
    </row>
    <row r="226" spans="1:10" s="38" customFormat="1" x14ac:dyDescent="0.25">
      <c r="A226" s="72"/>
      <c r="B226" s="78" t="str">
        <f>IF(ISBLANK(A226),"","F"&amp;COUNTA($A$200:A226))</f>
        <v/>
      </c>
      <c r="C226" s="82" t="s">
        <v>282</v>
      </c>
      <c r="D226" s="72"/>
      <c r="E226" s="71"/>
      <c r="F226" s="191"/>
      <c r="G226" s="191"/>
      <c r="H226" s="191"/>
      <c r="I226" s="191"/>
    </row>
    <row r="227" spans="1:10" s="38" customFormat="1" x14ac:dyDescent="0.25">
      <c r="A227" s="72" t="s">
        <v>251</v>
      </c>
      <c r="B227" s="78" t="str">
        <f>IF(ISBLANK(A227),"","F"&amp;COUNTA($A$200:A227))</f>
        <v>F26</v>
      </c>
      <c r="C227" s="84" t="s">
        <v>283</v>
      </c>
      <c r="D227" s="72" t="s">
        <v>91</v>
      </c>
      <c r="E227" s="71" t="s">
        <v>24</v>
      </c>
      <c r="F227" s="191">
        <v>2082</v>
      </c>
      <c r="G227" s="191">
        <v>3750</v>
      </c>
      <c r="H227" s="191">
        <v>4536</v>
      </c>
      <c r="I227" s="191">
        <v>6335</v>
      </c>
    </row>
    <row r="228" spans="1:10" s="38" customFormat="1" x14ac:dyDescent="0.25">
      <c r="A228" s="72" t="s">
        <v>251</v>
      </c>
      <c r="B228" s="78" t="str">
        <f>IF(ISBLANK(A228),"","F"&amp;COUNTA($A$200:A228))</f>
        <v>F27</v>
      </c>
      <c r="C228" s="84" t="s">
        <v>284</v>
      </c>
      <c r="D228" s="72" t="s">
        <v>91</v>
      </c>
      <c r="E228" s="71" t="s">
        <v>24</v>
      </c>
      <c r="F228" s="191">
        <v>517</v>
      </c>
      <c r="G228" s="191">
        <v>517</v>
      </c>
      <c r="H228" s="191">
        <v>568</v>
      </c>
      <c r="I228" s="191">
        <v>1542</v>
      </c>
    </row>
    <row r="229" spans="1:10" s="38" customFormat="1" x14ac:dyDescent="0.25">
      <c r="A229" s="72" t="s">
        <v>251</v>
      </c>
      <c r="B229" s="78" t="str">
        <f>IF(ISBLANK(A229),"","F"&amp;COUNTA($A$200:A229))</f>
        <v>F28</v>
      </c>
      <c r="C229" s="84" t="s">
        <v>285</v>
      </c>
      <c r="D229" s="72" t="s">
        <v>91</v>
      </c>
      <c r="E229" s="71" t="s">
        <v>24</v>
      </c>
      <c r="F229" s="191">
        <f>10854+1200</f>
        <v>12054</v>
      </c>
      <c r="G229" s="191">
        <f>10854+1200</f>
        <v>12054</v>
      </c>
      <c r="H229" s="191">
        <f>10854+1200</f>
        <v>12054</v>
      </c>
      <c r="I229" s="191">
        <f>10854+1200</f>
        <v>12054</v>
      </c>
    </row>
    <row r="230" spans="1:10" s="38" customFormat="1" x14ac:dyDescent="0.25">
      <c r="A230" s="72" t="s">
        <v>251</v>
      </c>
      <c r="B230" s="78" t="str">
        <f>IF(ISBLANK(A230),"","F"&amp;COUNTA($A$200:A230))</f>
        <v>F29</v>
      </c>
      <c r="C230" s="84" t="s">
        <v>286</v>
      </c>
      <c r="D230" s="72" t="s">
        <v>91</v>
      </c>
      <c r="E230" s="71" t="s">
        <v>24</v>
      </c>
      <c r="F230" s="191">
        <v>35000</v>
      </c>
      <c r="G230" s="191">
        <v>14000</v>
      </c>
      <c r="H230" s="191">
        <v>1000</v>
      </c>
      <c r="I230" s="191">
        <v>1000</v>
      </c>
      <c r="J230" s="144"/>
    </row>
    <row r="231" spans="1:10" s="38" customFormat="1" x14ac:dyDescent="0.25">
      <c r="A231" s="72" t="s">
        <v>251</v>
      </c>
      <c r="B231" s="78" t="str">
        <f>IF(ISBLANK(A231),"","F"&amp;COUNTA($A$200:A231))</f>
        <v>F30</v>
      </c>
      <c r="C231" s="84" t="s">
        <v>287</v>
      </c>
      <c r="D231" s="72" t="s">
        <v>91</v>
      </c>
      <c r="E231" s="71" t="s">
        <v>24</v>
      </c>
      <c r="F231" s="191">
        <v>35000</v>
      </c>
      <c r="G231" s="191">
        <v>35000</v>
      </c>
      <c r="H231" s="191">
        <v>35000</v>
      </c>
      <c r="I231" s="191">
        <v>35000</v>
      </c>
    </row>
    <row r="232" spans="1:10" s="38" customFormat="1" x14ac:dyDescent="0.25">
      <c r="A232" s="72"/>
      <c r="B232" s="78" t="str">
        <f>IF(ISBLANK(A232),"","F"&amp;COUNTA($A$200:A232))</f>
        <v/>
      </c>
      <c r="C232" s="82" t="s">
        <v>288</v>
      </c>
      <c r="D232" s="83"/>
      <c r="E232" s="71"/>
      <c r="F232" s="4">
        <f>F199</f>
        <v>2023</v>
      </c>
      <c r="G232" s="4">
        <f>F232+1</f>
        <v>2024</v>
      </c>
      <c r="H232" s="4">
        <f>G232+1</f>
        <v>2025</v>
      </c>
      <c r="I232" s="4">
        <f>H232+1</f>
        <v>2026</v>
      </c>
    </row>
    <row r="233" spans="1:10" s="38" customFormat="1" x14ac:dyDescent="0.25">
      <c r="A233" s="72" t="s">
        <v>251</v>
      </c>
      <c r="B233" s="78" t="str">
        <f>IF(ISBLANK(A233),"","F"&amp;COUNTA($A$200:A233))</f>
        <v>F31</v>
      </c>
      <c r="C233" s="38" t="s">
        <v>289</v>
      </c>
      <c r="D233" s="72" t="s">
        <v>89</v>
      </c>
      <c r="E233" s="71" t="s">
        <v>84</v>
      </c>
      <c r="F233" s="217">
        <v>2430</v>
      </c>
      <c r="G233" s="391"/>
      <c r="H233" s="391">
        <v>2430</v>
      </c>
      <c r="I233" s="391"/>
    </row>
    <row r="234" spans="1:10" s="38" customFormat="1" x14ac:dyDescent="0.25">
      <c r="A234" s="72" t="s">
        <v>251</v>
      </c>
      <c r="B234" s="78" t="str">
        <f>IF(ISBLANK(A234),"","F"&amp;COUNTA($A$200:A234))</f>
        <v>F32</v>
      </c>
      <c r="C234" s="295" t="s">
        <v>290</v>
      </c>
      <c r="D234" s="72" t="s">
        <v>89</v>
      </c>
      <c r="E234" s="71" t="s">
        <v>84</v>
      </c>
      <c r="F234" s="217">
        <v>400</v>
      </c>
      <c r="G234" s="391"/>
      <c r="H234" s="391">
        <v>400</v>
      </c>
      <c r="I234" s="391"/>
    </row>
    <row r="235" spans="1:10" s="38" customFormat="1" ht="30" x14ac:dyDescent="0.25">
      <c r="A235" s="72" t="s">
        <v>251</v>
      </c>
      <c r="B235" s="78" t="str">
        <f>IF(ISBLANK(A235),"","F"&amp;COUNTA($A$200:A235))</f>
        <v>F33</v>
      </c>
      <c r="C235" s="295" t="s">
        <v>291</v>
      </c>
      <c r="D235" s="72" t="s">
        <v>89</v>
      </c>
      <c r="E235" s="71" t="s">
        <v>84</v>
      </c>
      <c r="F235" s="217">
        <v>300</v>
      </c>
      <c r="G235" s="391"/>
      <c r="H235" s="391"/>
      <c r="I235" s="391"/>
    </row>
    <row r="236" spans="1:10" s="38" customFormat="1" x14ac:dyDescent="0.25">
      <c r="A236" s="72" t="s">
        <v>251</v>
      </c>
      <c r="B236" s="78" t="str">
        <f>IF(ISBLANK(A236),"","F"&amp;COUNTA($A$200:A236))</f>
        <v>F34</v>
      </c>
      <c r="C236" s="295" t="s">
        <v>292</v>
      </c>
      <c r="D236" s="72" t="s">
        <v>89</v>
      </c>
      <c r="E236" s="71" t="s">
        <v>84</v>
      </c>
      <c r="F236" s="217">
        <v>200</v>
      </c>
      <c r="G236" s="391"/>
      <c r="H236" s="391"/>
      <c r="I236" s="391"/>
    </row>
    <row r="237" spans="1:10" s="38" customFormat="1" x14ac:dyDescent="0.25">
      <c r="A237" s="72" t="s">
        <v>251</v>
      </c>
      <c r="B237" s="78" t="str">
        <f>IF(ISBLANK(A237),"","F"&amp;COUNTA($A$200:A237))</f>
        <v>F35</v>
      </c>
      <c r="C237" s="295" t="s">
        <v>293</v>
      </c>
      <c r="D237" s="72" t="s">
        <v>89</v>
      </c>
      <c r="E237" s="71" t="s">
        <v>84</v>
      </c>
      <c r="F237" s="217">
        <v>-2000</v>
      </c>
      <c r="G237" s="391">
        <v>-2000</v>
      </c>
      <c r="H237" s="391">
        <v>-2000</v>
      </c>
      <c r="I237" s="391">
        <v>-2000</v>
      </c>
    </row>
    <row r="238" spans="1:10" s="38" customFormat="1" x14ac:dyDescent="0.25">
      <c r="A238" s="72" t="s">
        <v>251</v>
      </c>
      <c r="B238" s="78" t="str">
        <f>IF(ISBLANK(A238),"","F"&amp;COUNTA($A$200:A238))</f>
        <v>F36</v>
      </c>
      <c r="C238" s="295" t="s">
        <v>296</v>
      </c>
      <c r="D238" s="72" t="s">
        <v>89</v>
      </c>
      <c r="E238" s="71" t="s">
        <v>84</v>
      </c>
      <c r="F238" s="217">
        <v>400</v>
      </c>
      <c r="G238" s="391"/>
      <c r="H238" s="391">
        <v>400</v>
      </c>
      <c r="I238" s="391"/>
    </row>
    <row r="239" spans="1:10" s="38" customFormat="1" x14ac:dyDescent="0.25">
      <c r="A239" s="72" t="s">
        <v>251</v>
      </c>
      <c r="B239" s="78" t="str">
        <f>IF(ISBLANK(A239),"","F"&amp;COUNTA($A$200:A239))</f>
        <v>F37</v>
      </c>
      <c r="C239" s="295" t="s">
        <v>297</v>
      </c>
      <c r="D239" s="72" t="s">
        <v>89</v>
      </c>
      <c r="E239" s="71" t="s">
        <v>84</v>
      </c>
      <c r="F239" s="217"/>
      <c r="G239" s="391">
        <v>1000</v>
      </c>
      <c r="H239" s="391"/>
      <c r="I239" s="391"/>
    </row>
    <row r="240" spans="1:10" s="38" customFormat="1" x14ac:dyDescent="0.25">
      <c r="A240" s="72" t="s">
        <v>251</v>
      </c>
      <c r="B240" s="78" t="str">
        <f>IF(ISBLANK(A240),"","F"&amp;COUNTA($A$200:A240))</f>
        <v>F38</v>
      </c>
      <c r="C240" s="295" t="s">
        <v>298</v>
      </c>
      <c r="D240" s="72" t="s">
        <v>91</v>
      </c>
      <c r="E240" s="71" t="s">
        <v>24</v>
      </c>
      <c r="F240" s="217">
        <v>225</v>
      </c>
      <c r="G240" s="217">
        <v>225</v>
      </c>
      <c r="H240" s="217">
        <v>225</v>
      </c>
      <c r="I240" s="217">
        <v>225</v>
      </c>
    </row>
    <row r="241" spans="1:10" s="38" customFormat="1" x14ac:dyDescent="0.25">
      <c r="A241" s="72" t="s">
        <v>251</v>
      </c>
      <c r="B241" s="78" t="str">
        <f>IF(ISBLANK(A241),"","F"&amp;COUNTA($A$200:A241))</f>
        <v>F39</v>
      </c>
      <c r="C241" s="38" t="s">
        <v>299</v>
      </c>
      <c r="D241" s="72" t="s">
        <v>91</v>
      </c>
      <c r="E241" s="71" t="s">
        <v>24</v>
      </c>
      <c r="F241" s="271">
        <v>200</v>
      </c>
      <c r="G241" s="281"/>
      <c r="H241" s="281"/>
      <c r="I241" s="281"/>
    </row>
    <row r="242" spans="1:10" s="38" customFormat="1" x14ac:dyDescent="0.25">
      <c r="A242" s="72" t="s">
        <v>251</v>
      </c>
      <c r="B242" s="78" t="str">
        <f>IF(ISBLANK(A242),"","F"&amp;COUNTA($A$200:A242))</f>
        <v>F40</v>
      </c>
      <c r="C242" s="38" t="s">
        <v>299</v>
      </c>
      <c r="D242" s="72" t="s">
        <v>91</v>
      </c>
      <c r="E242" s="71" t="s">
        <v>24</v>
      </c>
      <c r="F242" s="191">
        <v>-200</v>
      </c>
      <c r="G242" s="191"/>
      <c r="H242" s="191"/>
      <c r="I242" s="191"/>
      <c r="J242" s="144"/>
    </row>
    <row r="243" spans="1:10" s="38" customFormat="1" ht="30" x14ac:dyDescent="0.25">
      <c r="A243" s="43"/>
      <c r="B243" s="43" t="s">
        <v>127</v>
      </c>
      <c r="C243" s="3" t="s">
        <v>304</v>
      </c>
      <c r="D243" s="52"/>
      <c r="E243" s="52"/>
      <c r="F243" s="56">
        <f>SUMIF($A:$A,"KOM.FELLES",F:F)</f>
        <v>254552</v>
      </c>
      <c r="G243" s="56">
        <f>SUMIF($A:$A,"KOM.FELLES",G:G)</f>
        <v>226942</v>
      </c>
      <c r="H243" s="56">
        <f>SUMIF($A:$A,"KOM.FELLES",H:H)</f>
        <v>216559</v>
      </c>
      <c r="I243" s="56">
        <f>SUMIF($A:$A,"KOM.FELLES",I:I)</f>
        <v>215302</v>
      </c>
    </row>
    <row r="244" spans="1:10" ht="15.75" thickBot="1" x14ac:dyDescent="0.3">
      <c r="E244" s="629" t="s">
        <v>305</v>
      </c>
      <c r="F244" s="630">
        <f>F243+F196+F188+F178+F151+F141+F101</f>
        <v>506955</v>
      </c>
      <c r="G244" s="630">
        <f t="shared" ref="G244:I244" si="0">G243+G196+G188+G178+G151+G141+G101</f>
        <v>463496</v>
      </c>
      <c r="H244" s="630">
        <f t="shared" si="0"/>
        <v>434492</v>
      </c>
      <c r="I244" s="630">
        <f t="shared" si="0"/>
        <v>437010</v>
      </c>
    </row>
    <row r="245" spans="1:10" ht="15.75" thickTop="1" x14ac:dyDescent="0.25">
      <c r="F245" s="256"/>
    </row>
    <row r="249" spans="1:10" x14ac:dyDescent="0.25">
      <c r="F249" s="182"/>
      <c r="G249" s="182"/>
      <c r="H249" s="182"/>
      <c r="I249" s="182"/>
    </row>
    <row r="250" spans="1:10" x14ac:dyDescent="0.25">
      <c r="D250" s="256"/>
      <c r="E250" s="256"/>
      <c r="F250" s="256"/>
      <c r="G250" s="256"/>
      <c r="H250" s="256"/>
      <c r="I250" s="256"/>
    </row>
    <row r="251" spans="1:10" x14ac:dyDescent="0.25">
      <c r="F251" s="256"/>
      <c r="G251" s="256"/>
      <c r="H251" s="256"/>
      <c r="I251" s="256"/>
    </row>
    <row r="252" spans="1:10" x14ac:dyDescent="0.25">
      <c r="F252" s="256"/>
      <c r="G252" s="256"/>
      <c r="H252" s="256"/>
      <c r="I252" s="256"/>
    </row>
    <row r="253" spans="1:10" x14ac:dyDescent="0.25">
      <c r="F253" s="256"/>
      <c r="G253" s="256"/>
      <c r="H253" s="256"/>
      <c r="I253" s="256"/>
    </row>
    <row r="254" spans="1:10" x14ac:dyDescent="0.25">
      <c r="F254" s="256"/>
      <c r="G254" s="256"/>
      <c r="H254" s="256"/>
      <c r="I254" s="256"/>
    </row>
    <row r="255" spans="1:10" x14ac:dyDescent="0.25">
      <c r="F255" s="256"/>
      <c r="G255" s="256"/>
      <c r="H255" s="256"/>
      <c r="I255" s="256"/>
    </row>
    <row r="256" spans="1:10" x14ac:dyDescent="0.25">
      <c r="F256" s="256"/>
      <c r="G256" s="256"/>
      <c r="H256" s="256"/>
      <c r="I256" s="256"/>
    </row>
    <row r="257" spans="6:9" x14ac:dyDescent="0.25">
      <c r="F257" s="256"/>
      <c r="G257" s="256"/>
      <c r="H257" s="256"/>
      <c r="I257" s="256"/>
    </row>
  </sheetData>
  <conditionalFormatting sqref="F20:I20">
    <cfRule type="cellIs" dxfId="23" priority="2" operator="notEqual">
      <formula>0</formula>
    </cfRule>
  </conditionalFormatting>
  <conditionalFormatting sqref="I20">
    <cfRule type="cellIs" dxfId="22" priority="1" operator="notEqual">
      <formula>0</formula>
    </cfRule>
  </conditionalFormatting>
  <dataValidations count="1">
    <dataValidation type="list" allowBlank="1" showInputMessage="1" showErrorMessage="1" sqref="D175 D177" xr:uid="{496A4813-CDDB-451B-A79A-99A8A67C9EF1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E0AAE24-12E7-48C7-9B72-802CFDE6C33F}">
          <x14:formula1>
            <xm:f>Div!$B$3:$B$6</xm:f>
          </x14:formula1>
          <xm:sqref>E86 E138 E129:E130 E180 E64:E69 E190 E143:E144 E146 E102:E103 E107 E153 E155 E232 E198:E199 E204</xm:sqref>
        </x14:dataValidation>
        <x14:dataValidation type="list" allowBlank="1" showInputMessage="1" showErrorMessage="1" xr:uid="{06FDE898-3484-4431-BFE4-E5927E5BE908}">
          <x14:formula1>
            <xm:f>Div!$C$3:$C$58</xm:f>
          </x14:formula1>
          <xm:sqref>D146 D243:E243 D91:E91 D129:D130 D141:D144 D188:D190 E191:E197 E70:E85 E131:E142 D151:D153 D155 D107 D138 D178:D180 E147:E152 D86 D101:D103 D64:D69 E87:E90 E145 E181:E189 E154:E179 E92:E101 D196:D199 E205:E231 D232 E233:E242 D204 E200:E203 E31:E63 E104:E128</xm:sqref>
        </x14:dataValidation>
        <x14:dataValidation type="list" allowBlank="1" showInputMessage="1" showErrorMessage="1" xr:uid="{804F004E-194D-4758-9134-605DEF9E2F2F}">
          <x14:formula1>
            <xm:f>Div!$B$3:$B$8</xm:f>
          </x14:formula1>
          <xm:sqref>D145 D87:D90 D147:D150 D176 D92:D100 D154:D174 D181:D187 D191:D195 D70:D85 D131:D140 D233:D242 D205:D231 D200:D203 D31:D63 D104:D128</xm:sqref>
        </x14:dataValidation>
        <x14:dataValidation type="list" allowBlank="1" showInputMessage="1" showErrorMessage="1" xr:uid="{93340830-22AD-4305-8652-3133504E9440}">
          <x14:formula1>
            <xm:f>Div!$A$3:$A$11</xm:f>
          </x14:formula1>
          <xm:sqref>A31:A69 A101:A243</xm:sqref>
        </x14:dataValidation>
        <x14:dataValidation type="list" allowBlank="1" showInputMessage="1" showErrorMessage="1" xr:uid="{568F05BD-325D-4CA4-BF19-F6C4DEBAEB6A}">
          <x14:formula1>
            <xm:f>Div!$A$3:$A$13</xm:f>
          </x14:formula1>
          <xm:sqref>A70:A100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CC889-A0EB-4C5B-9BD4-D4207850E5B8}">
  <sheetPr>
    <tabColor rgb="FFFF0000"/>
    <pageSetUpPr fitToPage="1"/>
  </sheetPr>
  <dimension ref="A1:V262"/>
  <sheetViews>
    <sheetView topLeftCell="A97" workbookViewId="0">
      <selection activeCell="C105" sqref="C105"/>
    </sheetView>
  </sheetViews>
  <sheetFormatPr baseColWidth="10" defaultColWidth="11.42578125" defaultRowHeight="15" x14ac:dyDescent="0.25"/>
  <cols>
    <col min="1" max="1" width="7.140625" customWidth="1"/>
    <col min="2" max="2" width="5.5703125" style="563" bestFit="1" customWidth="1"/>
    <col min="3" max="3" width="46.42578125" customWidth="1"/>
    <col min="4" max="5" width="12.140625" bestFit="1" customWidth="1"/>
    <col min="7" max="9" width="12.140625" bestFit="1" customWidth="1"/>
    <col min="10" max="10" width="55.42578125" customWidth="1"/>
    <col min="11" max="11" width="18.140625" customWidth="1"/>
  </cols>
  <sheetData>
    <row r="1" spans="1:10" s="28" customFormat="1" ht="23.25" x14ac:dyDescent="0.25">
      <c r="A1" s="294" t="s">
        <v>0</v>
      </c>
      <c r="B1" s="553"/>
      <c r="C1" s="296"/>
      <c r="D1" s="525"/>
      <c r="E1" s="93"/>
      <c r="F1" s="294"/>
      <c r="G1" s="294"/>
      <c r="H1" s="294"/>
      <c r="I1" s="294"/>
    </row>
    <row r="2" spans="1:10" s="28" customFormat="1" x14ac:dyDescent="0.25">
      <c r="A2" s="38"/>
      <c r="B2" s="553"/>
      <c r="C2" s="295"/>
      <c r="D2" s="93"/>
      <c r="E2" s="93"/>
      <c r="F2" s="38"/>
      <c r="G2" s="38"/>
      <c r="H2" s="38"/>
      <c r="I2" s="38"/>
    </row>
    <row r="3" spans="1:10" s="38" customFormat="1" x14ac:dyDescent="0.25">
      <c r="A3" s="297"/>
      <c r="B3" s="554"/>
      <c r="C3" s="298"/>
      <c r="D3" s="299"/>
      <c r="E3" s="299"/>
      <c r="F3" s="300">
        <v>2020</v>
      </c>
      <c r="G3" s="300">
        <v>46210</v>
      </c>
      <c r="H3" s="300">
        <v>2022</v>
      </c>
      <c r="I3" s="300"/>
    </row>
    <row r="4" spans="1:10" s="38" customFormat="1" x14ac:dyDescent="0.25">
      <c r="A4" s="301" t="s">
        <v>1</v>
      </c>
      <c r="B4" s="555"/>
      <c r="C4" s="303"/>
      <c r="D4" s="304"/>
      <c r="E4" s="304"/>
      <c r="F4" s="305">
        <v>4902782</v>
      </c>
      <c r="G4" s="305">
        <f>F4</f>
        <v>4902782</v>
      </c>
      <c r="H4" s="305">
        <f>G4</f>
        <v>4902782</v>
      </c>
      <c r="I4" s="305">
        <f>H4</f>
        <v>4902782</v>
      </c>
    </row>
    <row r="5" spans="1:10" s="38" customFormat="1" x14ac:dyDescent="0.25">
      <c r="A5" s="38" t="str">
        <f>C65</f>
        <v>SUM SENTRALE INNTEKTER OG FINANSPOSTER</v>
      </c>
      <c r="B5" s="553"/>
      <c r="C5" s="123"/>
      <c r="D5" s="93"/>
      <c r="E5" s="93"/>
      <c r="F5" s="2">
        <f>F65</f>
        <v>-5409737</v>
      </c>
      <c r="G5" s="2">
        <f>G65</f>
        <v>-5375278</v>
      </c>
      <c r="H5" s="2">
        <f>H65</f>
        <v>-5346274</v>
      </c>
      <c r="I5" s="2">
        <f>I65</f>
        <v>-5348792</v>
      </c>
      <c r="J5" s="95"/>
    </row>
    <row r="6" spans="1:10" s="38" customFormat="1" x14ac:dyDescent="0.25">
      <c r="A6" s="307" t="s">
        <v>2</v>
      </c>
      <c r="B6" s="556"/>
      <c r="C6" s="309"/>
      <c r="D6" s="310"/>
      <c r="E6" s="310"/>
      <c r="F6" s="311">
        <f>SUM(F4:F5)</f>
        <v>-506955</v>
      </c>
      <c r="G6" s="311">
        <f>SUM(G4:G5)</f>
        <v>-472496</v>
      </c>
      <c r="H6" s="311">
        <f>SUM(H4:H5)</f>
        <v>-443492</v>
      </c>
      <c r="I6" s="311">
        <f>SUM(I4:I5)</f>
        <v>-446010</v>
      </c>
    </row>
    <row r="7" spans="1:10" s="38" customFormat="1" x14ac:dyDescent="0.25">
      <c r="A7" s="312"/>
      <c r="B7" s="555"/>
      <c r="C7" s="302"/>
      <c r="D7" s="304"/>
      <c r="E7" s="304"/>
      <c r="F7" s="313"/>
      <c r="G7" s="313"/>
      <c r="H7" s="313"/>
      <c r="I7" s="313"/>
    </row>
    <row r="8" spans="1:10" s="38" customFormat="1" x14ac:dyDescent="0.25">
      <c r="A8" s="314" t="s">
        <v>3</v>
      </c>
      <c r="B8" s="341"/>
      <c r="C8" s="207"/>
      <c r="D8" s="315"/>
      <c r="E8" s="315"/>
      <c r="F8" s="39">
        <f>SUMIF($D:$D,"ØP 22-25",F:F)</f>
        <v>13180</v>
      </c>
      <c r="G8" s="39">
        <f>SUMIF($D:$D,"ØP 22-25",G:G)</f>
        <v>13723</v>
      </c>
      <c r="H8" s="39">
        <f>SUMIF($D:$D,"ØP 22-25",H:H)</f>
        <v>31303</v>
      </c>
      <c r="I8" s="39">
        <f>SUMIF($D:$D,"ØP 22-25",I:I)</f>
        <v>29773</v>
      </c>
    </row>
    <row r="9" spans="1:10" s="38" customFormat="1" x14ac:dyDescent="0.25">
      <c r="A9" s="316" t="s">
        <v>4</v>
      </c>
      <c r="B9" s="557"/>
      <c r="C9" s="317"/>
      <c r="D9" s="318"/>
      <c r="E9" s="318"/>
      <c r="F9" s="267">
        <f>SUMIF($D:$D,"ØP 22-25 REKALK",F:F)</f>
        <v>190773</v>
      </c>
      <c r="G9" s="267">
        <f>SUMIF($D:$D,"ØP 22-25 REKALK",G:G)</f>
        <v>183376</v>
      </c>
      <c r="H9" s="267">
        <f>SUMIF($D:$D,"ØP 22-25 REKALK",H:H)</f>
        <v>175205</v>
      </c>
      <c r="I9" s="267">
        <f>SUMIF($D:$D,"ØP 22-25 REKALK",I:I)</f>
        <v>176580</v>
      </c>
    </row>
    <row r="10" spans="1:10" s="38" customFormat="1" x14ac:dyDescent="0.25">
      <c r="A10" s="319" t="s">
        <v>5</v>
      </c>
      <c r="B10" s="558"/>
      <c r="C10" s="320"/>
      <c r="D10" s="321"/>
      <c r="E10" s="321"/>
      <c r="F10" s="322">
        <f>F6+F8+F9</f>
        <v>-303002</v>
      </c>
      <c r="G10" s="322">
        <f>G6+G8+G9</f>
        <v>-275397</v>
      </c>
      <c r="H10" s="322">
        <f>H6+H8+H9</f>
        <v>-236984</v>
      </c>
      <c r="I10" s="322">
        <f>I6+I8+I9</f>
        <v>-239657</v>
      </c>
    </row>
    <row r="11" spans="1:10" s="28" customFormat="1" x14ac:dyDescent="0.25">
      <c r="A11" s="38"/>
      <c r="B11" s="553"/>
      <c r="C11" s="295"/>
      <c r="D11" s="93"/>
      <c r="E11" s="93"/>
      <c r="F11" s="2"/>
      <c r="G11" s="2"/>
      <c r="H11" s="2"/>
      <c r="I11" s="2"/>
    </row>
    <row r="12" spans="1:10" s="28" customFormat="1" x14ac:dyDescent="0.25">
      <c r="A12" s="312" t="s">
        <v>6</v>
      </c>
      <c r="B12" s="553"/>
      <c r="C12" s="295"/>
      <c r="D12" s="93"/>
      <c r="E12" s="93"/>
      <c r="F12" s="2">
        <f>SUMIFS(F:F,$D:$D,"NYTT",$E:$E,"INNSP")</f>
        <v>0</v>
      </c>
      <c r="G12" s="2">
        <f>SUMIFS(G:G,$D:$D,"NYTT",$E:$E,"INNSP")</f>
        <v>0</v>
      </c>
      <c r="H12" s="2">
        <f>SUMIFS(H:H,$D:$D,"NYTT",$E:$E,"INNSP")</f>
        <v>0</v>
      </c>
      <c r="I12" s="2">
        <f>SUMIFS(I:I,$D:$D,"NYTT",$E:$E,"INNSP")</f>
        <v>0</v>
      </c>
    </row>
    <row r="13" spans="1:10" s="38" customFormat="1" x14ac:dyDescent="0.25">
      <c r="A13" s="316" t="s">
        <v>7</v>
      </c>
      <c r="B13" s="557"/>
      <c r="C13" s="317"/>
      <c r="D13" s="318"/>
      <c r="E13" s="318"/>
      <c r="F13" s="267">
        <f>SUMIFS(F:F,$D:$D,"NYTT",$E:$E,"MÅ")</f>
        <v>303002</v>
      </c>
      <c r="G13" s="267">
        <f>SUMIFS(G:G,$D:$D,"NYTT",$E:$E,"MÅ")</f>
        <v>275397</v>
      </c>
      <c r="H13" s="267">
        <f>SUMIFS(H:H,$D:$D,"NYTT",$E:$E,"MÅ")</f>
        <v>236984</v>
      </c>
      <c r="I13" s="267">
        <f>SUMIFS(I:I,$D:$D,"NYTT",$E:$E,"MÅ")</f>
        <v>239657</v>
      </c>
    </row>
    <row r="14" spans="1:10" s="38" customFormat="1" x14ac:dyDescent="0.25">
      <c r="A14" s="307" t="s">
        <v>8</v>
      </c>
      <c r="B14" s="559"/>
      <c r="C14" s="309"/>
      <c r="D14" s="323"/>
      <c r="E14" s="323"/>
      <c r="F14" s="324">
        <f>F6+F8+F9+F12+F13</f>
        <v>0</v>
      </c>
      <c r="G14" s="324">
        <f>G6+G8+G9+G12+G13</f>
        <v>0</v>
      </c>
      <c r="H14" s="324">
        <f>H6+H8+H9+H12+H13</f>
        <v>0</v>
      </c>
      <c r="I14" s="324">
        <f>I6+I8+I9+I12+I13</f>
        <v>0</v>
      </c>
    </row>
    <row r="15" spans="1:10" s="38" customFormat="1" x14ac:dyDescent="0.25">
      <c r="A15" s="312"/>
      <c r="B15" s="555"/>
      <c r="C15" s="302"/>
      <c r="D15" s="304"/>
      <c r="E15" s="304"/>
      <c r="F15" s="491"/>
      <c r="G15" s="313"/>
      <c r="H15" s="313"/>
      <c r="I15" s="313"/>
    </row>
    <row r="16" spans="1:10" s="38" customFormat="1" x14ac:dyDescent="0.25">
      <c r="A16" s="312" t="s">
        <v>9</v>
      </c>
      <c r="B16" s="555"/>
      <c r="C16" s="302"/>
      <c r="D16" s="304"/>
      <c r="E16" s="304"/>
      <c r="F16" s="267">
        <f>SUMIFS(F:F,$D:$D,"Endring",$E:$E,"endring")</f>
        <v>0</v>
      </c>
      <c r="G16" s="267">
        <f>SUMIFS(G:G,$D:$D,"Endring",$E:$E,"endring")</f>
        <v>0</v>
      </c>
      <c r="H16" s="267">
        <f>SUMIFS(H:H,$D:$D,"Endring",$E:$E,"endring")</f>
        <v>0</v>
      </c>
      <c r="I16" s="267">
        <f>SUMIFS(I:I,$D:$D,"Endring",$E:$E,"endring")</f>
        <v>0</v>
      </c>
    </row>
    <row r="17" spans="1:16" s="38" customFormat="1" x14ac:dyDescent="0.25">
      <c r="A17" s="312"/>
      <c r="B17" s="555"/>
      <c r="C17" s="302"/>
      <c r="D17" s="304"/>
      <c r="E17" s="304"/>
      <c r="F17" s="491"/>
      <c r="G17" s="313"/>
      <c r="H17" s="313"/>
      <c r="I17" s="313"/>
    </row>
    <row r="18" spans="1:16" s="38" customFormat="1" x14ac:dyDescent="0.25">
      <c r="A18" s="314" t="s">
        <v>10</v>
      </c>
      <c r="B18" s="341"/>
      <c r="C18" s="207"/>
      <c r="D18" s="315"/>
      <c r="E18" s="315"/>
      <c r="F18" s="39">
        <f>SUMIF($D:$D,"NYTT",F:F)-F19-F13-F12</f>
        <v>0</v>
      </c>
      <c r="G18" s="39">
        <f>SUMIF($D:$D,"NYTT",G:G)-G19-G13-G12</f>
        <v>0</v>
      </c>
      <c r="H18" s="39">
        <f>SUMIF($D:$D,"NYTT",H:H)-H19-H13-H12</f>
        <v>0</v>
      </c>
      <c r="I18" s="39">
        <f>SUMIF($D:$D,"NYTT",I:I)-I19-I13-I12</f>
        <v>0</v>
      </c>
    </row>
    <row r="19" spans="1:16" s="38" customFormat="1" x14ac:dyDescent="0.25">
      <c r="A19" s="325" t="s">
        <v>11</v>
      </c>
      <c r="B19" s="341"/>
      <c r="C19" s="326"/>
      <c r="D19" s="315"/>
      <c r="E19" s="315"/>
      <c r="F19" s="327">
        <f>SUMIFS(F:F,$D:$D,"NYTT",$E:$E,"IKKE PRI")</f>
        <v>0</v>
      </c>
      <c r="G19" s="327">
        <f>SUMIFS(G:G,$D:$D,"NYTT",$E:$E,"IKKE PRI")</f>
        <v>0</v>
      </c>
      <c r="H19" s="327">
        <f>SUMIFS(H:H,$D:$D,"NYTT",$E:$E,"IKKE PRI")</f>
        <v>0</v>
      </c>
      <c r="I19" s="327">
        <f>SUMIFS(I:I,$D:$D,"NYTT",$E:$E,"IKKE PRI")</f>
        <v>0</v>
      </c>
    </row>
    <row r="20" spans="1:16" s="38" customFormat="1" x14ac:dyDescent="0.25">
      <c r="A20" s="325"/>
      <c r="B20" s="341"/>
      <c r="C20" s="326"/>
      <c r="D20" s="315"/>
      <c r="E20" s="315"/>
      <c r="F20" s="292">
        <f>(F8+F9+F13+F18+F19+F12+F16)-SUMIF($B:$B,"X",F:F)</f>
        <v>0</v>
      </c>
      <c r="G20" s="292">
        <f>(G8+G9+G13+G18+G19+G12+G16)-SUMIF($B:$B,"X",G:G)</f>
        <v>0</v>
      </c>
      <c r="H20" s="292">
        <f>(H8+H9+H13+H18+H19+H12+H16)-SUMIF($B:$B,"X",H:H)</f>
        <v>0</v>
      </c>
      <c r="I20" s="292">
        <f>(I8+I9+I13+I18+I19+I12+I16)-SUMIF($B:$B,"X",I:I)</f>
        <v>0</v>
      </c>
    </row>
    <row r="21" spans="1:16" s="38" customFormat="1" x14ac:dyDescent="0.25">
      <c r="A21" s="328"/>
      <c r="B21" s="329"/>
      <c r="C21" s="298"/>
      <c r="D21" s="330"/>
      <c r="E21" s="330"/>
      <c r="F21" s="331"/>
      <c r="G21" s="331"/>
      <c r="H21" s="331"/>
      <c r="I21" s="331"/>
    </row>
    <row r="22" spans="1:16" s="38" customFormat="1" x14ac:dyDescent="0.25">
      <c r="A22" s="332"/>
      <c r="B22" s="553"/>
      <c r="C22" s="333"/>
      <c r="D22" s="93"/>
      <c r="E22" s="93"/>
      <c r="F22" s="334">
        <f>F8+F9+F13+F12</f>
        <v>506955</v>
      </c>
      <c r="G22" s="334">
        <f>G8+G9+G13+G12</f>
        <v>472496</v>
      </c>
      <c r="H22" s="334">
        <f>H8+H9+H13+H12</f>
        <v>443492</v>
      </c>
      <c r="I22" s="334">
        <f>I8+I9+I13+I12</f>
        <v>446010</v>
      </c>
    </row>
    <row r="23" spans="1:16" s="38" customFormat="1" x14ac:dyDescent="0.25">
      <c r="A23" s="332"/>
      <c r="B23" s="553"/>
      <c r="C23" s="333"/>
      <c r="D23" s="93"/>
      <c r="E23" s="93"/>
      <c r="F23" s="334"/>
      <c r="G23" s="334"/>
      <c r="H23" s="334"/>
      <c r="I23" s="334"/>
    </row>
    <row r="24" spans="1:16" s="38" customFormat="1" hidden="1" x14ac:dyDescent="0.25">
      <c r="A24" s="192" t="s">
        <v>12</v>
      </c>
      <c r="B24" s="560"/>
      <c r="C24" s="236"/>
      <c r="D24" s="237"/>
      <c r="E24" s="237"/>
      <c r="F24" s="193"/>
      <c r="G24" s="193"/>
      <c r="H24" s="193"/>
      <c r="I24" s="193"/>
    </row>
    <row r="25" spans="1:16" s="125" customFormat="1" hidden="1" x14ac:dyDescent="0.25">
      <c r="A25" s="194" t="s">
        <v>13</v>
      </c>
      <c r="B25" s="561"/>
      <c r="C25" s="195"/>
      <c r="D25" s="239"/>
      <c r="E25" s="239"/>
      <c r="F25" s="196" t="e">
        <f>SUMIF(#REF!,"FOND",F:F)</f>
        <v>#REF!</v>
      </c>
      <c r="G25" s="196" t="e">
        <f>SUMIF(#REF!,"FOND",G:G)</f>
        <v>#REF!</v>
      </c>
      <c r="H25" s="196" t="e">
        <f>SUMIF(#REF!,"FOND",H:H)</f>
        <v>#REF!</v>
      </c>
      <c r="I25" s="196" t="e">
        <f>SUMIF(#REF!,"FOND",I:I)</f>
        <v>#REF!</v>
      </c>
      <c r="J25" s="38"/>
    </row>
    <row r="26" spans="1:16" s="38" customFormat="1" hidden="1" x14ac:dyDescent="0.25">
      <c r="A26" s="197" t="s">
        <v>14</v>
      </c>
      <c r="B26" s="560"/>
      <c r="C26" s="236"/>
      <c r="D26" s="237"/>
      <c r="E26" s="237"/>
      <c r="F26" s="198" t="e">
        <f>SUBTOTAL(9,F24:F25)</f>
        <v>#REF!</v>
      </c>
      <c r="G26" s="198" t="e">
        <f>SUBTOTAL(9,G24:G25)</f>
        <v>#REF!</v>
      </c>
      <c r="H26" s="198" t="e">
        <f>SUBTOTAL(9,H24:H25)</f>
        <v>#REF!</v>
      </c>
      <c r="I26" s="198" t="e">
        <f>SUBTOTAL(9,I24:I25)</f>
        <v>#REF!</v>
      </c>
    </row>
    <row r="27" spans="1:16" s="38" customFormat="1" x14ac:dyDescent="0.25">
      <c r="A27" s="28"/>
      <c r="B27" s="562"/>
      <c r="C27" s="11"/>
      <c r="D27" s="242"/>
      <c r="E27" s="242"/>
      <c r="F27" s="336">
        <f>(F8+F9+F13+F18+F19+F12)-SUMIF($B:$B,"X",F:F)</f>
        <v>0</v>
      </c>
      <c r="G27" s="336">
        <f>(G8+G9+G13+G18+G19+G12)-SUMIF($B:$B,"X",G:G)</f>
        <v>0</v>
      </c>
      <c r="H27" s="336">
        <f>(H8+H9+H13+H18+H19+H12)-SUMIF($B:$B,"X",H:H)</f>
        <v>0</v>
      </c>
      <c r="I27" s="336">
        <f>(I8+I9+I13+I18+I19+I12)-SUMIF($B:$B,"X",I:I)</f>
        <v>0</v>
      </c>
    </row>
    <row r="28" spans="1:16" s="38" customFormat="1" x14ac:dyDescent="0.25">
      <c r="A28" s="4" t="s">
        <v>15</v>
      </c>
      <c r="B28" s="5" t="s">
        <v>16</v>
      </c>
      <c r="C28" s="3" t="s">
        <v>17</v>
      </c>
      <c r="D28" s="8" t="s">
        <v>18</v>
      </c>
      <c r="E28" s="46" t="s">
        <v>19</v>
      </c>
      <c r="F28" s="4">
        <v>2023</v>
      </c>
      <c r="G28" s="4">
        <v>2024</v>
      </c>
      <c r="H28" s="4">
        <v>2025</v>
      </c>
      <c r="I28" s="4">
        <v>2026</v>
      </c>
      <c r="J28" s="4" t="s">
        <v>20</v>
      </c>
    </row>
    <row r="29" spans="1:16" s="38" customFormat="1" x14ac:dyDescent="0.25">
      <c r="A29" s="234"/>
      <c r="B29" s="562"/>
      <c r="C29" s="17"/>
      <c r="D29" s="51"/>
      <c r="E29" s="549"/>
      <c r="F29" s="334"/>
      <c r="G29" s="334"/>
      <c r="H29" s="334"/>
      <c r="I29" s="235"/>
    </row>
    <row r="30" spans="1:16" s="38" customFormat="1" x14ac:dyDescent="0.25">
      <c r="A30" s="15"/>
      <c r="B30" s="44"/>
      <c r="C30" s="16" t="s">
        <v>21</v>
      </c>
      <c r="D30" s="41"/>
      <c r="E30" s="551"/>
      <c r="F30" s="625"/>
      <c r="G30" s="625"/>
      <c r="H30" s="625"/>
      <c r="I30" s="85"/>
    </row>
    <row r="31" spans="1:16" s="38" customFormat="1" ht="22.5" x14ac:dyDescent="0.25">
      <c r="A31" s="78" t="s">
        <v>22</v>
      </c>
      <c r="B31" s="78" t="str">
        <f>IF(ISBLANK(A31),"","I"&amp;COUNTA($A$31:A31))</f>
        <v>I1</v>
      </c>
      <c r="C31" s="98" t="s">
        <v>23</v>
      </c>
      <c r="D31" s="79" t="s">
        <v>22</v>
      </c>
      <c r="E31" s="79" t="s">
        <v>24</v>
      </c>
      <c r="F31" s="90">
        <v>-2998000</v>
      </c>
      <c r="G31" s="90">
        <v>-3044000</v>
      </c>
      <c r="H31" s="90">
        <v>-3073000</v>
      </c>
      <c r="I31" s="90">
        <v>-3097000</v>
      </c>
      <c r="J31" s="38" t="s">
        <v>25</v>
      </c>
      <c r="M31" s="1">
        <v>2023</v>
      </c>
      <c r="N31" s="1">
        <v>2024</v>
      </c>
      <c r="O31" s="1">
        <v>2025</v>
      </c>
      <c r="P31" s="1">
        <v>2026</v>
      </c>
    </row>
    <row r="32" spans="1:16" s="38" customFormat="1" ht="22.5" x14ac:dyDescent="0.25">
      <c r="A32" s="78" t="s">
        <v>22</v>
      </c>
      <c r="B32" s="78" t="str">
        <f>IF(ISBLANK(A32),"","I"&amp;COUNTA($A$31:A32))</f>
        <v>I2</v>
      </c>
      <c r="C32" s="98" t="s">
        <v>29</v>
      </c>
      <c r="D32" s="79" t="s">
        <v>22</v>
      </c>
      <c r="E32" s="79" t="s">
        <v>24</v>
      </c>
      <c r="F32" s="90">
        <v>-2291000</v>
      </c>
      <c r="G32" s="90">
        <v>-2330000</v>
      </c>
      <c r="H32" s="90">
        <v>-2343000</v>
      </c>
      <c r="I32" s="90">
        <v>-2359000</v>
      </c>
      <c r="J32" s="38" t="s">
        <v>25</v>
      </c>
      <c r="K32" s="38" t="s">
        <v>309</v>
      </c>
      <c r="M32" s="620">
        <v>2.2999999999999998</v>
      </c>
      <c r="N32" s="620">
        <v>1.4</v>
      </c>
      <c r="O32" s="620">
        <v>0.85</v>
      </c>
      <c r="P32" s="620">
        <v>0.66</v>
      </c>
    </row>
    <row r="33" spans="1:18" s="38" customFormat="1" ht="22.5" x14ac:dyDescent="0.25">
      <c r="A33" s="78" t="s">
        <v>22</v>
      </c>
      <c r="B33" s="78" t="str">
        <f>IF(ISBLANK(A33),"","I"&amp;COUNTA($A$31:A33))</f>
        <v>I3</v>
      </c>
      <c r="C33" s="98" t="s">
        <v>30</v>
      </c>
      <c r="D33" s="79" t="s">
        <v>22</v>
      </c>
      <c r="E33" s="79" t="s">
        <v>24</v>
      </c>
      <c r="F33" s="413">
        <v>50000</v>
      </c>
      <c r="G33" s="90"/>
      <c r="H33" s="90"/>
      <c r="I33" s="90"/>
      <c r="J33" s="38" t="s">
        <v>31</v>
      </c>
      <c r="M33" s="620"/>
      <c r="N33" s="620"/>
      <c r="O33" s="620"/>
      <c r="P33" s="620"/>
    </row>
    <row r="34" spans="1:18" s="38" customFormat="1" ht="22.5" x14ac:dyDescent="0.25">
      <c r="A34" s="78" t="s">
        <v>22</v>
      </c>
      <c r="B34" s="78" t="str">
        <f>IF(ISBLANK(A34),"","I"&amp;COUNTA($A$31:A34))</f>
        <v>I4</v>
      </c>
      <c r="C34" s="98" t="s">
        <v>32</v>
      </c>
      <c r="D34" s="79" t="s">
        <v>22</v>
      </c>
      <c r="E34" s="79" t="s">
        <v>24</v>
      </c>
      <c r="F34" s="595">
        <v>-55000</v>
      </c>
      <c r="G34" s="595">
        <v>-57000</v>
      </c>
      <c r="H34" s="595">
        <v>-59000</v>
      </c>
      <c r="I34" s="595">
        <v>-61000</v>
      </c>
      <c r="J34" s="38" t="s">
        <v>33</v>
      </c>
    </row>
    <row r="35" spans="1:18" s="38" customFormat="1" ht="22.5" x14ac:dyDescent="0.25">
      <c r="A35" s="78" t="s">
        <v>22</v>
      </c>
      <c r="B35" s="78" t="str">
        <f>IF(ISBLANK(A35),"","I"&amp;COUNTA($A$31:A35))</f>
        <v>I5</v>
      </c>
      <c r="C35" s="98" t="s">
        <v>34</v>
      </c>
      <c r="D35" s="79" t="s">
        <v>22</v>
      </c>
      <c r="E35" s="79" t="s">
        <v>24</v>
      </c>
      <c r="F35" s="595">
        <v>-250000</v>
      </c>
      <c r="G35" s="595">
        <v>-150000</v>
      </c>
      <c r="H35" s="595">
        <v>-80000</v>
      </c>
      <c r="I35" s="595">
        <v>-64000</v>
      </c>
      <c r="J35" s="38" t="s">
        <v>35</v>
      </c>
      <c r="K35" s="38" t="s">
        <v>310</v>
      </c>
      <c r="M35" s="595">
        <v>225000</v>
      </c>
      <c r="N35" s="595">
        <v>180000</v>
      </c>
      <c r="O35" s="595">
        <v>180000</v>
      </c>
      <c r="P35" s="595">
        <v>180000</v>
      </c>
    </row>
    <row r="36" spans="1:18" s="38" customFormat="1" x14ac:dyDescent="0.25">
      <c r="A36" s="78"/>
      <c r="B36" s="78"/>
      <c r="C36" s="98" t="s">
        <v>311</v>
      </c>
      <c r="D36" s="79" t="s">
        <v>22</v>
      </c>
      <c r="E36" s="79" t="s">
        <v>24</v>
      </c>
      <c r="F36" s="413"/>
      <c r="G36" s="413"/>
      <c r="H36" s="413"/>
      <c r="I36" s="413"/>
      <c r="J36" s="38" t="s">
        <v>35</v>
      </c>
      <c r="K36" s="38" t="s">
        <v>312</v>
      </c>
      <c r="L36" s="38" t="s">
        <v>313</v>
      </c>
      <c r="M36" s="617"/>
      <c r="N36" s="617"/>
      <c r="O36" s="617"/>
      <c r="P36" s="617"/>
    </row>
    <row r="37" spans="1:18" s="38" customFormat="1" ht="22.5" x14ac:dyDescent="0.25">
      <c r="A37" s="78" t="s">
        <v>22</v>
      </c>
      <c r="B37" s="78" t="str">
        <f>IF(ISBLANK(A37),"","I"&amp;COUNTA($A$31:A37))</f>
        <v>I6</v>
      </c>
      <c r="C37" s="98" t="s">
        <v>36</v>
      </c>
      <c r="D37" s="79" t="s">
        <v>22</v>
      </c>
      <c r="E37" s="79" t="s">
        <v>24</v>
      </c>
      <c r="F37" s="90">
        <v>-11000</v>
      </c>
      <c r="G37" s="90">
        <v>-11000</v>
      </c>
      <c r="H37" s="90">
        <v>-11000</v>
      </c>
      <c r="I37" s="90">
        <v>-11000</v>
      </c>
      <c r="J37" s="38" t="s">
        <v>37</v>
      </c>
      <c r="K37" s="38" t="s">
        <v>314</v>
      </c>
      <c r="M37" s="619">
        <f>130000-11000</f>
        <v>119000</v>
      </c>
      <c r="N37" s="619">
        <v>144000</v>
      </c>
      <c r="O37" s="619">
        <v>90000</v>
      </c>
      <c r="P37" s="619">
        <v>70000</v>
      </c>
    </row>
    <row r="38" spans="1:18" s="38" customFormat="1" ht="22.5" x14ac:dyDescent="0.25">
      <c r="A38" s="78" t="s">
        <v>22</v>
      </c>
      <c r="B38" s="78" t="str">
        <f>IF(ISBLANK(A38),"","I"&amp;COUNTA($A$31:A38))</f>
        <v>I7</v>
      </c>
      <c r="C38" s="98" t="s">
        <v>38</v>
      </c>
      <c r="D38" s="79" t="s">
        <v>22</v>
      </c>
      <c r="E38" s="79" t="s">
        <v>24</v>
      </c>
      <c r="F38" s="90">
        <v>11000</v>
      </c>
      <c r="G38" s="90">
        <v>11000</v>
      </c>
      <c r="H38" s="90">
        <v>11000</v>
      </c>
      <c r="I38" s="90">
        <v>11000</v>
      </c>
      <c r="J38" s="38" t="s">
        <v>37</v>
      </c>
      <c r="K38" s="38" t="s">
        <v>315</v>
      </c>
      <c r="M38" s="617">
        <v>6500000</v>
      </c>
      <c r="N38" s="617">
        <v>6500000</v>
      </c>
      <c r="O38" s="617">
        <v>6500000</v>
      </c>
      <c r="P38" s="617">
        <v>6500000</v>
      </c>
    </row>
    <row r="39" spans="1:18" s="38" customFormat="1" ht="25.5" x14ac:dyDescent="0.25">
      <c r="A39" s="78" t="s">
        <v>22</v>
      </c>
      <c r="B39" s="78" t="str">
        <f>IF(ISBLANK(A39),"","I"&amp;COUNTA($A$31:A39))</f>
        <v>I8</v>
      </c>
      <c r="C39" s="98" t="s">
        <v>39</v>
      </c>
      <c r="D39" s="79" t="s">
        <v>22</v>
      </c>
      <c r="E39" s="79" t="s">
        <v>24</v>
      </c>
      <c r="F39" s="90">
        <v>-12300</v>
      </c>
      <c r="G39" s="90">
        <v>-11200</v>
      </c>
      <c r="H39" s="90">
        <v>-10100</v>
      </c>
      <c r="I39" s="90">
        <v>-9400</v>
      </c>
      <c r="J39" s="38" t="s">
        <v>40</v>
      </c>
      <c r="K39" s="38" t="s">
        <v>316</v>
      </c>
      <c r="M39" s="618">
        <f>M37/M38</f>
        <v>1.8307692307692306E-2</v>
      </c>
      <c r="N39" s="618">
        <f>N37/N38</f>
        <v>2.2153846153846152E-2</v>
      </c>
      <c r="O39" s="618">
        <f>O37/O38</f>
        <v>1.3846153846153847E-2</v>
      </c>
      <c r="P39" s="618">
        <f>P37/P38</f>
        <v>1.0769230769230769E-2</v>
      </c>
    </row>
    <row r="40" spans="1:18" s="38" customFormat="1" ht="22.5" x14ac:dyDescent="0.25">
      <c r="A40" s="78" t="s">
        <v>22</v>
      </c>
      <c r="B40" s="78" t="str">
        <f>IF(ISBLANK(A40),"","I"&amp;COUNTA($A$31:A40))</f>
        <v>I9</v>
      </c>
      <c r="C40" s="578" t="s">
        <v>41</v>
      </c>
      <c r="D40" s="579" t="s">
        <v>22</v>
      </c>
      <c r="E40" s="579" t="s">
        <v>24</v>
      </c>
      <c r="F40" s="592">
        <v>-116222</v>
      </c>
      <c r="G40" s="592">
        <v>-95707</v>
      </c>
      <c r="H40" s="592">
        <v>-71318</v>
      </c>
      <c r="I40" s="90">
        <v>-66738</v>
      </c>
      <c r="J40" s="580" t="s">
        <v>42</v>
      </c>
    </row>
    <row r="41" spans="1:18" s="38" customFormat="1" ht="22.5" x14ac:dyDescent="0.25">
      <c r="A41" s="78" t="s">
        <v>22</v>
      </c>
      <c r="B41" s="78" t="str">
        <f>IF(ISBLANK(A41),"","I"&amp;COUNTA($A$31:A41))</f>
        <v>I10</v>
      </c>
      <c r="C41" s="98" t="s">
        <v>43</v>
      </c>
      <c r="D41" s="79" t="s">
        <v>22</v>
      </c>
      <c r="E41" s="79" t="s">
        <v>24</v>
      </c>
      <c r="F41" s="90">
        <v>151000</v>
      </c>
      <c r="G41" s="90">
        <v>171000</v>
      </c>
      <c r="H41" s="90">
        <v>183000</v>
      </c>
      <c r="I41" s="90">
        <v>212000</v>
      </c>
      <c r="J41" s="38" t="s">
        <v>44</v>
      </c>
    </row>
    <row r="42" spans="1:18" s="38" customFormat="1" x14ac:dyDescent="0.25">
      <c r="A42" s="590"/>
      <c r="B42" s="78"/>
      <c r="C42" s="587" t="s">
        <v>306</v>
      </c>
      <c r="D42" s="588" t="s">
        <v>22</v>
      </c>
      <c r="E42" s="588" t="s">
        <v>24</v>
      </c>
      <c r="F42" s="589"/>
      <c r="G42" s="589"/>
      <c r="H42" s="589"/>
      <c r="I42" s="589"/>
      <c r="J42" s="591" t="s">
        <v>307</v>
      </c>
      <c r="O42" s="95"/>
      <c r="P42" s="95"/>
      <c r="Q42" s="95"/>
      <c r="R42" s="95"/>
    </row>
    <row r="43" spans="1:18" s="38" customFormat="1" ht="22.5" x14ac:dyDescent="0.25">
      <c r="A43" s="78" t="s">
        <v>22</v>
      </c>
      <c r="B43" s="78" t="str">
        <f>IF(ISBLANK(A43),"","I"&amp;COUNTA($A$31:A43))</f>
        <v>I11</v>
      </c>
      <c r="C43" s="98" t="s">
        <v>47</v>
      </c>
      <c r="D43" s="79" t="s">
        <v>22</v>
      </c>
      <c r="E43" s="79" t="s">
        <v>24</v>
      </c>
      <c r="F43" s="90">
        <v>284000</v>
      </c>
      <c r="G43" s="90">
        <v>308000</v>
      </c>
      <c r="H43" s="90">
        <v>335000</v>
      </c>
      <c r="I43" s="90">
        <v>356000</v>
      </c>
      <c r="J43" s="38" t="s">
        <v>44</v>
      </c>
      <c r="M43" s="1">
        <v>2023</v>
      </c>
      <c r="N43" s="1">
        <v>2024</v>
      </c>
      <c r="O43" s="1">
        <v>2025</v>
      </c>
      <c r="P43" s="1">
        <v>2026</v>
      </c>
    </row>
    <row r="44" spans="1:18" s="38" customFormat="1" x14ac:dyDescent="0.25">
      <c r="A44" s="590"/>
      <c r="B44" s="78"/>
      <c r="C44" s="587" t="s">
        <v>308</v>
      </c>
      <c r="D44" s="588" t="s">
        <v>22</v>
      </c>
      <c r="E44" s="588" t="s">
        <v>24</v>
      </c>
      <c r="F44" s="589"/>
      <c r="G44" s="589"/>
      <c r="H44" s="589"/>
      <c r="I44" s="589"/>
      <c r="J44" s="591" t="s">
        <v>307</v>
      </c>
      <c r="K44" s="38" t="s">
        <v>309</v>
      </c>
      <c r="M44" s="38">
        <v>0.6</v>
      </c>
      <c r="N44" s="38">
        <v>0.6</v>
      </c>
      <c r="O44" s="38">
        <v>0.6</v>
      </c>
      <c r="P44" s="38">
        <v>0.6</v>
      </c>
    </row>
    <row r="45" spans="1:18" s="38" customFormat="1" ht="22.5" x14ac:dyDescent="0.25">
      <c r="A45" s="78" t="s">
        <v>22</v>
      </c>
      <c r="B45" s="78" t="str">
        <f>IF(ISBLANK(A45),"","I"&amp;COUNTA($A$31:A45))</f>
        <v>I12</v>
      </c>
      <c r="C45" s="98" t="s">
        <v>50</v>
      </c>
      <c r="D45" s="79" t="s">
        <v>22</v>
      </c>
      <c r="E45" s="79" t="s">
        <v>24</v>
      </c>
      <c r="F45" s="90">
        <v>-59000</v>
      </c>
      <c r="G45" s="90">
        <v>-59000</v>
      </c>
      <c r="H45" s="90">
        <v>-55000</v>
      </c>
      <c r="I45" s="90">
        <v>-55000</v>
      </c>
      <c r="J45" s="38" t="s">
        <v>40</v>
      </c>
      <c r="K45" s="38" t="s">
        <v>310</v>
      </c>
      <c r="M45" s="595">
        <v>225000</v>
      </c>
      <c r="N45" s="595">
        <v>180000</v>
      </c>
      <c r="O45" s="595">
        <v>180000</v>
      </c>
      <c r="P45" s="595">
        <v>180000</v>
      </c>
    </row>
    <row r="46" spans="1:18" s="38" customFormat="1" ht="22.5" x14ac:dyDescent="0.25">
      <c r="A46" s="78" t="s">
        <v>22</v>
      </c>
      <c r="B46" s="78" t="str">
        <f>IF(ISBLANK(A46),"","I"&amp;COUNTA($A$31:A46))</f>
        <v>I13</v>
      </c>
      <c r="C46" s="98" t="s">
        <v>51</v>
      </c>
      <c r="D46" s="79" t="s">
        <v>22</v>
      </c>
      <c r="E46" s="79" t="s">
        <v>24</v>
      </c>
      <c r="F46" s="90">
        <v>-83200</v>
      </c>
      <c r="G46" s="90">
        <v>-87900</v>
      </c>
      <c r="H46" s="90">
        <v>-86100</v>
      </c>
      <c r="I46" s="90">
        <v>-89300</v>
      </c>
      <c r="J46" s="38" t="s">
        <v>40</v>
      </c>
      <c r="K46" s="38" t="s">
        <v>317</v>
      </c>
      <c r="M46" s="617">
        <v>58854</v>
      </c>
      <c r="N46" s="617">
        <v>37473</v>
      </c>
      <c r="O46" s="617">
        <v>65052</v>
      </c>
      <c r="P46" s="617">
        <v>62495</v>
      </c>
    </row>
    <row r="47" spans="1:18" s="38" customFormat="1" ht="22.5" x14ac:dyDescent="0.25">
      <c r="A47" s="78" t="s">
        <v>22</v>
      </c>
      <c r="B47" s="78" t="str">
        <f>IF(ISBLANK(A47),"","I"&amp;COUNTA($A$31:A47))</f>
        <v>I14</v>
      </c>
      <c r="C47" s="98" t="s">
        <v>52</v>
      </c>
      <c r="D47" s="79" t="s">
        <v>22</v>
      </c>
      <c r="E47" s="79" t="s">
        <v>24</v>
      </c>
      <c r="F47" s="90">
        <v>83200</v>
      </c>
      <c r="G47" s="90">
        <v>87900</v>
      </c>
      <c r="H47" s="90">
        <v>86100</v>
      </c>
      <c r="I47" s="90">
        <v>89300</v>
      </c>
      <c r="J47" s="38" t="s">
        <v>40</v>
      </c>
      <c r="K47" s="38" t="s">
        <v>312</v>
      </c>
      <c r="L47" s="38" t="s">
        <v>313</v>
      </c>
      <c r="M47" s="617">
        <v>20000</v>
      </c>
      <c r="N47" s="617">
        <v>20000</v>
      </c>
      <c r="O47" s="617">
        <v>20000</v>
      </c>
      <c r="P47" s="617">
        <v>20000</v>
      </c>
    </row>
    <row r="48" spans="1:18" s="38" customFormat="1" ht="22.5" x14ac:dyDescent="0.25">
      <c r="A48" s="78" t="s">
        <v>22</v>
      </c>
      <c r="B48" s="78" t="str">
        <f>IF(ISBLANK(A48),"","I"&amp;COUNTA($A$31:A48))</f>
        <v>I15</v>
      </c>
      <c r="C48" s="98" t="s">
        <v>53</v>
      </c>
      <c r="D48" s="79" t="s">
        <v>22</v>
      </c>
      <c r="E48" s="79" t="s">
        <v>24</v>
      </c>
      <c r="F48" s="90">
        <v>-16400</v>
      </c>
      <c r="G48" s="90">
        <v>-15400</v>
      </c>
      <c r="H48" s="90">
        <v>-13700</v>
      </c>
      <c r="I48" s="90">
        <v>-12700</v>
      </c>
      <c r="J48" s="38" t="s">
        <v>40</v>
      </c>
      <c r="K48" s="38" t="s">
        <v>318</v>
      </c>
      <c r="M48" s="339">
        <v>-132000</v>
      </c>
      <c r="N48" s="339">
        <v>-62000</v>
      </c>
      <c r="O48" s="339">
        <v>-18000</v>
      </c>
      <c r="P48" s="339">
        <v>0</v>
      </c>
    </row>
    <row r="49" spans="1:22" s="38" customFormat="1" ht="22.5" x14ac:dyDescent="0.25">
      <c r="A49" s="78" t="s">
        <v>22</v>
      </c>
      <c r="B49" s="78" t="str">
        <f>IF(ISBLANK(A49),"","I"&amp;COUNTA($A$31:A49))</f>
        <v>I16</v>
      </c>
      <c r="C49" s="98" t="s">
        <v>54</v>
      </c>
      <c r="D49" s="79" t="s">
        <v>22</v>
      </c>
      <c r="E49" s="79" t="s">
        <v>24</v>
      </c>
      <c r="F49" s="90">
        <v>-136700</v>
      </c>
      <c r="G49" s="90">
        <v>-140600</v>
      </c>
      <c r="H49" s="90">
        <v>-144500</v>
      </c>
      <c r="I49" s="90">
        <v>-148400</v>
      </c>
      <c r="J49" s="38" t="s">
        <v>40</v>
      </c>
      <c r="K49" s="38" t="s">
        <v>314</v>
      </c>
      <c r="M49" s="619">
        <f>M45-M46-M47+M48</f>
        <v>14146</v>
      </c>
      <c r="N49" s="619">
        <f>N45-N46-N47+N48</f>
        <v>60527</v>
      </c>
      <c r="O49" s="619">
        <f>O45-O46-O47+O48</f>
        <v>76948</v>
      </c>
      <c r="P49" s="619">
        <f>P45-P46-P47+P48</f>
        <v>97505</v>
      </c>
    </row>
    <row r="50" spans="1:22" s="38" customFormat="1" ht="22.5" x14ac:dyDescent="0.25">
      <c r="A50" s="78" t="s">
        <v>22</v>
      </c>
      <c r="B50" s="78" t="str">
        <f>IF(ISBLANK(A50),"","I"&amp;COUNTA($A$31:A50))</f>
        <v>I17</v>
      </c>
      <c r="C50" s="98" t="s">
        <v>55</v>
      </c>
      <c r="D50" s="79" t="s">
        <v>22</v>
      </c>
      <c r="E50" s="79" t="s">
        <v>24</v>
      </c>
      <c r="F50" s="90">
        <v>-715</v>
      </c>
      <c r="G50" s="90">
        <v>-1070</v>
      </c>
      <c r="H50" s="90">
        <v>-1070</v>
      </c>
      <c r="I50" s="90">
        <v>-1070</v>
      </c>
      <c r="J50" s="293" t="s">
        <v>56</v>
      </c>
      <c r="K50" s="38" t="s">
        <v>319</v>
      </c>
      <c r="M50" s="617">
        <v>6500000</v>
      </c>
      <c r="N50" s="617">
        <v>6500000</v>
      </c>
      <c r="O50" s="617">
        <v>6500000</v>
      </c>
      <c r="P50" s="617">
        <v>6500000</v>
      </c>
    </row>
    <row r="51" spans="1:22" s="38" customFormat="1" ht="22.5" x14ac:dyDescent="0.25">
      <c r="A51" s="78" t="s">
        <v>22</v>
      </c>
      <c r="B51" s="78" t="str">
        <f>IF(ISBLANK(A51),"","I"&amp;COUNTA($A$31:A51))</f>
        <v>I18</v>
      </c>
      <c r="C51" s="98" t="s">
        <v>57</v>
      </c>
      <c r="D51" s="79" t="s">
        <v>22</v>
      </c>
      <c r="E51" s="79" t="s">
        <v>24</v>
      </c>
      <c r="F51" s="90">
        <v>-2000</v>
      </c>
      <c r="G51" s="90">
        <v>-2000</v>
      </c>
      <c r="H51" s="90">
        <v>-2000</v>
      </c>
      <c r="I51" s="90">
        <v>-2000</v>
      </c>
      <c r="J51" s="293" t="s">
        <v>58</v>
      </c>
      <c r="K51" s="38" t="s">
        <v>320</v>
      </c>
      <c r="M51" s="618">
        <f>M49/M50</f>
        <v>2.1763076923076922E-3</v>
      </c>
      <c r="N51" s="618">
        <f>N49/N50</f>
        <v>9.3118461538461532E-3</v>
      </c>
      <c r="O51" s="618">
        <f>O49/O50</f>
        <v>1.1838153846153845E-2</v>
      </c>
      <c r="P51" s="618">
        <f>P49/P50</f>
        <v>1.5000769230769231E-2</v>
      </c>
    </row>
    <row r="52" spans="1:22" s="38" customFormat="1" ht="22.5" x14ac:dyDescent="0.25">
      <c r="A52" s="78" t="s">
        <v>22</v>
      </c>
      <c r="B52" s="78" t="str">
        <f>IF(ISBLANK(A52),"","I"&amp;COUNTA($A$31:A52))</f>
        <v>I19</v>
      </c>
      <c r="C52" s="98" t="s">
        <v>59</v>
      </c>
      <c r="D52" s="79" t="s">
        <v>22</v>
      </c>
      <c r="E52" s="79" t="s">
        <v>24</v>
      </c>
      <c r="F52" s="90">
        <v>-5200</v>
      </c>
      <c r="G52" s="90">
        <v>-5000</v>
      </c>
      <c r="H52" s="90">
        <v>-4500</v>
      </c>
      <c r="I52" s="90">
        <v>-4200</v>
      </c>
      <c r="J52" s="293" t="s">
        <v>40</v>
      </c>
    </row>
    <row r="53" spans="1:22" s="38" customFormat="1" x14ac:dyDescent="0.25">
      <c r="A53" s="78"/>
      <c r="B53" s="78"/>
      <c r="C53" s="98" t="s">
        <v>60</v>
      </c>
      <c r="D53" s="79" t="s">
        <v>22</v>
      </c>
      <c r="E53" s="79" t="s">
        <v>24</v>
      </c>
      <c r="F53" s="90"/>
      <c r="G53" s="90"/>
      <c r="H53" s="90"/>
      <c r="I53" s="90"/>
      <c r="J53" s="293" t="s">
        <v>61</v>
      </c>
    </row>
    <row r="54" spans="1:22" s="38" customFormat="1" ht="22.5" x14ac:dyDescent="0.25">
      <c r="A54" s="78" t="s">
        <v>22</v>
      </c>
      <c r="B54" s="78" t="str">
        <f>IF(ISBLANK(A54),"","I"&amp;COUNTA($A$31:A54))</f>
        <v>I20</v>
      </c>
      <c r="C54" s="98" t="s">
        <v>62</v>
      </c>
      <c r="D54" s="79" t="s">
        <v>22</v>
      </c>
      <c r="E54" s="79" t="s">
        <v>24</v>
      </c>
      <c r="F54" s="90">
        <v>-500</v>
      </c>
      <c r="G54" s="90">
        <v>-500</v>
      </c>
      <c r="H54" s="90">
        <v>-500</v>
      </c>
      <c r="I54" s="90">
        <v>-500</v>
      </c>
      <c r="J54" s="293" t="s">
        <v>63</v>
      </c>
    </row>
    <row r="55" spans="1:22" s="38" customFormat="1" ht="22.5" x14ac:dyDescent="0.25">
      <c r="A55" s="78" t="s">
        <v>22</v>
      </c>
      <c r="B55" s="78" t="str">
        <f>IF(ISBLANK(A55),"","I"&amp;COUNTA($A$31:A55))</f>
        <v>I21</v>
      </c>
      <c r="C55" s="98" t="s">
        <v>64</v>
      </c>
      <c r="D55" s="79" t="s">
        <v>22</v>
      </c>
      <c r="E55" s="79" t="s">
        <v>24</v>
      </c>
      <c r="F55" s="595">
        <v>130722</v>
      </c>
      <c r="G55" s="595">
        <v>145223</v>
      </c>
      <c r="H55" s="595">
        <v>89904</v>
      </c>
      <c r="I55" s="595">
        <v>69921</v>
      </c>
      <c r="J55" s="38" t="s">
        <v>65</v>
      </c>
    </row>
    <row r="56" spans="1:22" s="38" customFormat="1" x14ac:dyDescent="0.25">
      <c r="A56" s="78"/>
      <c r="B56" s="78"/>
      <c r="C56" s="98" t="s">
        <v>68</v>
      </c>
      <c r="D56" s="79" t="s">
        <v>22</v>
      </c>
      <c r="E56" s="79" t="s">
        <v>24</v>
      </c>
      <c r="F56" s="90"/>
      <c r="G56" s="90"/>
      <c r="H56" s="90"/>
      <c r="I56" s="90"/>
    </row>
    <row r="57" spans="1:22" s="38" customFormat="1" ht="22.5" x14ac:dyDescent="0.25">
      <c r="A57" s="78" t="s">
        <v>22</v>
      </c>
      <c r="B57" s="78" t="str">
        <f>IF(ISBLANK(A57),"","I"&amp;COUNTA($A$31:A57))</f>
        <v>I22</v>
      </c>
      <c r="C57" s="98" t="s">
        <v>69</v>
      </c>
      <c r="D57" s="79" t="s">
        <v>22</v>
      </c>
      <c r="E57" s="79" t="s">
        <v>24</v>
      </c>
      <c r="F57" s="90">
        <v>340000</v>
      </c>
      <c r="G57" s="90">
        <v>350000</v>
      </c>
      <c r="H57" s="90">
        <v>360000</v>
      </c>
      <c r="I57" s="90">
        <v>370000</v>
      </c>
      <c r="J57" s="38" t="s">
        <v>70</v>
      </c>
      <c r="S57" s="339">
        <f>M37+F96+F154+F189+F192+F197+F200+F223+F247</f>
        <v>102650</v>
      </c>
      <c r="T57" s="339">
        <f>N37-6500</f>
        <v>137500</v>
      </c>
      <c r="U57" s="339">
        <f>O37</f>
        <v>90000</v>
      </c>
      <c r="V57" s="339">
        <f>P37</f>
        <v>70000</v>
      </c>
    </row>
    <row r="58" spans="1:22" s="38" customFormat="1" ht="22.5" x14ac:dyDescent="0.25">
      <c r="A58" s="45" t="s">
        <v>22</v>
      </c>
      <c r="B58" s="78" t="str">
        <f>IF(ISBLANK(A58),"","I"&amp;COUNTA($A$31:A58))</f>
        <v>I23</v>
      </c>
      <c r="C58" s="98" t="s">
        <v>71</v>
      </c>
      <c r="D58" s="79" t="s">
        <v>22</v>
      </c>
      <c r="E58" s="79" t="s">
        <v>24</v>
      </c>
      <c r="F58" s="90">
        <v>-340000</v>
      </c>
      <c r="G58" s="90">
        <v>-350000</v>
      </c>
      <c r="H58" s="90">
        <v>-360000</v>
      </c>
      <c r="I58" s="90">
        <v>-370000</v>
      </c>
      <c r="J58" s="38" t="s">
        <v>70</v>
      </c>
      <c r="S58" s="621">
        <f>S57/M38</f>
        <v>1.5792307692307692E-2</v>
      </c>
      <c r="T58" s="621">
        <f>T57/N38</f>
        <v>2.1153846153846155E-2</v>
      </c>
      <c r="U58" s="621">
        <f>U57/O38</f>
        <v>1.3846153846153847E-2</v>
      </c>
      <c r="V58" s="621">
        <f>V57/P38</f>
        <v>1.0769230769230769E-2</v>
      </c>
    </row>
    <row r="59" spans="1:22" s="38" customFormat="1" ht="22.5" x14ac:dyDescent="0.25">
      <c r="A59" s="45" t="s">
        <v>22</v>
      </c>
      <c r="B59" s="78" t="str">
        <f>IF(ISBLANK(A59),"","I"&amp;COUNTA($A$31:A59))</f>
        <v>I24</v>
      </c>
      <c r="C59" s="98" t="s">
        <v>72</v>
      </c>
      <c r="D59" s="79" t="s">
        <v>22</v>
      </c>
      <c r="E59" s="79" t="s">
        <v>24</v>
      </c>
      <c r="F59" s="90">
        <v>-27043</v>
      </c>
      <c r="G59" s="90">
        <v>-27162</v>
      </c>
      <c r="H59" s="90">
        <v>-28274</v>
      </c>
      <c r="I59" s="90">
        <v>-30191</v>
      </c>
      <c r="J59" s="293" t="s">
        <v>73</v>
      </c>
    </row>
    <row r="60" spans="1:22" s="38" customFormat="1" ht="22.5" x14ac:dyDescent="0.25">
      <c r="A60" s="45" t="s">
        <v>22</v>
      </c>
      <c r="B60" s="78" t="str">
        <f>IF(ISBLANK(A60),"","I"&amp;COUNTA($A$31:A60))</f>
        <v>I25</v>
      </c>
      <c r="C60" s="98" t="s">
        <v>74</v>
      </c>
      <c r="D60" s="79" t="s">
        <v>22</v>
      </c>
      <c r="E60" s="79" t="s">
        <v>24</v>
      </c>
      <c r="F60" s="90">
        <v>-54620</v>
      </c>
      <c r="G60" s="90">
        <v>-59551</v>
      </c>
      <c r="H60" s="90">
        <v>-65379</v>
      </c>
      <c r="I60" s="90">
        <v>-71940</v>
      </c>
      <c r="J60" s="293" t="s">
        <v>73</v>
      </c>
    </row>
    <row r="61" spans="1:22" s="38" customFormat="1" ht="22.5" x14ac:dyDescent="0.25">
      <c r="A61" s="45" t="s">
        <v>22</v>
      </c>
      <c r="B61" s="78" t="str">
        <f>IF(ISBLANK(A61),"","I"&amp;COUNTA($A$31:A61))</f>
        <v>I26</v>
      </c>
      <c r="C61" s="98" t="s">
        <v>75</v>
      </c>
      <c r="D61" s="79" t="s">
        <v>22</v>
      </c>
      <c r="E61" s="79" t="s">
        <v>24</v>
      </c>
      <c r="F61" s="90">
        <v>-759</v>
      </c>
      <c r="G61" s="90">
        <v>-1311</v>
      </c>
      <c r="H61" s="90">
        <v>-2837</v>
      </c>
      <c r="I61" s="90">
        <v>-3574</v>
      </c>
      <c r="J61" s="293" t="s">
        <v>73</v>
      </c>
    </row>
    <row r="62" spans="1:22" s="38" customFormat="1" ht="22.5" x14ac:dyDescent="0.25">
      <c r="A62" s="78" t="s">
        <v>22</v>
      </c>
      <c r="B62" s="78" t="str">
        <f>IF(ISBLANK(A62),"","I"&amp;COUNTA($A$31:A62))</f>
        <v>I27</v>
      </c>
      <c r="C62" s="98"/>
      <c r="D62" s="79" t="s">
        <v>22</v>
      </c>
      <c r="E62" s="79" t="s">
        <v>24</v>
      </c>
      <c r="F62" s="90"/>
      <c r="G62" s="90"/>
      <c r="H62" s="90"/>
      <c r="I62" s="90"/>
    </row>
    <row r="63" spans="1:22" s="38" customFormat="1" ht="22.5" x14ac:dyDescent="0.25">
      <c r="A63" s="78" t="s">
        <v>22</v>
      </c>
      <c r="B63" s="78" t="str">
        <f>IF(ISBLANK(A63),"","I"&amp;COUNTA($A$31:A63))</f>
        <v>I28</v>
      </c>
      <c r="C63" s="98"/>
      <c r="D63" s="79" t="s">
        <v>22</v>
      </c>
      <c r="E63" s="79" t="s">
        <v>24</v>
      </c>
      <c r="F63" s="90"/>
      <c r="G63" s="90"/>
      <c r="H63" s="90"/>
      <c r="I63" s="90"/>
    </row>
    <row r="64" spans="1:22" s="38" customFormat="1" x14ac:dyDescent="0.25">
      <c r="A64" s="244"/>
      <c r="B64" s="244"/>
      <c r="C64" s="245"/>
      <c r="D64" s="214"/>
      <c r="E64" s="111"/>
      <c r="F64" s="110"/>
      <c r="G64" s="110"/>
      <c r="H64" s="110"/>
      <c r="I64" s="110"/>
    </row>
    <row r="65" spans="1:10" s="38" customFormat="1" x14ac:dyDescent="0.25">
      <c r="A65" s="43"/>
      <c r="B65" s="43"/>
      <c r="C65" s="3" t="s">
        <v>76</v>
      </c>
      <c r="D65" s="63"/>
      <c r="E65" s="63"/>
      <c r="F65" s="9">
        <f>SUMIF($A:$A,"SENT.INNT",F:F)</f>
        <v>-5409737</v>
      </c>
      <c r="G65" s="9">
        <f>SUMIF($A:$A,"SENT.INNT",G:G)</f>
        <v>-5375278</v>
      </c>
      <c r="H65" s="9">
        <f>SUMIF($A:$A,"SENT.INNT",H:H)</f>
        <v>-5346274</v>
      </c>
      <c r="I65" s="9">
        <f>SUMIF($A:$A,"SENT.INNT",I:I)</f>
        <v>-5348792</v>
      </c>
    </row>
    <row r="66" spans="1:10" s="38" customFormat="1" x14ac:dyDescent="0.25">
      <c r="A66" s="46"/>
      <c r="B66" s="46"/>
      <c r="C66" s="3" t="s">
        <v>77</v>
      </c>
      <c r="D66" s="52"/>
      <c r="E66" s="52"/>
      <c r="F66" s="9">
        <f>F4</f>
        <v>4902782</v>
      </c>
      <c r="G66" s="9">
        <f>G4</f>
        <v>4902782</v>
      </c>
      <c r="H66" s="9">
        <f>H4</f>
        <v>4902782</v>
      </c>
      <c r="I66" s="9">
        <f>I4</f>
        <v>4902782</v>
      </c>
    </row>
    <row r="67" spans="1:10" s="38" customFormat="1" x14ac:dyDescent="0.25">
      <c r="A67" s="43"/>
      <c r="B67" s="43"/>
      <c r="C67" s="3" t="s">
        <v>78</v>
      </c>
      <c r="D67" s="52"/>
      <c r="E67" s="52"/>
      <c r="F67" s="9">
        <f>F65+F66</f>
        <v>-506955</v>
      </c>
      <c r="G67" s="9">
        <f>G65+G66</f>
        <v>-472496</v>
      </c>
      <c r="H67" s="9">
        <f>H65+H66</f>
        <v>-443492</v>
      </c>
      <c r="I67" s="9">
        <f>I65+I66</f>
        <v>-446010</v>
      </c>
    </row>
    <row r="68" spans="1:10" s="38" customFormat="1" x14ac:dyDescent="0.25">
      <c r="A68" s="47"/>
      <c r="B68" s="47"/>
      <c r="C68" s="11"/>
      <c r="D68" s="49"/>
      <c r="E68" s="49"/>
      <c r="F68" s="12"/>
      <c r="G68" s="12"/>
      <c r="H68" s="12"/>
      <c r="I68" s="12"/>
    </row>
    <row r="69" spans="1:10" s="1" customFormat="1" x14ac:dyDescent="0.25">
      <c r="A69" s="48"/>
      <c r="B69" s="48"/>
      <c r="C69" s="13" t="s">
        <v>79</v>
      </c>
      <c r="D69" s="50"/>
      <c r="E69" s="50"/>
      <c r="F69" s="14"/>
      <c r="G69" s="14"/>
      <c r="H69" s="14"/>
      <c r="I69" s="14"/>
    </row>
    <row r="70" spans="1:10" s="38" customFormat="1" x14ac:dyDescent="0.25">
      <c r="A70" s="72"/>
      <c r="B70" s="341"/>
      <c r="C70" s="246" t="s">
        <v>80</v>
      </c>
      <c r="D70" s="83"/>
      <c r="E70" s="83"/>
      <c r="F70" s="4">
        <v>2023</v>
      </c>
      <c r="G70" s="4">
        <v>2024</v>
      </c>
      <c r="H70" s="4">
        <f>G70+1</f>
        <v>2025</v>
      </c>
      <c r="I70" s="4">
        <f>H70+1</f>
        <v>2026</v>
      </c>
    </row>
    <row r="71" spans="1:10" s="38" customFormat="1" x14ac:dyDescent="0.25">
      <c r="A71" s="78" t="s">
        <v>81</v>
      </c>
      <c r="B71" s="78" t="str">
        <f>IF(ISBLANK(A71),"","OV"&amp;COUNTA($A$71:A71))</f>
        <v>OV1</v>
      </c>
      <c r="C71" s="245" t="s">
        <v>82</v>
      </c>
      <c r="D71" s="72" t="s">
        <v>83</v>
      </c>
      <c r="E71" s="79" t="s">
        <v>84</v>
      </c>
      <c r="F71" s="217">
        <v>9023</v>
      </c>
      <c r="G71" s="217">
        <v>12060</v>
      </c>
      <c r="H71" s="217">
        <v>12626</v>
      </c>
      <c r="I71" s="217">
        <v>11906</v>
      </c>
      <c r="J71" s="38" t="s">
        <v>321</v>
      </c>
    </row>
    <row r="72" spans="1:10" s="38" customFormat="1" x14ac:dyDescent="0.25">
      <c r="A72" s="78" t="s">
        <v>81</v>
      </c>
      <c r="B72" s="78" t="str">
        <f>IF(ISBLANK(A72),"","OV"&amp;COUNTA($A$71:A72))</f>
        <v>OV2</v>
      </c>
      <c r="C72" s="245" t="s">
        <v>85</v>
      </c>
      <c r="D72" s="72" t="s">
        <v>83</v>
      </c>
      <c r="E72" s="79" t="s">
        <v>84</v>
      </c>
      <c r="F72" s="217">
        <v>877</v>
      </c>
      <c r="G72" s="217">
        <v>877</v>
      </c>
      <c r="H72" s="217">
        <v>877</v>
      </c>
      <c r="I72" s="217">
        <v>877</v>
      </c>
      <c r="J72" s="38" t="s">
        <v>321</v>
      </c>
    </row>
    <row r="73" spans="1:10" s="38" customFormat="1" x14ac:dyDescent="0.25">
      <c r="A73" s="78" t="s">
        <v>81</v>
      </c>
      <c r="B73" s="78" t="str">
        <f>IF(ISBLANK(A73),"","OV"&amp;COUNTA($A$71:A73))</f>
        <v>OV3</v>
      </c>
      <c r="C73" s="245" t="s">
        <v>86</v>
      </c>
      <c r="D73" s="72" t="s">
        <v>83</v>
      </c>
      <c r="E73" s="79" t="s">
        <v>84</v>
      </c>
      <c r="F73" s="217">
        <v>1456</v>
      </c>
      <c r="G73" s="217">
        <v>1946</v>
      </c>
      <c r="H73" s="217">
        <v>2038</v>
      </c>
      <c r="I73" s="217">
        <v>1922</v>
      </c>
      <c r="J73" s="38" t="s">
        <v>321</v>
      </c>
    </row>
    <row r="74" spans="1:10" s="38" customFormat="1" x14ac:dyDescent="0.25">
      <c r="A74" s="78" t="s">
        <v>81</v>
      </c>
      <c r="B74" s="78" t="str">
        <f>IF(ISBLANK(A74),"","OV"&amp;COUNTA($A$71:A74))</f>
        <v>OV4</v>
      </c>
      <c r="C74" s="245" t="s">
        <v>87</v>
      </c>
      <c r="D74" s="72" t="s">
        <v>83</v>
      </c>
      <c r="E74" s="79" t="s">
        <v>84</v>
      </c>
      <c r="F74" s="217">
        <v>142</v>
      </c>
      <c r="G74" s="217">
        <v>142</v>
      </c>
      <c r="H74" s="217">
        <v>142</v>
      </c>
      <c r="I74" s="217">
        <v>142</v>
      </c>
      <c r="J74" s="38" t="s">
        <v>321</v>
      </c>
    </row>
    <row r="75" spans="1:10" s="38" customFormat="1" x14ac:dyDescent="0.25">
      <c r="A75" s="78" t="s">
        <v>81</v>
      </c>
      <c r="B75" s="78" t="str">
        <f>IF(ISBLANK(A75),"","OV"&amp;COUNTA($A$71:A75))</f>
        <v>OV5</v>
      </c>
      <c r="C75" s="245" t="s">
        <v>88</v>
      </c>
      <c r="D75" s="72" t="s">
        <v>89</v>
      </c>
      <c r="E75" s="79" t="s">
        <v>84</v>
      </c>
      <c r="F75" s="217">
        <v>0</v>
      </c>
      <c r="G75" s="217">
        <v>-852</v>
      </c>
      <c r="H75" s="217">
        <v>-852</v>
      </c>
      <c r="I75" s="217">
        <v>-852</v>
      </c>
    </row>
    <row r="76" spans="1:10" s="38" customFormat="1" x14ac:dyDescent="0.25">
      <c r="A76" s="78" t="s">
        <v>81</v>
      </c>
      <c r="B76" s="78" t="str">
        <f>IF(ISBLANK(A76),"","OV"&amp;COUNTA($A$71:A76))</f>
        <v>OV6</v>
      </c>
      <c r="C76" s="245" t="s">
        <v>90</v>
      </c>
      <c r="D76" s="72" t="s">
        <v>91</v>
      </c>
      <c r="E76" s="79" t="s">
        <v>24</v>
      </c>
      <c r="F76" s="217">
        <v>7400</v>
      </c>
      <c r="G76" s="217">
        <v>7400</v>
      </c>
      <c r="H76" s="217">
        <v>7400</v>
      </c>
      <c r="I76" s="217">
        <v>7400</v>
      </c>
      <c r="J76" s="293" t="s">
        <v>322</v>
      </c>
    </row>
    <row r="77" spans="1:10" s="38" customFormat="1" x14ac:dyDescent="0.25">
      <c r="A77" s="78" t="s">
        <v>81</v>
      </c>
      <c r="B77" s="78" t="str">
        <f>IF(ISBLANK(A77),"","OV"&amp;COUNTA($A$71:A77))</f>
        <v>OV7</v>
      </c>
      <c r="C77" s="569" t="s">
        <v>92</v>
      </c>
      <c r="D77" s="570" t="s">
        <v>91</v>
      </c>
      <c r="E77" s="568" t="s">
        <v>24</v>
      </c>
      <c r="F77" s="575">
        <v>6000</v>
      </c>
      <c r="G77" s="575">
        <v>6000</v>
      </c>
      <c r="H77" s="575"/>
      <c r="I77" s="575"/>
      <c r="J77" s="95">
        <f>F77+F84+F91+F99+F100+F101+F137+F139+F140+F141</f>
        <v>60800</v>
      </c>
    </row>
    <row r="78" spans="1:10" s="38" customFormat="1" x14ac:dyDescent="0.25">
      <c r="A78" s="78" t="s">
        <v>81</v>
      </c>
      <c r="B78" s="78" t="str">
        <f>IF(ISBLANK(A78),"","OV"&amp;COUNTA($A$71:A78))</f>
        <v>OV8</v>
      </c>
      <c r="C78" s="245" t="s">
        <v>93</v>
      </c>
      <c r="D78" s="72" t="s">
        <v>83</v>
      </c>
      <c r="E78" s="79" t="s">
        <v>84</v>
      </c>
      <c r="F78" s="217">
        <v>157</v>
      </c>
      <c r="G78" s="217">
        <v>210</v>
      </c>
      <c r="H78" s="217">
        <v>220</v>
      </c>
      <c r="I78" s="217">
        <v>208</v>
      </c>
    </row>
    <row r="79" spans="1:10" s="38" customFormat="1" x14ac:dyDescent="0.25">
      <c r="A79" s="78" t="s">
        <v>81</v>
      </c>
      <c r="B79" s="78" t="str">
        <f>IF(ISBLANK(A79),"","OV"&amp;COUNTA($A$71:A79))</f>
        <v>OV9</v>
      </c>
      <c r="C79" s="245" t="s">
        <v>94</v>
      </c>
      <c r="D79" s="72" t="s">
        <v>83</v>
      </c>
      <c r="E79" s="79" t="s">
        <v>84</v>
      </c>
      <c r="F79" s="217">
        <v>15</v>
      </c>
      <c r="G79" s="217">
        <v>15</v>
      </c>
      <c r="H79" s="217">
        <v>15</v>
      </c>
      <c r="I79" s="217">
        <v>15</v>
      </c>
    </row>
    <row r="80" spans="1:10" s="38" customFormat="1" x14ac:dyDescent="0.25">
      <c r="A80" s="78" t="s">
        <v>81</v>
      </c>
      <c r="B80" s="78" t="str">
        <f>IF(ISBLANK(A80),"","OV"&amp;COUNTA($A$71:A80))</f>
        <v>OV10</v>
      </c>
      <c r="C80" s="245" t="s">
        <v>95</v>
      </c>
      <c r="D80" s="72" t="s">
        <v>83</v>
      </c>
      <c r="E80" s="79" t="s">
        <v>84</v>
      </c>
      <c r="F80" s="217">
        <v>12348</v>
      </c>
      <c r="G80" s="217">
        <v>12348</v>
      </c>
      <c r="H80" s="217">
        <v>12348</v>
      </c>
      <c r="I80" s="217">
        <v>12348</v>
      </c>
      <c r="J80" s="38" t="s">
        <v>323</v>
      </c>
    </row>
    <row r="81" spans="1:11" s="38" customFormat="1" x14ac:dyDescent="0.25">
      <c r="A81" s="78" t="s">
        <v>81</v>
      </c>
      <c r="B81" s="78" t="str">
        <f>IF(ISBLANK(A81),"","OV"&amp;COUNTA($A$71:A81))</f>
        <v>OV11</v>
      </c>
      <c r="C81" s="245" t="s">
        <v>96</v>
      </c>
      <c r="D81" s="72" t="s">
        <v>83</v>
      </c>
      <c r="E81" s="79" t="s">
        <v>84</v>
      </c>
      <c r="F81" s="217">
        <v>-12348</v>
      </c>
      <c r="G81" s="217">
        <v>-12348</v>
      </c>
      <c r="H81" s="217">
        <v>-12348</v>
      </c>
      <c r="I81" s="217">
        <v>-12348</v>
      </c>
      <c r="J81" s="38" t="s">
        <v>323</v>
      </c>
    </row>
    <row r="82" spans="1:11" s="38" customFormat="1" x14ac:dyDescent="0.25">
      <c r="A82" s="78" t="s">
        <v>81</v>
      </c>
      <c r="B82" s="78" t="str">
        <f>IF(ISBLANK(A82),"","OV"&amp;COUNTA($A$71:A82))</f>
        <v>OV12</v>
      </c>
      <c r="C82" s="245" t="s">
        <v>101</v>
      </c>
      <c r="D82" s="72" t="s">
        <v>91</v>
      </c>
      <c r="E82" s="79" t="s">
        <v>24</v>
      </c>
      <c r="F82" s="217">
        <v>400</v>
      </c>
      <c r="G82" s="217">
        <v>400</v>
      </c>
      <c r="H82" s="217">
        <v>400</v>
      </c>
      <c r="I82" s="217">
        <v>400</v>
      </c>
      <c r="J82" s="38" t="s">
        <v>323</v>
      </c>
    </row>
    <row r="83" spans="1:11" s="38" customFormat="1" x14ac:dyDescent="0.25">
      <c r="A83" s="78" t="s">
        <v>81</v>
      </c>
      <c r="B83" s="78" t="str">
        <f>IF(ISBLANK(A83),"","OV"&amp;COUNTA($A$71:A83))</f>
        <v>OV13</v>
      </c>
      <c r="C83" s="245" t="s">
        <v>102</v>
      </c>
      <c r="D83" s="72" t="s">
        <v>91</v>
      </c>
      <c r="E83" s="79" t="s">
        <v>24</v>
      </c>
      <c r="F83" s="217">
        <v>1000</v>
      </c>
      <c r="G83" s="217">
        <v>1000</v>
      </c>
      <c r="H83" s="217">
        <v>1000</v>
      </c>
      <c r="I83" s="217">
        <v>1000</v>
      </c>
      <c r="J83" s="38" t="s">
        <v>323</v>
      </c>
    </row>
    <row r="84" spans="1:11" s="38" customFormat="1" x14ac:dyDescent="0.25">
      <c r="A84" s="78" t="s">
        <v>81</v>
      </c>
      <c r="B84" s="78" t="str">
        <f>IF(ISBLANK(A84),"","OV"&amp;COUNTA($A$71:A84))</f>
        <v>OV14</v>
      </c>
      <c r="C84" s="569" t="s">
        <v>103</v>
      </c>
      <c r="D84" s="570" t="s">
        <v>91</v>
      </c>
      <c r="E84" s="568" t="s">
        <v>24</v>
      </c>
      <c r="F84" s="575">
        <v>0</v>
      </c>
      <c r="G84" s="575">
        <v>0</v>
      </c>
      <c r="H84" s="575"/>
      <c r="I84" s="575"/>
      <c r="J84" s="572" t="s">
        <v>324</v>
      </c>
    </row>
    <row r="85" spans="1:11" x14ac:dyDescent="0.25">
      <c r="A85" s="78" t="s">
        <v>81</v>
      </c>
      <c r="B85" s="78" t="str">
        <f>IF(ISBLANK(A85),"","OV"&amp;COUNTA($A$71:A85))</f>
        <v>OV15</v>
      </c>
      <c r="C85" s="245" t="s">
        <v>104</v>
      </c>
      <c r="D85" s="72" t="s">
        <v>91</v>
      </c>
      <c r="E85" s="79" t="s">
        <v>24</v>
      </c>
      <c r="F85" s="217">
        <v>6000</v>
      </c>
      <c r="G85" s="217">
        <v>6000</v>
      </c>
      <c r="H85" s="217">
        <v>6000</v>
      </c>
      <c r="I85" s="217">
        <v>6000</v>
      </c>
      <c r="K85" s="38"/>
    </row>
    <row r="86" spans="1:11" s="38" customFormat="1" x14ac:dyDescent="0.25">
      <c r="A86" s="78" t="s">
        <v>81</v>
      </c>
      <c r="B86" s="78" t="str">
        <f>IF(ISBLANK(A86),"","OV"&amp;COUNTA($A$71:A86))</f>
        <v>OV16</v>
      </c>
      <c r="C86" s="245" t="s">
        <v>105</v>
      </c>
      <c r="D86" s="72" t="s">
        <v>91</v>
      </c>
      <c r="E86" s="71" t="s">
        <v>24</v>
      </c>
      <c r="F86" s="484">
        <v>18500</v>
      </c>
      <c r="G86" s="484">
        <v>18500</v>
      </c>
      <c r="H86" s="484">
        <v>18500</v>
      </c>
      <c r="I86" s="484">
        <v>18500</v>
      </c>
    </row>
    <row r="87" spans="1:11" s="1" customFormat="1" x14ac:dyDescent="0.25">
      <c r="A87" s="78"/>
      <c r="B87" s="78" t="str">
        <f>IF(ISBLANK(A87),"","OV"&amp;COUNTA($A$71:A87))</f>
        <v/>
      </c>
      <c r="C87" s="16" t="s">
        <v>112</v>
      </c>
      <c r="D87" s="50"/>
      <c r="E87" s="50"/>
      <c r="F87" s="4">
        <f>F70</f>
        <v>2023</v>
      </c>
      <c r="G87" s="4">
        <f>F87+1</f>
        <v>2024</v>
      </c>
      <c r="H87" s="4">
        <f>G87+1</f>
        <v>2025</v>
      </c>
      <c r="I87" s="4">
        <f>H87+1</f>
        <v>2026</v>
      </c>
      <c r="K87" s="38"/>
    </row>
    <row r="88" spans="1:11" s="38" customFormat="1" x14ac:dyDescent="0.25">
      <c r="A88" s="229" t="s">
        <v>81</v>
      </c>
      <c r="B88" s="229" t="str">
        <f>IF(ISBLANK(A88),"","OV"&amp;COUNTA($A$71:A88))</f>
        <v>OV17</v>
      </c>
      <c r="C88" s="429" t="s">
        <v>113</v>
      </c>
      <c r="D88" s="230" t="s">
        <v>83</v>
      </c>
      <c r="E88" s="230" t="s">
        <v>84</v>
      </c>
      <c r="F88" s="413">
        <v>44600</v>
      </c>
      <c r="G88" s="413">
        <v>44600</v>
      </c>
      <c r="H88" s="413">
        <v>44600</v>
      </c>
      <c r="I88" s="413">
        <v>44600</v>
      </c>
      <c r="J88" s="144" t="s">
        <v>325</v>
      </c>
    </row>
    <row r="89" spans="1:11" s="38" customFormat="1" x14ac:dyDescent="0.25">
      <c r="A89" s="78" t="s">
        <v>81</v>
      </c>
      <c r="B89" s="78" t="str">
        <f>IF(ISBLANK(A89),"","OV"&amp;COUNTA($A$71:A89))</f>
        <v>OV18</v>
      </c>
      <c r="C89" s="245" t="s">
        <v>114</v>
      </c>
      <c r="D89" s="79" t="s">
        <v>91</v>
      </c>
      <c r="E89" s="79" t="s">
        <v>24</v>
      </c>
      <c r="F89" s="608">
        <v>2600</v>
      </c>
      <c r="G89" s="608">
        <v>5200</v>
      </c>
      <c r="H89" s="608">
        <v>5200</v>
      </c>
      <c r="I89" s="608">
        <v>5200</v>
      </c>
      <c r="J89" s="144" t="s">
        <v>326</v>
      </c>
    </row>
    <row r="90" spans="1:11" s="38" customFormat="1" x14ac:dyDescent="0.25">
      <c r="A90" s="78" t="s">
        <v>81</v>
      </c>
      <c r="B90" s="78" t="str">
        <f>IF(ISBLANK(A90),"","OV"&amp;COUNTA($A$71:A90))</f>
        <v>OV19</v>
      </c>
      <c r="C90" s="480" t="s">
        <v>115</v>
      </c>
      <c r="D90" s="79" t="s">
        <v>91</v>
      </c>
      <c r="E90" s="79" t="s">
        <v>24</v>
      </c>
      <c r="F90" s="399">
        <v>1567</v>
      </c>
      <c r="G90" s="399">
        <v>1567</v>
      </c>
      <c r="H90" s="399">
        <v>1567</v>
      </c>
      <c r="I90" s="399">
        <v>1567</v>
      </c>
      <c r="J90" s="144"/>
    </row>
    <row r="91" spans="1:11" s="38" customFormat="1" x14ac:dyDescent="0.25">
      <c r="A91" s="78" t="s">
        <v>81</v>
      </c>
      <c r="B91" s="78" t="str">
        <f>IF(ISBLANK(A91),"","OV"&amp;COUNTA($A$71:A91))</f>
        <v>OV20</v>
      </c>
      <c r="C91" s="569" t="s">
        <v>116</v>
      </c>
      <c r="D91" s="577" t="s">
        <v>91</v>
      </c>
      <c r="E91" s="573" t="s">
        <v>24</v>
      </c>
      <c r="F91" s="572">
        <v>1600</v>
      </c>
      <c r="G91" s="572">
        <v>1600</v>
      </c>
      <c r="H91" s="572"/>
      <c r="I91" s="572"/>
      <c r="J91" s="144"/>
    </row>
    <row r="92" spans="1:11" s="38" customFormat="1" ht="30" x14ac:dyDescent="0.25">
      <c r="A92" s="78"/>
      <c r="B92" s="78" t="str">
        <f>IF(ISBLANK(A92),"","OV"&amp;COUNTA($A$71:A92))</f>
        <v/>
      </c>
      <c r="C92" s="82" t="s">
        <v>117</v>
      </c>
      <c r="D92" s="96"/>
      <c r="E92" s="71"/>
      <c r="F92" s="4">
        <f>F87</f>
        <v>2023</v>
      </c>
      <c r="G92" s="4">
        <f>F92+1</f>
        <v>2024</v>
      </c>
      <c r="H92" s="4">
        <f>G92+1</f>
        <v>2025</v>
      </c>
      <c r="I92" s="4">
        <f>H92+1</f>
        <v>2026</v>
      </c>
    </row>
    <row r="93" spans="1:11" s="38" customFormat="1" x14ac:dyDescent="0.25">
      <c r="A93" s="78" t="s">
        <v>81</v>
      </c>
      <c r="B93" s="78" t="str">
        <f>IF(ISBLANK(A93),"","OV"&amp;COUNTA($A$71:A93))</f>
        <v>OV21</v>
      </c>
      <c r="C93" s="245" t="s">
        <v>118</v>
      </c>
      <c r="D93" s="72" t="s">
        <v>83</v>
      </c>
      <c r="E93" s="79" t="s">
        <v>84</v>
      </c>
      <c r="F93" s="217">
        <v>5500</v>
      </c>
      <c r="G93" s="217">
        <v>0</v>
      </c>
      <c r="H93" s="217">
        <v>0</v>
      </c>
      <c r="I93" s="217">
        <v>0</v>
      </c>
    </row>
    <row r="94" spans="1:11" s="38" customFormat="1" ht="25.5" x14ac:dyDescent="0.25">
      <c r="A94" s="78" t="s">
        <v>81</v>
      </c>
      <c r="B94" s="78" t="str">
        <f>IF(ISBLANK(A94),"","OV"&amp;COUNTA($A$71:A94))</f>
        <v>OV22</v>
      </c>
      <c r="C94" s="245" t="s">
        <v>119</v>
      </c>
      <c r="D94" s="72" t="s">
        <v>89</v>
      </c>
      <c r="E94" s="111" t="s">
        <v>84</v>
      </c>
      <c r="F94" s="217">
        <v>5500</v>
      </c>
      <c r="G94" s="217">
        <v>0</v>
      </c>
      <c r="H94" s="217">
        <v>0</v>
      </c>
      <c r="I94" s="217">
        <v>0</v>
      </c>
    </row>
    <row r="95" spans="1:11" s="38" customFormat="1" x14ac:dyDescent="0.25">
      <c r="A95" s="78" t="s">
        <v>81</v>
      </c>
      <c r="B95" s="78" t="str">
        <f>IF(ISBLANK(A95),"","OV"&amp;COUNTA($A$71:A95))</f>
        <v>OV23</v>
      </c>
      <c r="C95" s="245" t="s">
        <v>120</v>
      </c>
      <c r="D95" s="72" t="s">
        <v>89</v>
      </c>
      <c r="E95" s="111" t="s">
        <v>84</v>
      </c>
      <c r="F95" s="217">
        <v>0</v>
      </c>
      <c r="G95" s="217">
        <v>4000</v>
      </c>
      <c r="H95" s="217">
        <v>4000</v>
      </c>
      <c r="I95" s="217">
        <v>4000</v>
      </c>
    </row>
    <row r="96" spans="1:11" s="38" customFormat="1" x14ac:dyDescent="0.25">
      <c r="A96" s="78" t="s">
        <v>81</v>
      </c>
      <c r="B96" s="78" t="str">
        <f>IF(ISBLANK(A96),"","OV"&amp;COUNTA($A$71:A96))</f>
        <v>OV24</v>
      </c>
      <c r="C96" s="245" t="s">
        <v>121</v>
      </c>
      <c r="D96" s="72" t="s">
        <v>83</v>
      </c>
      <c r="E96" s="111" t="s">
        <v>84</v>
      </c>
      <c r="F96" s="217">
        <v>-11000</v>
      </c>
      <c r="G96" s="217">
        <v>0</v>
      </c>
      <c r="H96" s="217">
        <v>0</v>
      </c>
      <c r="I96" s="217">
        <v>0</v>
      </c>
      <c r="J96" s="609">
        <v>25701156</v>
      </c>
    </row>
    <row r="97" spans="1:10" s="38" customFormat="1" x14ac:dyDescent="0.25">
      <c r="A97" s="78" t="s">
        <v>81</v>
      </c>
      <c r="B97" s="78" t="str">
        <f>IF(ISBLANK(A97),"","OV"&amp;COUNTA($A$71:A97))</f>
        <v>OV25</v>
      </c>
      <c r="C97" s="245" t="s">
        <v>122</v>
      </c>
      <c r="D97" s="72" t="s">
        <v>91</v>
      </c>
      <c r="E97" s="111" t="s">
        <v>24</v>
      </c>
      <c r="F97" s="217">
        <v>3200</v>
      </c>
      <c r="G97" s="217">
        <v>3200</v>
      </c>
      <c r="H97" s="217">
        <v>3200</v>
      </c>
      <c r="I97" s="217">
        <v>3200</v>
      </c>
      <c r="J97" s="38" t="s">
        <v>327</v>
      </c>
    </row>
    <row r="98" spans="1:10" s="38" customFormat="1" x14ac:dyDescent="0.25">
      <c r="A98" s="78" t="s">
        <v>81</v>
      </c>
      <c r="B98" s="78" t="str">
        <f>IF(ISBLANK(A98),"","OV"&amp;COUNTA($A$71:A98))</f>
        <v>OV26</v>
      </c>
      <c r="C98" s="245" t="s">
        <v>123</v>
      </c>
      <c r="D98" s="72" t="s">
        <v>91</v>
      </c>
      <c r="E98" s="111" t="s">
        <v>24</v>
      </c>
      <c r="F98" s="217">
        <v>3700</v>
      </c>
      <c r="G98" s="217">
        <v>3700</v>
      </c>
      <c r="H98" s="217">
        <v>3700</v>
      </c>
      <c r="I98" s="217">
        <v>3700</v>
      </c>
      <c r="J98" s="38" t="s">
        <v>328</v>
      </c>
    </row>
    <row r="99" spans="1:10" s="38" customFormat="1" x14ac:dyDescent="0.25">
      <c r="A99" s="78" t="s">
        <v>81</v>
      </c>
      <c r="B99" s="78" t="str">
        <f>IF(ISBLANK(A99),"","OV"&amp;COUNTA($A$71:A99))</f>
        <v>OV27</v>
      </c>
      <c r="C99" s="569" t="s">
        <v>124</v>
      </c>
      <c r="D99" s="570" t="s">
        <v>91</v>
      </c>
      <c r="E99" s="571" t="s">
        <v>24</v>
      </c>
      <c r="F99" s="575">
        <v>300</v>
      </c>
      <c r="G99" s="575">
        <v>300</v>
      </c>
      <c r="H99" s="575"/>
      <c r="I99" s="575"/>
      <c r="J99" s="572" t="s">
        <v>329</v>
      </c>
    </row>
    <row r="100" spans="1:10" s="38" customFormat="1" x14ac:dyDescent="0.25">
      <c r="A100" s="78" t="s">
        <v>81</v>
      </c>
      <c r="B100" s="78" t="str">
        <f>IF(ISBLANK(A100),"","OV"&amp;COUNTA($A$71:A100))</f>
        <v>OV28</v>
      </c>
      <c r="C100" s="569" t="s">
        <v>125</v>
      </c>
      <c r="D100" s="570" t="s">
        <v>91</v>
      </c>
      <c r="E100" s="571" t="s">
        <v>24</v>
      </c>
      <c r="F100" s="575">
        <v>3200</v>
      </c>
      <c r="G100" s="575">
        <v>3200</v>
      </c>
      <c r="H100" s="575"/>
      <c r="I100" s="575"/>
      <c r="J100" s="572" t="s">
        <v>329</v>
      </c>
    </row>
    <row r="101" spans="1:10" s="38" customFormat="1" x14ac:dyDescent="0.25">
      <c r="A101" s="78" t="s">
        <v>81</v>
      </c>
      <c r="B101" s="78" t="str">
        <f>IF(ISBLANK(A101),"","OV"&amp;COUNTA($A$71:A101))</f>
        <v>OV29</v>
      </c>
      <c r="C101" s="569" t="s">
        <v>126</v>
      </c>
      <c r="D101" s="570" t="s">
        <v>91</v>
      </c>
      <c r="E101" s="571" t="s">
        <v>24</v>
      </c>
      <c r="F101" s="575">
        <v>2400</v>
      </c>
      <c r="G101" s="575">
        <v>2400</v>
      </c>
      <c r="H101" s="575"/>
      <c r="I101" s="575"/>
      <c r="J101" s="572" t="s">
        <v>329</v>
      </c>
    </row>
    <row r="102" spans="1:10" s="38" customFormat="1" x14ac:dyDescent="0.25">
      <c r="A102" s="43"/>
      <c r="B102" s="43" t="s">
        <v>127</v>
      </c>
      <c r="C102" s="3" t="s">
        <v>128</v>
      </c>
      <c r="D102" s="52"/>
      <c r="E102" s="52"/>
      <c r="F102" s="56">
        <f>SUMIF($A:$A,"OPP",F:F)</f>
        <v>114137</v>
      </c>
      <c r="G102" s="56">
        <f>SUMIF($A:$A,"OPP",G:G)</f>
        <v>123465</v>
      </c>
      <c r="H102" s="56">
        <f>SUMIF($A:$A,"OPP",H:H)</f>
        <v>110633</v>
      </c>
      <c r="I102" s="56">
        <f>SUMIF($A:$A,"OPP",I:I)</f>
        <v>109785</v>
      </c>
    </row>
    <row r="103" spans="1:10" s="38" customFormat="1" x14ac:dyDescent="0.25">
      <c r="A103" s="47"/>
      <c r="B103" s="78"/>
      <c r="C103" s="11"/>
      <c r="D103" s="49"/>
      <c r="E103" s="49"/>
      <c r="F103" s="57"/>
      <c r="G103" s="57"/>
      <c r="H103" s="57"/>
      <c r="I103" s="57"/>
    </row>
    <row r="104" spans="1:10" s="38" customFormat="1" x14ac:dyDescent="0.25">
      <c r="A104" s="48"/>
      <c r="B104" s="78"/>
      <c r="C104" s="13" t="s">
        <v>129</v>
      </c>
      <c r="D104" s="50"/>
      <c r="E104" s="61"/>
      <c r="F104" s="58"/>
      <c r="G104" s="58"/>
      <c r="H104" s="58"/>
      <c r="I104" s="58"/>
    </row>
    <row r="105" spans="1:10" s="38" customFormat="1" x14ac:dyDescent="0.25">
      <c r="A105" s="78"/>
      <c r="B105" s="78"/>
      <c r="C105" s="82" t="s">
        <v>130</v>
      </c>
      <c r="D105" s="72"/>
      <c r="E105" s="71"/>
      <c r="F105" s="4">
        <f>F92</f>
        <v>2023</v>
      </c>
      <c r="G105" s="4">
        <f>F105+1</f>
        <v>2024</v>
      </c>
      <c r="H105" s="4">
        <f>G105+1</f>
        <v>2025</v>
      </c>
      <c r="I105" s="4">
        <f>H105+1</f>
        <v>2026</v>
      </c>
    </row>
    <row r="106" spans="1:10" s="38" customFormat="1" x14ac:dyDescent="0.25">
      <c r="A106" s="78" t="s">
        <v>131</v>
      </c>
      <c r="B106" s="78" t="str">
        <f>IF(ISBLANK(A106),"","H"&amp;COUNTA($A$106:A106))</f>
        <v>H1</v>
      </c>
      <c r="C106" s="245" t="s">
        <v>330</v>
      </c>
      <c r="D106" s="72" t="s">
        <v>89</v>
      </c>
      <c r="E106" s="71" t="s">
        <v>84</v>
      </c>
      <c r="F106" s="74">
        <v>0</v>
      </c>
      <c r="G106" s="90">
        <v>9000</v>
      </c>
      <c r="H106" s="74">
        <v>9000</v>
      </c>
      <c r="I106" s="70">
        <v>9000</v>
      </c>
      <c r="J106" s="38" t="s">
        <v>331</v>
      </c>
    </row>
    <row r="107" spans="1:10" s="38" customFormat="1" x14ac:dyDescent="0.25">
      <c r="A107" s="78"/>
      <c r="B107" s="78"/>
      <c r="C107" s="245"/>
      <c r="D107" s="72"/>
      <c r="E107" s="71"/>
      <c r="F107" s="90">
        <f>1650-1650</f>
        <v>0</v>
      </c>
      <c r="G107" s="90">
        <f>3600-3600</f>
        <v>0</v>
      </c>
      <c r="H107" s="90">
        <f>4900-4900</f>
        <v>0</v>
      </c>
      <c r="I107" s="90">
        <f>4900-4900</f>
        <v>0</v>
      </c>
    </row>
    <row r="108" spans="1:10" s="38" customFormat="1" x14ac:dyDescent="0.25">
      <c r="A108" s="78"/>
      <c r="B108" s="78"/>
      <c r="C108" s="245"/>
      <c r="D108" s="72"/>
      <c r="E108" s="71"/>
      <c r="F108" s="90"/>
      <c r="G108" s="90"/>
      <c r="H108" s="90"/>
      <c r="I108" s="90"/>
    </row>
    <row r="109" spans="1:10" s="38" customFormat="1" x14ac:dyDescent="0.25">
      <c r="A109" s="78"/>
      <c r="B109" s="78" t="str">
        <f>IF(ISBLANK(A109),"","H"&amp;COUNTA($A$106:A109))</f>
        <v/>
      </c>
      <c r="C109" s="82" t="s">
        <v>136</v>
      </c>
      <c r="D109" s="72"/>
      <c r="E109" s="71"/>
      <c r="F109" s="4">
        <f>F105</f>
        <v>2023</v>
      </c>
      <c r="G109" s="4">
        <f>F109+1</f>
        <v>2024</v>
      </c>
      <c r="H109" s="4">
        <f>G109+1</f>
        <v>2025</v>
      </c>
      <c r="I109" s="4">
        <f>H109+1</f>
        <v>2026</v>
      </c>
    </row>
    <row r="110" spans="1:10" s="38" customFormat="1" x14ac:dyDescent="0.25">
      <c r="A110" s="78" t="s">
        <v>131</v>
      </c>
      <c r="B110" s="78" t="str">
        <f>IF(ISBLANK(A110),"","H"&amp;COUNTA($A$106:A110))</f>
        <v>H2</v>
      </c>
      <c r="C110" s="245" t="s">
        <v>137</v>
      </c>
      <c r="D110" s="72" t="s">
        <v>89</v>
      </c>
      <c r="E110" s="71" t="s">
        <v>84</v>
      </c>
      <c r="F110" s="70">
        <v>2500</v>
      </c>
      <c r="G110" s="70">
        <v>5000</v>
      </c>
      <c r="H110" s="70">
        <v>7500</v>
      </c>
      <c r="I110" s="70">
        <v>10000</v>
      </c>
    </row>
    <row r="111" spans="1:10" s="38" customFormat="1" x14ac:dyDescent="0.25">
      <c r="A111" s="78"/>
      <c r="B111" s="78"/>
      <c r="C111" s="245"/>
      <c r="D111" s="72"/>
      <c r="E111" s="71"/>
      <c r="F111" s="217"/>
      <c r="G111" s="217"/>
      <c r="H111" s="217"/>
      <c r="I111" s="217"/>
    </row>
    <row r="112" spans="1:10" s="38" customFormat="1" x14ac:dyDescent="0.25">
      <c r="A112" s="341"/>
      <c r="B112" s="78" t="str">
        <f>IF(ISBLANK(A112),"","H"&amp;COUNTA($A$106:A112))</f>
        <v/>
      </c>
      <c r="C112" s="82" t="s">
        <v>142</v>
      </c>
      <c r="D112" s="83"/>
      <c r="E112" s="71"/>
      <c r="F112" s="4">
        <f>F109</f>
        <v>2023</v>
      </c>
      <c r="G112" s="4">
        <f>F112+1</f>
        <v>2024</v>
      </c>
      <c r="H112" s="4">
        <f>G112+1</f>
        <v>2025</v>
      </c>
      <c r="I112" s="4">
        <f>H112+1</f>
        <v>2026</v>
      </c>
    </row>
    <row r="113" spans="1:10" s="38" customFormat="1" x14ac:dyDescent="0.25">
      <c r="A113" s="78" t="s">
        <v>131</v>
      </c>
      <c r="B113" s="78" t="str">
        <f>IF(ISBLANK(A113),"","H"&amp;COUNTA($A$106:A113))</f>
        <v>H3</v>
      </c>
      <c r="C113" s="245" t="s">
        <v>143</v>
      </c>
      <c r="D113" s="72" t="s">
        <v>89</v>
      </c>
      <c r="E113" s="71" t="s">
        <v>84</v>
      </c>
      <c r="F113" s="70">
        <v>-300</v>
      </c>
      <c r="G113" s="70">
        <v>-900</v>
      </c>
      <c r="H113" s="70">
        <v>-1500</v>
      </c>
      <c r="I113" s="70">
        <v>-1500</v>
      </c>
    </row>
    <row r="114" spans="1:10" s="38" customFormat="1" x14ac:dyDescent="0.25">
      <c r="A114" s="78" t="s">
        <v>131</v>
      </c>
      <c r="B114" s="78" t="str">
        <f>IF(ISBLANK(A114),"","H"&amp;COUNTA($A$106:A114))</f>
        <v>H4</v>
      </c>
      <c r="C114" s="245" t="s">
        <v>144</v>
      </c>
      <c r="D114" s="72" t="s">
        <v>83</v>
      </c>
      <c r="E114" s="71" t="s">
        <v>84</v>
      </c>
      <c r="F114" s="217">
        <v>-27256</v>
      </c>
      <c r="G114" s="217">
        <v>-27256</v>
      </c>
      <c r="H114" s="217">
        <v>-27256</v>
      </c>
      <c r="I114" s="217">
        <v>-27256</v>
      </c>
    </row>
    <row r="115" spans="1:10" s="38" customFormat="1" x14ac:dyDescent="0.25">
      <c r="A115" s="78" t="s">
        <v>131</v>
      </c>
      <c r="B115" s="78" t="str">
        <f>IF(ISBLANK(A115),"","H"&amp;COUNTA($A$106:A115))</f>
        <v>H5</v>
      </c>
      <c r="C115" s="245" t="s">
        <v>145</v>
      </c>
      <c r="D115" s="72" t="s">
        <v>91</v>
      </c>
      <c r="E115" s="71" t="s">
        <v>24</v>
      </c>
      <c r="F115" s="217">
        <v>27256</v>
      </c>
      <c r="G115" s="217">
        <v>27256</v>
      </c>
      <c r="H115" s="217">
        <v>27256</v>
      </c>
      <c r="I115" s="217">
        <v>27256</v>
      </c>
    </row>
    <row r="116" spans="1:10" s="38" customFormat="1" x14ac:dyDescent="0.25">
      <c r="A116" s="78" t="s">
        <v>131</v>
      </c>
      <c r="B116" s="78" t="str">
        <f>IF(ISBLANK(A116),"","H"&amp;COUNTA($A$106:A116))</f>
        <v>H6</v>
      </c>
      <c r="C116" s="245" t="s">
        <v>146</v>
      </c>
      <c r="D116" s="72" t="s">
        <v>91</v>
      </c>
      <c r="E116" s="71" t="s">
        <v>24</v>
      </c>
      <c r="F116" s="217">
        <v>15000</v>
      </c>
      <c r="G116" s="217">
        <v>15000</v>
      </c>
      <c r="H116" s="217">
        <v>15000</v>
      </c>
      <c r="I116" s="217">
        <v>15000</v>
      </c>
    </row>
    <row r="117" spans="1:10" s="38" customFormat="1" x14ac:dyDescent="0.25">
      <c r="A117" s="78" t="s">
        <v>131</v>
      </c>
      <c r="B117" s="78" t="str">
        <f>IF(ISBLANK(A117),"","H"&amp;COUNTA($A$106:A117))</f>
        <v>H7</v>
      </c>
      <c r="C117" s="245" t="s">
        <v>147</v>
      </c>
      <c r="D117" s="72" t="s">
        <v>91</v>
      </c>
      <c r="E117" s="71" t="s">
        <v>24</v>
      </c>
      <c r="F117" s="70">
        <v>5000</v>
      </c>
      <c r="G117" s="217">
        <f>F117</f>
        <v>5000</v>
      </c>
      <c r="H117" s="217">
        <f>G117</f>
        <v>5000</v>
      </c>
      <c r="I117" s="217">
        <f>H117</f>
        <v>5000</v>
      </c>
    </row>
    <row r="118" spans="1:10" s="38" customFormat="1" x14ac:dyDescent="0.25">
      <c r="A118" s="78" t="s">
        <v>131</v>
      </c>
      <c r="B118" s="78" t="str">
        <f>IF(ISBLANK(A118),"","H"&amp;COUNTA($A$106:A118))</f>
        <v>H8</v>
      </c>
      <c r="C118" s="396" t="s">
        <v>148</v>
      </c>
      <c r="D118" s="72" t="s">
        <v>91</v>
      </c>
      <c r="E118" s="71" t="s">
        <v>24</v>
      </c>
      <c r="F118" s="217">
        <v>10000</v>
      </c>
      <c r="G118" s="217">
        <v>10000</v>
      </c>
      <c r="H118" s="217">
        <v>10000</v>
      </c>
      <c r="I118" s="217">
        <v>10000</v>
      </c>
    </row>
    <row r="119" spans="1:10" s="38" customFormat="1" x14ac:dyDescent="0.25">
      <c r="A119" s="78" t="s">
        <v>131</v>
      </c>
      <c r="B119" s="78" t="str">
        <f>IF(ISBLANK(A119),"","H"&amp;COUNTA($A$106:A119))</f>
        <v>H9</v>
      </c>
      <c r="C119" s="582" t="s">
        <v>149</v>
      </c>
      <c r="D119" s="72" t="s">
        <v>91</v>
      </c>
      <c r="E119" s="71" t="s">
        <v>24</v>
      </c>
      <c r="F119" s="217">
        <v>700</v>
      </c>
      <c r="G119" s="217">
        <v>700</v>
      </c>
      <c r="H119" s="217">
        <v>700</v>
      </c>
      <c r="I119" s="217">
        <v>700</v>
      </c>
      <c r="J119" s="38" t="s">
        <v>332</v>
      </c>
    </row>
    <row r="120" spans="1:10" s="38" customFormat="1" x14ac:dyDescent="0.25">
      <c r="A120" s="78" t="s">
        <v>131</v>
      </c>
      <c r="B120" s="78" t="str">
        <f>IF(ISBLANK(A120),"","H"&amp;COUNTA($A$106:A120))</f>
        <v>H10</v>
      </c>
      <c r="C120" s="582" t="s">
        <v>150</v>
      </c>
      <c r="D120" s="72" t="s">
        <v>91</v>
      </c>
      <c r="E120" s="71" t="s">
        <v>24</v>
      </c>
      <c r="F120" s="217">
        <v>1000</v>
      </c>
      <c r="G120" s="217">
        <f>F120</f>
        <v>1000</v>
      </c>
      <c r="H120" s="217">
        <f>G120</f>
        <v>1000</v>
      </c>
      <c r="I120" s="217">
        <f>H120</f>
        <v>1000</v>
      </c>
      <c r="J120" s="38" t="s">
        <v>332</v>
      </c>
    </row>
    <row r="121" spans="1:10" s="38" customFormat="1" x14ac:dyDescent="0.25">
      <c r="A121" s="78" t="s">
        <v>131</v>
      </c>
      <c r="B121" s="78" t="str">
        <f>IF(ISBLANK(A121),"","H"&amp;COUNTA($A$106:A121))</f>
        <v>H11</v>
      </c>
      <c r="C121" s="584" t="s">
        <v>151</v>
      </c>
      <c r="D121" s="72" t="s">
        <v>91</v>
      </c>
      <c r="E121" s="71" t="s">
        <v>24</v>
      </c>
      <c r="F121" s="217">
        <v>1100</v>
      </c>
      <c r="G121" s="217">
        <v>1100</v>
      </c>
      <c r="H121" s="217">
        <v>1100</v>
      </c>
      <c r="I121" s="217">
        <v>1100</v>
      </c>
      <c r="J121" s="38" t="s">
        <v>332</v>
      </c>
    </row>
    <row r="122" spans="1:10" s="38" customFormat="1" x14ac:dyDescent="0.25">
      <c r="A122" s="78" t="s">
        <v>131</v>
      </c>
      <c r="B122" s="78" t="str">
        <f>IF(ISBLANK(A122),"","H"&amp;COUNTA($A$106:A122))</f>
        <v>H12</v>
      </c>
      <c r="C122" s="584" t="s">
        <v>152</v>
      </c>
      <c r="D122" s="72" t="s">
        <v>91</v>
      </c>
      <c r="E122" s="71" t="s">
        <v>24</v>
      </c>
      <c r="F122" s="217">
        <v>1200</v>
      </c>
      <c r="G122" s="217">
        <v>1200</v>
      </c>
      <c r="H122" s="217">
        <v>1200</v>
      </c>
      <c r="I122" s="217">
        <v>1200</v>
      </c>
      <c r="J122" s="38" t="s">
        <v>332</v>
      </c>
    </row>
    <row r="123" spans="1:10" s="38" customFormat="1" ht="25.5" x14ac:dyDescent="0.25">
      <c r="A123" s="78" t="s">
        <v>131</v>
      </c>
      <c r="B123" s="78" t="str">
        <f>IF(ISBLANK(A123),"","H"&amp;COUNTA($A$106:A123))</f>
        <v>H13</v>
      </c>
      <c r="C123" s="582" t="s">
        <v>153</v>
      </c>
      <c r="D123" s="72" t="s">
        <v>91</v>
      </c>
      <c r="E123" s="71" t="s">
        <v>24</v>
      </c>
      <c r="F123" s="217">
        <v>-4000</v>
      </c>
      <c r="G123" s="217">
        <v>-4000</v>
      </c>
      <c r="H123" s="217">
        <v>-4000</v>
      </c>
      <c r="I123" s="217">
        <v>-4000</v>
      </c>
      <c r="J123" s="38" t="s">
        <v>332</v>
      </c>
    </row>
    <row r="124" spans="1:10" s="38" customFormat="1" x14ac:dyDescent="0.25">
      <c r="A124" s="78"/>
      <c r="B124" s="78" t="str">
        <f>IF(ISBLANK(A124),"","H"&amp;COUNTA($A$106:A124))</f>
        <v/>
      </c>
      <c r="C124" s="82" t="s">
        <v>156</v>
      </c>
      <c r="D124" s="72"/>
      <c r="E124" s="71"/>
      <c r="F124" s="4">
        <f>F112</f>
        <v>2023</v>
      </c>
      <c r="G124" s="4">
        <f>F124+1</f>
        <v>2024</v>
      </c>
      <c r="H124" s="4">
        <f>G124+1</f>
        <v>2025</v>
      </c>
      <c r="I124" s="4">
        <f>H124+1</f>
        <v>2026</v>
      </c>
    </row>
    <row r="125" spans="1:10" s="38" customFormat="1" ht="25.5" x14ac:dyDescent="0.25">
      <c r="A125" s="78" t="s">
        <v>131</v>
      </c>
      <c r="B125" s="78" t="str">
        <f>IF(ISBLANK(A125),"","H"&amp;COUNTA($A$106:A125))</f>
        <v>H14</v>
      </c>
      <c r="C125" s="245" t="s">
        <v>157</v>
      </c>
      <c r="D125" s="72" t="s">
        <v>83</v>
      </c>
      <c r="E125" s="71" t="s">
        <v>84</v>
      </c>
      <c r="F125" s="217">
        <v>1200</v>
      </c>
      <c r="G125" s="217">
        <v>1700</v>
      </c>
      <c r="H125" s="217">
        <v>2100</v>
      </c>
      <c r="I125" s="217">
        <v>2500</v>
      </c>
      <c r="J125" s="293" t="s">
        <v>333</v>
      </c>
    </row>
    <row r="126" spans="1:10" s="38" customFormat="1" x14ac:dyDescent="0.25">
      <c r="A126" s="229" t="s">
        <v>131</v>
      </c>
      <c r="B126" s="229" t="str">
        <f>IF(ISBLANK(A126),"","H"&amp;COUNTA($A$106:A126))</f>
        <v>H15</v>
      </c>
      <c r="C126" s="429" t="s">
        <v>158</v>
      </c>
      <c r="D126" s="228" t="s">
        <v>91</v>
      </c>
      <c r="E126" s="231" t="s">
        <v>24</v>
      </c>
      <c r="F126" s="541">
        <v>6550</v>
      </c>
      <c r="G126" s="541">
        <v>9800</v>
      </c>
      <c r="H126" s="541">
        <v>9800</v>
      </c>
      <c r="I126" s="541">
        <v>9800</v>
      </c>
      <c r="J126" s="293" t="s">
        <v>334</v>
      </c>
    </row>
    <row r="127" spans="1:10" s="38" customFormat="1" x14ac:dyDescent="0.25">
      <c r="A127" s="78" t="s">
        <v>131</v>
      </c>
      <c r="B127" s="78" t="str">
        <f>IF(ISBLANK(A127),"","H"&amp;COUNTA($A$106:A127))</f>
        <v>H16</v>
      </c>
      <c r="C127" s="245" t="s">
        <v>159</v>
      </c>
      <c r="D127" s="72" t="s">
        <v>91</v>
      </c>
      <c r="E127" s="71" t="s">
        <v>24</v>
      </c>
      <c r="F127" s="217">
        <v>600</v>
      </c>
      <c r="G127" s="217">
        <f>F127</f>
        <v>600</v>
      </c>
      <c r="H127" s="217">
        <f>G127</f>
        <v>600</v>
      </c>
      <c r="I127" s="217">
        <f>H127</f>
        <v>600</v>
      </c>
      <c r="J127" s="144"/>
    </row>
    <row r="128" spans="1:10" s="38" customFormat="1" x14ac:dyDescent="0.25">
      <c r="A128" s="78" t="s">
        <v>131</v>
      </c>
      <c r="B128" s="78" t="str">
        <f>IF(ISBLANK(A128),"","H"&amp;COUNTA($A$106:A128))</f>
        <v>H17</v>
      </c>
      <c r="C128" s="245" t="s">
        <v>160</v>
      </c>
      <c r="D128" s="72" t="s">
        <v>91</v>
      </c>
      <c r="E128" s="71" t="s">
        <v>24</v>
      </c>
      <c r="F128" s="421">
        <f>1530-609</f>
        <v>921</v>
      </c>
      <c r="G128" s="421">
        <f>1530-609</f>
        <v>921</v>
      </c>
      <c r="H128" s="421">
        <f>1530-609</f>
        <v>921</v>
      </c>
      <c r="I128" s="421">
        <f>1530-609</f>
        <v>921</v>
      </c>
      <c r="J128" s="38" t="s">
        <v>335</v>
      </c>
    </row>
    <row r="129" spans="1:13" s="38" customFormat="1" x14ac:dyDescent="0.25">
      <c r="A129" s="78" t="s">
        <v>131</v>
      </c>
      <c r="B129" s="78" t="str">
        <f>IF(ISBLANK(A129),"","H"&amp;COUNTA($A$106:A129))</f>
        <v>H18</v>
      </c>
      <c r="C129" s="581" t="s">
        <v>161</v>
      </c>
      <c r="D129" s="72" t="s">
        <v>91</v>
      </c>
      <c r="E129" s="71" t="s">
        <v>24</v>
      </c>
      <c r="F129" s="70">
        <v>1700</v>
      </c>
      <c r="G129" s="70">
        <v>1700</v>
      </c>
      <c r="H129" s="70">
        <v>1700</v>
      </c>
      <c r="I129" s="70">
        <v>1700</v>
      </c>
      <c r="J129" s="293" t="s">
        <v>336</v>
      </c>
    </row>
    <row r="130" spans="1:13" s="38" customFormat="1" x14ac:dyDescent="0.25">
      <c r="A130" s="78" t="s">
        <v>131</v>
      </c>
      <c r="B130" s="78" t="str">
        <f>IF(ISBLANK(A130),"","H"&amp;COUNTA($A$106:A130))</f>
        <v>H19</v>
      </c>
      <c r="C130" s="245" t="s">
        <v>162</v>
      </c>
      <c r="D130" s="72" t="s">
        <v>91</v>
      </c>
      <c r="E130" s="71" t="s">
        <v>24</v>
      </c>
      <c r="F130" s="398">
        <v>5000</v>
      </c>
      <c r="G130" s="398">
        <v>5000</v>
      </c>
      <c r="H130" s="398">
        <v>5000</v>
      </c>
      <c r="I130" s="398">
        <v>5000</v>
      </c>
      <c r="J130" s="293" t="s">
        <v>337</v>
      </c>
    </row>
    <row r="131" spans="1:13" s="38" customFormat="1" x14ac:dyDescent="0.25">
      <c r="A131" s="78" t="s">
        <v>131</v>
      </c>
      <c r="B131" s="78" t="str">
        <f>IF(ISBLANK(A131),"","H"&amp;COUNTA($A$106:A131))</f>
        <v>H20</v>
      </c>
      <c r="C131" s="245" t="s">
        <v>163</v>
      </c>
      <c r="D131" s="72" t="s">
        <v>91</v>
      </c>
      <c r="E131" s="71" t="s">
        <v>24</v>
      </c>
      <c r="F131" s="217">
        <v>3000</v>
      </c>
      <c r="G131" s="217">
        <v>3000</v>
      </c>
      <c r="H131" s="217">
        <v>3000</v>
      </c>
      <c r="I131" s="217">
        <v>3000</v>
      </c>
      <c r="J131" s="293"/>
    </row>
    <row r="132" spans="1:13" s="38" customFormat="1" x14ac:dyDescent="0.25">
      <c r="A132" s="78" t="s">
        <v>131</v>
      </c>
      <c r="B132" s="78" t="str">
        <f>IF(ISBLANK(A132),"","H"&amp;COUNTA($A$106:A132))</f>
        <v>H21</v>
      </c>
      <c r="C132" s="245" t="s">
        <v>164</v>
      </c>
      <c r="D132" s="72" t="s">
        <v>91</v>
      </c>
      <c r="E132" s="71" t="s">
        <v>24</v>
      </c>
      <c r="F132" s="217">
        <v>3000</v>
      </c>
      <c r="G132" s="217"/>
      <c r="H132" s="217"/>
      <c r="I132" s="217"/>
      <c r="J132" s="293" t="s">
        <v>338</v>
      </c>
    </row>
    <row r="133" spans="1:13" s="38" customFormat="1" x14ac:dyDescent="0.25">
      <c r="A133" s="78" t="s">
        <v>131</v>
      </c>
      <c r="B133" s="78" t="str">
        <f>IF(ISBLANK(A133),"","H"&amp;COUNTA($A$106:A133))</f>
        <v>H22</v>
      </c>
      <c r="C133" s="245" t="s">
        <v>165</v>
      </c>
      <c r="D133" s="72" t="s">
        <v>91</v>
      </c>
      <c r="E133" s="71" t="s">
        <v>24</v>
      </c>
      <c r="F133" s="217">
        <v>6100</v>
      </c>
      <c r="G133" s="217">
        <v>6100</v>
      </c>
      <c r="H133" s="217">
        <v>6100</v>
      </c>
      <c r="I133" s="217">
        <v>6100</v>
      </c>
      <c r="J133" s="293" t="s">
        <v>339</v>
      </c>
    </row>
    <row r="134" spans="1:13" s="38" customFormat="1" x14ac:dyDescent="0.25">
      <c r="A134" s="78"/>
      <c r="B134" s="78" t="str">
        <f>IF(ISBLANK(A134),"","H"&amp;COUNTA($A$106:A134))</f>
        <v/>
      </c>
      <c r="D134" s="83"/>
      <c r="E134" s="71"/>
      <c r="F134" s="4">
        <f>F124</f>
        <v>2023</v>
      </c>
      <c r="G134" s="4">
        <f>F134+1</f>
        <v>2024</v>
      </c>
      <c r="H134" s="4">
        <f>G134+1</f>
        <v>2025</v>
      </c>
      <c r="I134" s="4">
        <f>H134+1</f>
        <v>2026</v>
      </c>
    </row>
    <row r="135" spans="1:13" s="38" customFormat="1" x14ac:dyDescent="0.25">
      <c r="A135" s="78"/>
      <c r="B135" s="78"/>
      <c r="C135" s="82" t="s">
        <v>172</v>
      </c>
      <c r="D135" s="83"/>
      <c r="E135" s="71"/>
      <c r="F135" s="4"/>
      <c r="G135" s="4"/>
      <c r="H135" s="4"/>
      <c r="I135" s="4"/>
    </row>
    <row r="136" spans="1:13" s="38" customFormat="1" x14ac:dyDescent="0.25">
      <c r="A136" s="78" t="s">
        <v>131</v>
      </c>
      <c r="B136" s="78" t="str">
        <f>IF(ISBLANK(A136),"","H"&amp;COUNTA($A$106:A136))</f>
        <v>H23</v>
      </c>
      <c r="C136" s="245" t="s">
        <v>173</v>
      </c>
      <c r="D136" s="72" t="s">
        <v>83</v>
      </c>
      <c r="E136" s="71" t="s">
        <v>84</v>
      </c>
      <c r="F136" s="575">
        <v>-6879</v>
      </c>
      <c r="G136" s="575">
        <v>-5056</v>
      </c>
      <c r="H136" s="575">
        <v>705</v>
      </c>
      <c r="I136" s="575">
        <v>2528</v>
      </c>
      <c r="J136" s="293" t="s">
        <v>340</v>
      </c>
    </row>
    <row r="137" spans="1:13" s="38" customFormat="1" x14ac:dyDescent="0.25">
      <c r="A137" s="78" t="s">
        <v>131</v>
      </c>
      <c r="B137" s="78" t="str">
        <f>IF(ISBLANK(A137),"","H"&amp;COUNTA($A$106:A137))</f>
        <v>H24</v>
      </c>
      <c r="C137" s="245" t="s">
        <v>174</v>
      </c>
      <c r="D137" s="72" t="s">
        <v>83</v>
      </c>
      <c r="E137" s="71" t="s">
        <v>84</v>
      </c>
      <c r="F137" s="575">
        <v>39000</v>
      </c>
      <c r="G137" s="575">
        <v>20000</v>
      </c>
      <c r="H137" s="575">
        <v>5000</v>
      </c>
      <c r="I137" s="575">
        <v>5000</v>
      </c>
      <c r="J137" s="293" t="s">
        <v>333</v>
      </c>
    </row>
    <row r="138" spans="1:13" s="38" customFormat="1" x14ac:dyDescent="0.25">
      <c r="A138" s="78" t="s">
        <v>131</v>
      </c>
      <c r="B138" s="78" t="str">
        <f>IF(ISBLANK(A138),"","H"&amp;COUNTA($A$106:A138))</f>
        <v>H25</v>
      </c>
      <c r="C138" s="245" t="s">
        <v>175</v>
      </c>
      <c r="D138" s="72" t="s">
        <v>91</v>
      </c>
      <c r="E138" s="71" t="s">
        <v>24</v>
      </c>
      <c r="F138" s="217">
        <v>18000</v>
      </c>
      <c r="G138" s="217">
        <v>18000</v>
      </c>
      <c r="H138" s="217">
        <v>18000</v>
      </c>
      <c r="I138" s="217">
        <v>18000</v>
      </c>
      <c r="J138" s="293" t="s">
        <v>341</v>
      </c>
    </row>
    <row r="139" spans="1:13" s="38" customFormat="1" x14ac:dyDescent="0.25">
      <c r="A139" s="78" t="s">
        <v>131</v>
      </c>
      <c r="B139" s="78" t="str">
        <f>IF(ISBLANK(A139),"","H"&amp;COUNTA($A$106:A139))</f>
        <v>H26</v>
      </c>
      <c r="C139" s="569" t="s">
        <v>176</v>
      </c>
      <c r="D139" s="570" t="s">
        <v>91</v>
      </c>
      <c r="E139" s="573" t="s">
        <v>24</v>
      </c>
      <c r="F139" s="575">
        <v>1400</v>
      </c>
      <c r="G139" s="575">
        <v>1400</v>
      </c>
      <c r="H139" s="575"/>
      <c r="I139" s="575"/>
      <c r="J139" s="572" t="s">
        <v>342</v>
      </c>
      <c r="K139" s="572"/>
      <c r="L139" s="572"/>
    </row>
    <row r="140" spans="1:13" s="38" customFormat="1" x14ac:dyDescent="0.25">
      <c r="A140" s="78" t="s">
        <v>131</v>
      </c>
      <c r="B140" s="78" t="str">
        <f>IF(ISBLANK(A140),"","H"&amp;COUNTA($A$106:A140))</f>
        <v>H27</v>
      </c>
      <c r="C140" s="569" t="s">
        <v>177</v>
      </c>
      <c r="D140" s="570" t="s">
        <v>91</v>
      </c>
      <c r="E140" s="573" t="s">
        <v>24</v>
      </c>
      <c r="F140" s="575">
        <v>2700</v>
      </c>
      <c r="G140" s="575">
        <v>2700</v>
      </c>
      <c r="H140" s="575"/>
      <c r="I140" s="575"/>
      <c r="J140" s="572" t="s">
        <v>343</v>
      </c>
      <c r="K140" s="572"/>
      <c r="L140" s="572"/>
      <c r="M140" s="572"/>
    </row>
    <row r="141" spans="1:13" s="38" customFormat="1" x14ac:dyDescent="0.25">
      <c r="A141" s="78" t="s">
        <v>131</v>
      </c>
      <c r="B141" s="78" t="str">
        <f>IF(ISBLANK(A141),"","H"&amp;COUNTA($A$106:A141))</f>
        <v>H28</v>
      </c>
      <c r="C141" s="569" t="s">
        <v>178</v>
      </c>
      <c r="D141" s="570" t="s">
        <v>91</v>
      </c>
      <c r="E141" s="573" t="s">
        <v>24</v>
      </c>
      <c r="F141" s="575">
        <f>6400+1000-3200</f>
        <v>4200</v>
      </c>
      <c r="G141" s="575">
        <f>6400+1000-3200</f>
        <v>4200</v>
      </c>
      <c r="H141" s="575"/>
      <c r="I141" s="575"/>
      <c r="J141" s="572" t="s">
        <v>329</v>
      </c>
    </row>
    <row r="142" spans="1:13" s="38" customFormat="1" x14ac:dyDescent="0.25">
      <c r="A142" s="78"/>
      <c r="B142" s="78"/>
      <c r="C142" s="245"/>
      <c r="D142" s="72"/>
      <c r="E142" s="71"/>
      <c r="F142" s="546"/>
      <c r="G142" s="546"/>
      <c r="H142" s="546"/>
      <c r="I142" s="546"/>
    </row>
    <row r="143" spans="1:13" s="38" customFormat="1" x14ac:dyDescent="0.25">
      <c r="A143" s="78"/>
      <c r="B143" s="78" t="str">
        <f>IF(ISBLANK(A143),"","H"&amp;COUNTA($A$106:A143))</f>
        <v/>
      </c>
      <c r="C143" s="82" t="s">
        <v>179</v>
      </c>
      <c r="D143" s="83"/>
      <c r="E143" s="71"/>
      <c r="F143" s="4">
        <f>F134</f>
        <v>2023</v>
      </c>
      <c r="G143" s="4">
        <f>F143+1</f>
        <v>2024</v>
      </c>
      <c r="H143" s="4">
        <f>G143+1</f>
        <v>2025</v>
      </c>
      <c r="I143" s="4">
        <f>H143+1</f>
        <v>2026</v>
      </c>
    </row>
    <row r="144" spans="1:13" s="38" customFormat="1" x14ac:dyDescent="0.25">
      <c r="A144" s="78" t="s">
        <v>131</v>
      </c>
      <c r="B144" s="78" t="str">
        <f>IF(ISBLANK(A144),"","H"&amp;COUNTA($A$106:A144))</f>
        <v>H29</v>
      </c>
      <c r="C144" s="245" t="s">
        <v>180</v>
      </c>
      <c r="D144" s="72" t="s">
        <v>89</v>
      </c>
      <c r="E144" s="71" t="s">
        <v>84</v>
      </c>
      <c r="F144" s="70">
        <v>0</v>
      </c>
      <c r="G144" s="70">
        <v>1000</v>
      </c>
      <c r="H144" s="70">
        <v>12000</v>
      </c>
      <c r="I144" s="191">
        <v>12000</v>
      </c>
    </row>
    <row r="145" spans="1:10" s="38" customFormat="1" x14ac:dyDescent="0.25">
      <c r="A145" s="78" t="s">
        <v>131</v>
      </c>
      <c r="B145" s="78" t="str">
        <f>IF(ISBLANK(A145),"","H"&amp;COUNTA($A$106:A145))</f>
        <v>H30</v>
      </c>
      <c r="C145" s="245" t="s">
        <v>181</v>
      </c>
      <c r="D145" s="72" t="s">
        <v>89</v>
      </c>
      <c r="E145" s="71" t="s">
        <v>84</v>
      </c>
      <c r="F145" s="191">
        <v>0</v>
      </c>
      <c r="G145" s="191">
        <v>-4000</v>
      </c>
      <c r="H145" s="191">
        <v>-6000</v>
      </c>
      <c r="I145" s="191">
        <v>-6000</v>
      </c>
    </row>
    <row r="146" spans="1:10" s="38" customFormat="1" x14ac:dyDescent="0.25">
      <c r="A146" s="43"/>
      <c r="B146" s="43" t="s">
        <v>127</v>
      </c>
      <c r="C146" s="3" t="s">
        <v>182</v>
      </c>
      <c r="D146" s="52"/>
      <c r="E146" s="52"/>
      <c r="F146" s="56">
        <f>SUMIF($A:$A,"H&amp;V",F:F)</f>
        <v>118692</v>
      </c>
      <c r="G146" s="56">
        <f>SUMIF($A:$A,"H&amp;V",G:G)</f>
        <v>110165</v>
      </c>
      <c r="H146" s="56">
        <f>SUMIF($A:$A,"H&amp;V",H:H)</f>
        <v>103926</v>
      </c>
      <c r="I146" s="56">
        <f>SUMIF($A:$A,"H&amp;V",I:I)</f>
        <v>108649</v>
      </c>
    </row>
    <row r="147" spans="1:10" s="38" customFormat="1" x14ac:dyDescent="0.25">
      <c r="A147" s="47"/>
      <c r="B147" s="78"/>
      <c r="C147" s="11"/>
      <c r="D147" s="49"/>
      <c r="E147" s="49"/>
      <c r="F147" s="57"/>
      <c r="G147" s="57"/>
      <c r="H147" s="57"/>
      <c r="I147" s="57"/>
    </row>
    <row r="148" spans="1:10" s="38" customFormat="1" x14ac:dyDescent="0.25">
      <c r="A148" s="48"/>
      <c r="B148" s="78"/>
      <c r="C148" s="13" t="s">
        <v>183</v>
      </c>
      <c r="D148" s="50"/>
      <c r="E148" s="61"/>
      <c r="F148" s="58"/>
      <c r="G148" s="58"/>
      <c r="H148" s="58"/>
      <c r="I148" s="58"/>
    </row>
    <row r="149" spans="1:10" s="38" customFormat="1" x14ac:dyDescent="0.25">
      <c r="A149" s="341"/>
      <c r="B149" s="78"/>
      <c r="C149" s="82" t="s">
        <v>184</v>
      </c>
      <c r="D149" s="83"/>
      <c r="E149" s="71"/>
      <c r="F149" s="4">
        <f>F143</f>
        <v>2023</v>
      </c>
      <c r="G149" s="4">
        <f>F149+1</f>
        <v>2024</v>
      </c>
      <c r="H149" s="4">
        <f>G149+1</f>
        <v>2025</v>
      </c>
      <c r="I149" s="4">
        <f>H149+1</f>
        <v>2026</v>
      </c>
    </row>
    <row r="150" spans="1:10" s="38" customFormat="1" x14ac:dyDescent="0.25">
      <c r="A150" s="78"/>
      <c r="B150" s="78"/>
      <c r="C150" s="212"/>
      <c r="D150" s="79"/>
      <c r="E150" s="71"/>
      <c r="F150" s="191"/>
      <c r="G150" s="191"/>
      <c r="H150" s="191"/>
      <c r="I150" s="191"/>
    </row>
    <row r="151" spans="1:10" s="38" customFormat="1" x14ac:dyDescent="0.25">
      <c r="A151" s="78"/>
      <c r="B151" s="78" t="str">
        <f>IF(ISBLANK(A151),"","K"&amp;COUNTA($A$150:A151))</f>
        <v/>
      </c>
      <c r="C151" s="82" t="s">
        <v>185</v>
      </c>
      <c r="D151" s="79"/>
      <c r="E151" s="71"/>
      <c r="F151" s="191"/>
      <c r="G151" s="191"/>
      <c r="H151" s="191"/>
      <c r="I151" s="191"/>
    </row>
    <row r="152" spans="1:10" s="38" customFormat="1" x14ac:dyDescent="0.25">
      <c r="A152" s="78" t="s">
        <v>186</v>
      </c>
      <c r="B152" s="78" t="str">
        <f>IF(ISBLANK(A152),"","K"&amp;COUNTA($A$150:A152))</f>
        <v>K1</v>
      </c>
      <c r="C152" s="213" t="s">
        <v>187</v>
      </c>
      <c r="D152" s="72" t="s">
        <v>89</v>
      </c>
      <c r="E152" s="71" t="s">
        <v>84</v>
      </c>
      <c r="F152" s="70"/>
      <c r="G152" s="70">
        <v>-100</v>
      </c>
      <c r="H152" s="70">
        <v>-100</v>
      </c>
      <c r="I152" s="70">
        <v>-100</v>
      </c>
    </row>
    <row r="153" spans="1:10" s="38" customFormat="1" ht="25.5" x14ac:dyDescent="0.25">
      <c r="A153" s="78" t="s">
        <v>186</v>
      </c>
      <c r="B153" s="78" t="str">
        <f>IF(ISBLANK(A153),"","K"&amp;COUNTA($A$150:A153))</f>
        <v>K2</v>
      </c>
      <c r="C153" s="212" t="s">
        <v>188</v>
      </c>
      <c r="D153" s="72" t="s">
        <v>91</v>
      </c>
      <c r="E153" s="71" t="s">
        <v>24</v>
      </c>
      <c r="F153" s="191">
        <v>750</v>
      </c>
      <c r="G153" s="191">
        <v>750</v>
      </c>
      <c r="H153" s="191">
        <v>750</v>
      </c>
      <c r="I153" s="191">
        <v>750</v>
      </c>
    </row>
    <row r="154" spans="1:10" s="38" customFormat="1" ht="25.5" x14ac:dyDescent="0.2">
      <c r="A154" s="78" t="s">
        <v>186</v>
      </c>
      <c r="B154" s="78" t="str">
        <f>IF(ISBLANK(A154),"","K"&amp;COUNTA($A$150:A154))</f>
        <v>K3</v>
      </c>
      <c r="C154" s="623" t="s">
        <v>189</v>
      </c>
      <c r="D154" s="72" t="s">
        <v>91</v>
      </c>
      <c r="E154" s="71" t="s">
        <v>24</v>
      </c>
      <c r="F154" s="191">
        <v>-750</v>
      </c>
      <c r="G154" s="191">
        <v>-750</v>
      </c>
      <c r="H154" s="191"/>
      <c r="I154" s="191"/>
    </row>
    <row r="155" spans="1:10" s="38" customFormat="1" ht="25.5" x14ac:dyDescent="0.2">
      <c r="A155" s="78" t="s">
        <v>186</v>
      </c>
      <c r="B155" s="78" t="str">
        <f>IF(ISBLANK(A155),"","K"&amp;COUNTA($A$150:A155))</f>
        <v>K4</v>
      </c>
      <c r="C155" s="623" t="s">
        <v>190</v>
      </c>
      <c r="D155" s="72" t="s">
        <v>91</v>
      </c>
      <c r="E155" s="71" t="s">
        <v>24</v>
      </c>
      <c r="F155" s="191">
        <v>136</v>
      </c>
      <c r="G155" s="191">
        <v>136</v>
      </c>
      <c r="H155" s="191">
        <v>136</v>
      </c>
      <c r="I155" s="191">
        <v>136</v>
      </c>
      <c r="J155" s="38" t="s">
        <v>344</v>
      </c>
    </row>
    <row r="156" spans="1:10" s="38" customFormat="1" x14ac:dyDescent="0.25">
      <c r="A156" s="43"/>
      <c r="B156" s="43" t="s">
        <v>127</v>
      </c>
      <c r="C156" s="3" t="s">
        <v>203</v>
      </c>
      <c r="D156" s="52"/>
      <c r="E156" s="52"/>
      <c r="F156" s="56">
        <f>SUMIF($A:$A,"KuN",F:F)</f>
        <v>136</v>
      </c>
      <c r="G156" s="56">
        <f>SUMIF($A:$A,"KuN",G:G)</f>
        <v>36</v>
      </c>
      <c r="H156" s="56">
        <f>SUMIF($A:$A,"KuN",H:H)</f>
        <v>786</v>
      </c>
      <c r="I156" s="56">
        <f>SUMIF($A:$A,"KuN",I:I)</f>
        <v>786</v>
      </c>
    </row>
    <row r="157" spans="1:10" s="38" customFormat="1" x14ac:dyDescent="0.25">
      <c r="A157" s="47"/>
      <c r="B157" s="78"/>
      <c r="C157" s="11"/>
      <c r="D157" s="49"/>
      <c r="E157" s="49"/>
      <c r="F157" s="57"/>
      <c r="G157" s="57"/>
      <c r="H157" s="57"/>
      <c r="I157" s="57"/>
    </row>
    <row r="158" spans="1:10" s="38" customFormat="1" x14ac:dyDescent="0.25">
      <c r="A158" s="48"/>
      <c r="B158" s="78"/>
      <c r="C158" s="248" t="s">
        <v>204</v>
      </c>
      <c r="D158" s="83"/>
      <c r="E158" s="71"/>
      <c r="F158" s="4">
        <f>F149</f>
        <v>2023</v>
      </c>
      <c r="G158" s="4">
        <f>F158+1</f>
        <v>2024</v>
      </c>
      <c r="H158" s="4">
        <f>G158+1</f>
        <v>2025</v>
      </c>
      <c r="I158" s="4">
        <f>H158+1</f>
        <v>2026</v>
      </c>
    </row>
    <row r="159" spans="1:10" s="38" customFormat="1" x14ac:dyDescent="0.25">
      <c r="A159" s="78"/>
      <c r="B159" s="78"/>
      <c r="C159" s="344"/>
      <c r="D159" s="72"/>
      <c r="E159" s="71"/>
      <c r="F159" s="217"/>
      <c r="G159" s="217"/>
      <c r="H159" s="217"/>
      <c r="I159" s="217"/>
    </row>
    <row r="160" spans="1:10" s="38" customFormat="1" x14ac:dyDescent="0.25">
      <c r="A160" s="78"/>
      <c r="B160" s="78"/>
      <c r="C160" s="208" t="s">
        <v>205</v>
      </c>
      <c r="D160" s="83"/>
      <c r="E160" s="71"/>
      <c r="F160" s="4">
        <f>F158</f>
        <v>2023</v>
      </c>
      <c r="G160" s="4">
        <f>F160+1</f>
        <v>2024</v>
      </c>
      <c r="H160" s="4">
        <f>G160+1</f>
        <v>2025</v>
      </c>
      <c r="I160" s="4">
        <f>H160+1</f>
        <v>2026</v>
      </c>
    </row>
    <row r="161" spans="1:10" s="38" customFormat="1" ht="25.5" x14ac:dyDescent="0.25">
      <c r="A161" s="78" t="s">
        <v>206</v>
      </c>
      <c r="B161" s="78" t="str">
        <f>IF(ISBLANK(A161),"","T"&amp;COUNTA($A$159:A161))</f>
        <v>T1</v>
      </c>
      <c r="C161" s="212" t="s">
        <v>207</v>
      </c>
      <c r="D161" s="72" t="s">
        <v>83</v>
      </c>
      <c r="E161" s="71"/>
      <c r="F161" s="217"/>
      <c r="G161" s="217">
        <v>1000</v>
      </c>
      <c r="H161" s="217">
        <v>1000</v>
      </c>
      <c r="I161" s="217">
        <v>1000</v>
      </c>
      <c r="J161" s="144" t="s">
        <v>345</v>
      </c>
    </row>
    <row r="162" spans="1:10" s="38" customFormat="1" x14ac:dyDescent="0.25">
      <c r="A162" s="78" t="s">
        <v>206</v>
      </c>
      <c r="B162" s="78" t="str">
        <f>IF(ISBLANK(A162),"","T"&amp;COUNTA($A$159:A162))</f>
        <v>T2</v>
      </c>
      <c r="C162" s="212" t="s">
        <v>208</v>
      </c>
      <c r="D162" s="72" t="s">
        <v>91</v>
      </c>
      <c r="E162" s="71" t="s">
        <v>24</v>
      </c>
      <c r="F162" s="217">
        <v>150</v>
      </c>
      <c r="G162" s="217">
        <v>150</v>
      </c>
      <c r="H162" s="217">
        <v>150</v>
      </c>
      <c r="I162" s="217">
        <v>150</v>
      </c>
    </row>
    <row r="163" spans="1:10" s="38" customFormat="1" x14ac:dyDescent="0.25">
      <c r="A163" s="78"/>
      <c r="B163" s="78"/>
      <c r="C163" s="212"/>
      <c r="D163" s="72"/>
      <c r="E163" s="71"/>
      <c r="F163" s="217"/>
      <c r="G163" s="217"/>
      <c r="H163" s="217"/>
      <c r="I163" s="217"/>
    </row>
    <row r="164" spans="1:10" s="38" customFormat="1" x14ac:dyDescent="0.25">
      <c r="A164" s="78"/>
      <c r="B164" s="78" t="str">
        <f>IF(ISBLANK(A164),"","T"&amp;COUNTA($A$159:A164))</f>
        <v/>
      </c>
      <c r="C164" s="208" t="s">
        <v>209</v>
      </c>
      <c r="D164" s="72"/>
      <c r="E164" s="71"/>
      <c r="F164" s="4">
        <f>F160</f>
        <v>2023</v>
      </c>
      <c r="G164" s="4">
        <f>F164+1</f>
        <v>2024</v>
      </c>
      <c r="H164" s="4">
        <f>G164+1</f>
        <v>2025</v>
      </c>
      <c r="I164" s="4">
        <f>H164+1</f>
        <v>2026</v>
      </c>
    </row>
    <row r="165" spans="1:10" s="38" customFormat="1" x14ac:dyDescent="0.25">
      <c r="A165" s="78" t="s">
        <v>206</v>
      </c>
      <c r="B165" s="78" t="str">
        <f>IF(ISBLANK(A165),"","T"&amp;COUNTA($A$159:A165))</f>
        <v>T3</v>
      </c>
      <c r="C165" s="344" t="s">
        <v>210</v>
      </c>
      <c r="D165" s="72" t="s">
        <v>91</v>
      </c>
      <c r="E165" s="71" t="s">
        <v>24</v>
      </c>
      <c r="F165" s="217">
        <v>15000</v>
      </c>
      <c r="G165" s="217">
        <v>6000</v>
      </c>
      <c r="H165" s="217"/>
      <c r="I165" s="217"/>
      <c r="J165" s="38" t="s">
        <v>346</v>
      </c>
    </row>
    <row r="166" spans="1:10" s="38" customFormat="1" x14ac:dyDescent="0.25">
      <c r="A166" s="78" t="s">
        <v>206</v>
      </c>
      <c r="B166" s="78" t="str">
        <f>IF(ISBLANK(A166),"","T"&amp;COUNTA($A$159:A166))</f>
        <v>T4</v>
      </c>
      <c r="C166" s="344" t="s">
        <v>211</v>
      </c>
      <c r="D166" s="72" t="s">
        <v>91</v>
      </c>
      <c r="E166" s="71" t="s">
        <v>24</v>
      </c>
      <c r="F166" s="217">
        <v>450</v>
      </c>
      <c r="G166" s="217"/>
      <c r="H166" s="217"/>
      <c r="I166" s="217"/>
    </row>
    <row r="167" spans="1:10" s="38" customFormat="1" x14ac:dyDescent="0.25">
      <c r="A167" s="78"/>
      <c r="B167" s="78"/>
      <c r="C167" s="344"/>
      <c r="D167" s="72"/>
      <c r="E167" s="71"/>
      <c r="F167" s="217"/>
      <c r="G167" s="217"/>
      <c r="H167" s="217"/>
      <c r="I167" s="217"/>
    </row>
    <row r="168" spans="1:10" s="38" customFormat="1" x14ac:dyDescent="0.25">
      <c r="A168" s="78"/>
      <c r="B168" s="78" t="str">
        <f>IF(ISBLANK(A168),"","T"&amp;COUNTA($A$159:A168))</f>
        <v/>
      </c>
      <c r="C168" s="208" t="s">
        <v>212</v>
      </c>
      <c r="D168" s="72"/>
      <c r="E168" s="71"/>
      <c r="F168" s="4">
        <f>+F164</f>
        <v>2023</v>
      </c>
      <c r="G168" s="4">
        <f>F168+1</f>
        <v>2024</v>
      </c>
      <c r="H168" s="4">
        <f>G168+1</f>
        <v>2025</v>
      </c>
      <c r="I168" s="4">
        <f>H168+1</f>
        <v>2026</v>
      </c>
    </row>
    <row r="169" spans="1:10" s="38" customFormat="1" x14ac:dyDescent="0.25">
      <c r="A169" s="78"/>
      <c r="B169" s="78"/>
      <c r="C169" s="344"/>
      <c r="D169" s="72"/>
      <c r="E169" s="609"/>
      <c r="F169" s="217"/>
      <c r="G169" s="217"/>
      <c r="H169" s="217"/>
      <c r="I169" s="217"/>
      <c r="J169" s="144"/>
    </row>
    <row r="170" spans="1:10" s="38" customFormat="1" x14ac:dyDescent="0.25">
      <c r="A170" s="78"/>
      <c r="B170" s="78" t="str">
        <f>IF(ISBLANK(A170),"","T"&amp;COUNTA($A$159:A170))</f>
        <v/>
      </c>
      <c r="C170" s="208" t="s">
        <v>213</v>
      </c>
      <c r="D170" s="72"/>
      <c r="E170" s="71"/>
      <c r="F170" s="4">
        <f>F164</f>
        <v>2023</v>
      </c>
      <c r="G170" s="4">
        <f>F170+1</f>
        <v>2024</v>
      </c>
      <c r="H170" s="4">
        <f>G170+1</f>
        <v>2025</v>
      </c>
      <c r="I170" s="4">
        <f>H170+1</f>
        <v>2026</v>
      </c>
    </row>
    <row r="171" spans="1:10" s="38" customFormat="1" ht="25.5" x14ac:dyDescent="0.25">
      <c r="A171" s="45" t="s">
        <v>206</v>
      </c>
      <c r="B171" s="78" t="str">
        <f>IF(ISBLANK(A171),"","T"&amp;COUNTA($A$159:A171))</f>
        <v>T5</v>
      </c>
      <c r="C171" s="212" t="s">
        <v>214</v>
      </c>
      <c r="D171" s="72" t="s">
        <v>83</v>
      </c>
      <c r="E171" s="71" t="s">
        <v>84</v>
      </c>
      <c r="F171" s="546">
        <v>75</v>
      </c>
      <c r="G171" s="546">
        <v>75</v>
      </c>
      <c r="H171" s="546">
        <v>75</v>
      </c>
      <c r="I171" s="546">
        <v>75</v>
      </c>
      <c r="J171" s="144" t="s">
        <v>347</v>
      </c>
    </row>
    <row r="172" spans="1:10" s="38" customFormat="1" x14ac:dyDescent="0.25">
      <c r="A172" s="45" t="s">
        <v>206</v>
      </c>
      <c r="B172" s="78" t="str">
        <f>IF(ISBLANK(A172),"","T"&amp;COUNTA($A$159:A172))</f>
        <v>T6</v>
      </c>
      <c r="C172" s="212" t="s">
        <v>215</v>
      </c>
      <c r="D172" s="72" t="s">
        <v>83</v>
      </c>
      <c r="E172" s="71" t="s">
        <v>84</v>
      </c>
      <c r="F172" s="546"/>
      <c r="G172" s="546">
        <v>-300</v>
      </c>
      <c r="H172" s="546">
        <v>-300</v>
      </c>
      <c r="I172" s="546">
        <v>-300</v>
      </c>
      <c r="J172" s="144"/>
    </row>
    <row r="173" spans="1:10" s="38" customFormat="1" ht="29.25" customHeight="1" x14ac:dyDescent="0.25">
      <c r="A173" s="45" t="s">
        <v>206</v>
      </c>
      <c r="B173" s="78" t="str">
        <f>IF(ISBLANK(A173),"","T"&amp;COUNTA($A$159:A173))</f>
        <v>T7</v>
      </c>
      <c r="C173" s="212" t="s">
        <v>216</v>
      </c>
      <c r="D173" s="72" t="s">
        <v>83</v>
      </c>
      <c r="E173" s="71" t="s">
        <v>84</v>
      </c>
      <c r="F173" s="546"/>
      <c r="G173" s="546">
        <v>-500</v>
      </c>
      <c r="H173" s="546">
        <v>-500</v>
      </c>
      <c r="I173" s="546">
        <v>-500</v>
      </c>
      <c r="J173" s="144"/>
    </row>
    <row r="174" spans="1:10" s="38" customFormat="1" ht="30" x14ac:dyDescent="0.25">
      <c r="A174" s="45" t="s">
        <v>206</v>
      </c>
      <c r="B174" s="78" t="str">
        <f>IF(ISBLANK(A174),"","T"&amp;COUNTA($A$159:A174))</f>
        <v>T8</v>
      </c>
      <c r="C174" s="212" t="s">
        <v>217</v>
      </c>
      <c r="D174" s="72" t="s">
        <v>83</v>
      </c>
      <c r="E174" s="71" t="s">
        <v>24</v>
      </c>
      <c r="F174" s="546">
        <v>-1437</v>
      </c>
      <c r="G174" s="546">
        <v>-1437</v>
      </c>
      <c r="H174" s="546">
        <v>-1437</v>
      </c>
      <c r="I174" s="546">
        <v>-1437</v>
      </c>
      <c r="J174" s="295" t="s">
        <v>348</v>
      </c>
    </row>
    <row r="175" spans="1:10" s="38" customFormat="1" x14ac:dyDescent="0.25">
      <c r="A175" s="45" t="s">
        <v>206</v>
      </c>
      <c r="B175" s="78" t="str">
        <f>IF(ISBLANK(A175),"","T"&amp;COUNTA($A$159:A175))</f>
        <v>T9</v>
      </c>
      <c r="C175" s="212" t="s">
        <v>218</v>
      </c>
      <c r="D175" s="72" t="s">
        <v>83</v>
      </c>
      <c r="E175" s="71" t="s">
        <v>24</v>
      </c>
      <c r="F175" s="546">
        <v>1300</v>
      </c>
      <c r="G175" s="546">
        <v>1300</v>
      </c>
      <c r="H175" s="546">
        <v>1300</v>
      </c>
      <c r="I175" s="546">
        <v>1300</v>
      </c>
      <c r="J175" s="38" t="s">
        <v>349</v>
      </c>
    </row>
    <row r="176" spans="1:10" s="38" customFormat="1" x14ac:dyDescent="0.25">
      <c r="A176" s="45"/>
      <c r="B176" s="78" t="str">
        <f>IF(ISBLANK(A176),"","T"&amp;COUNTA($A$159:A176))</f>
        <v/>
      </c>
      <c r="C176" s="208" t="s">
        <v>224</v>
      </c>
      <c r="D176" s="72"/>
      <c r="E176" s="71"/>
      <c r="F176" s="4">
        <f>+F170</f>
        <v>2023</v>
      </c>
      <c r="G176" s="4">
        <f>F176+1</f>
        <v>2024</v>
      </c>
      <c r="H176" s="4">
        <f>G176+1</f>
        <v>2025</v>
      </c>
      <c r="I176" s="4">
        <f>H176+1</f>
        <v>2026</v>
      </c>
    </row>
    <row r="177" spans="1:10" s="38" customFormat="1" ht="30" x14ac:dyDescent="0.25">
      <c r="A177" s="45" t="s">
        <v>206</v>
      </c>
      <c r="B177" s="78" t="str">
        <f>IF(ISBLANK(A177),"","T"&amp;COUNTA($A$159:A177))</f>
        <v>T10</v>
      </c>
      <c r="C177" s="212" t="s">
        <v>225</v>
      </c>
      <c r="D177" s="72" t="s">
        <v>91</v>
      </c>
      <c r="E177" s="71" t="s">
        <v>24</v>
      </c>
      <c r="F177" s="546">
        <v>1300</v>
      </c>
      <c r="G177" s="546">
        <v>1300</v>
      </c>
      <c r="H177" s="546">
        <v>600</v>
      </c>
      <c r="I177" s="546">
        <v>500</v>
      </c>
      <c r="J177" s="295" t="s">
        <v>350</v>
      </c>
    </row>
    <row r="178" spans="1:10" s="38" customFormat="1" ht="45" x14ac:dyDescent="0.25">
      <c r="A178" s="45" t="s">
        <v>206</v>
      </c>
      <c r="B178" s="78" t="str">
        <f>IF(ISBLANK(A178),"","T"&amp;COUNTA($A$159:A178))</f>
        <v>T11</v>
      </c>
      <c r="C178" s="212" t="s">
        <v>226</v>
      </c>
      <c r="D178" s="72" t="s">
        <v>91</v>
      </c>
      <c r="E178" s="71" t="s">
        <v>24</v>
      </c>
      <c r="F178" s="546">
        <v>250</v>
      </c>
      <c r="G178" s="546">
        <v>250</v>
      </c>
      <c r="H178" s="546">
        <v>250</v>
      </c>
      <c r="I178" s="546">
        <v>250</v>
      </c>
      <c r="J178" s="295" t="s">
        <v>351</v>
      </c>
    </row>
    <row r="179" spans="1:10" s="38" customFormat="1" ht="45" x14ac:dyDescent="0.25">
      <c r="A179" s="45" t="s">
        <v>206</v>
      </c>
      <c r="B179" s="78" t="str">
        <f>IF(ISBLANK(A179),"","T"&amp;COUNTA($A$159:A179))</f>
        <v>T12</v>
      </c>
      <c r="C179" s="212" t="s">
        <v>227</v>
      </c>
      <c r="D179" s="72" t="s">
        <v>91</v>
      </c>
      <c r="E179" s="71" t="s">
        <v>24</v>
      </c>
      <c r="F179" s="546">
        <v>150</v>
      </c>
      <c r="G179" s="546">
        <v>150</v>
      </c>
      <c r="H179" s="546">
        <v>150</v>
      </c>
      <c r="I179" s="546">
        <v>150</v>
      </c>
      <c r="J179" s="295" t="s">
        <v>351</v>
      </c>
    </row>
    <row r="180" spans="1:10" s="38" customFormat="1" x14ac:dyDescent="0.25">
      <c r="A180" s="45"/>
      <c r="B180" s="78" t="str">
        <f>IF(ISBLANK(A180),"","T"&amp;COUNTA($A$159:A180))</f>
        <v/>
      </c>
      <c r="C180" s="208" t="s">
        <v>228</v>
      </c>
      <c r="D180" s="72"/>
      <c r="E180" s="71"/>
      <c r="F180" s="4">
        <f>+F176</f>
        <v>2023</v>
      </c>
      <c r="G180" s="4">
        <f>F180+1</f>
        <v>2024</v>
      </c>
      <c r="H180" s="4">
        <f>G180+1</f>
        <v>2025</v>
      </c>
      <c r="I180" s="4">
        <f>H180+1</f>
        <v>2026</v>
      </c>
    </row>
    <row r="181" spans="1:10" s="38" customFormat="1" x14ac:dyDescent="0.25">
      <c r="A181" s="45" t="s">
        <v>206</v>
      </c>
      <c r="B181" s="78" t="str">
        <f>IF(ISBLANK(A181),"","T"&amp;COUNTA($A$159:A181))</f>
        <v>T13</v>
      </c>
      <c r="C181" s="385" t="s">
        <v>229</v>
      </c>
      <c r="D181" s="214" t="s">
        <v>91</v>
      </c>
      <c r="E181" s="111" t="s">
        <v>24</v>
      </c>
      <c r="F181" s="626">
        <v>1000</v>
      </c>
      <c r="G181" s="626">
        <v>1000</v>
      </c>
      <c r="H181" s="626">
        <v>1000</v>
      </c>
      <c r="I181" s="626">
        <v>1000</v>
      </c>
    </row>
    <row r="182" spans="1:10" s="38" customFormat="1" x14ac:dyDescent="0.25">
      <c r="A182" s="45"/>
      <c r="B182" s="78"/>
      <c r="C182" s="212"/>
      <c r="D182" s="214"/>
      <c r="E182" s="111"/>
      <c r="F182" s="217"/>
      <c r="G182" s="217"/>
      <c r="H182" s="217"/>
      <c r="I182" s="217"/>
    </row>
    <row r="183" spans="1:10" s="38" customFormat="1" x14ac:dyDescent="0.25">
      <c r="A183" s="43"/>
      <c r="B183" s="43" t="s">
        <v>127</v>
      </c>
      <c r="C183" s="3" t="s">
        <v>230</v>
      </c>
      <c r="D183" s="52"/>
      <c r="E183" s="52"/>
      <c r="F183" s="56">
        <f>SUMIF($A:$A,"byte",F:F)</f>
        <v>18238</v>
      </c>
      <c r="G183" s="56">
        <f>SUMIF($A:$A,"byte",G:G)</f>
        <v>8988</v>
      </c>
      <c r="H183" s="56">
        <f>SUMIF($A:$A,"byte",H:H)</f>
        <v>2288</v>
      </c>
      <c r="I183" s="56">
        <f>SUMIF($A:$A,"byte",I:I)</f>
        <v>2188</v>
      </c>
    </row>
    <row r="184" spans="1:10" s="38" customFormat="1" x14ac:dyDescent="0.25">
      <c r="A184"/>
      <c r="B184" s="78"/>
      <c r="C184"/>
      <c r="D184"/>
      <c r="E184"/>
      <c r="F184"/>
      <c r="G184"/>
      <c r="H184"/>
      <c r="I184"/>
    </row>
    <row r="185" spans="1:10" s="38" customFormat="1" x14ac:dyDescent="0.25">
      <c r="A185" s="78"/>
      <c r="B185" s="78"/>
      <c r="C185" s="208" t="s">
        <v>231</v>
      </c>
      <c r="D185" s="72"/>
      <c r="E185" s="71"/>
      <c r="F185" s="4">
        <f>F170</f>
        <v>2023</v>
      </c>
      <c r="G185" s="4">
        <f>F185+1</f>
        <v>2024</v>
      </c>
      <c r="H185" s="4">
        <f>G185+1</f>
        <v>2025</v>
      </c>
      <c r="I185" s="4">
        <f>H185+1</f>
        <v>2026</v>
      </c>
    </row>
    <row r="186" spans="1:10" s="38" customFormat="1" x14ac:dyDescent="0.25">
      <c r="A186" s="78" t="s">
        <v>232</v>
      </c>
      <c r="B186" s="78" t="str">
        <f>IF(ISBLANK(A186),"","O"&amp;COUNTA($A$186:A186))</f>
        <v>O1</v>
      </c>
      <c r="C186" s="84" t="s">
        <v>233</v>
      </c>
      <c r="D186" s="72" t="s">
        <v>89</v>
      </c>
      <c r="E186" s="71" t="s">
        <v>84</v>
      </c>
      <c r="F186" s="70"/>
      <c r="G186" s="70">
        <v>5000</v>
      </c>
      <c r="H186" s="70">
        <v>10000</v>
      </c>
      <c r="I186" s="70">
        <v>10000</v>
      </c>
    </row>
    <row r="187" spans="1:10" s="38" customFormat="1" x14ac:dyDescent="0.25">
      <c r="A187" s="78" t="s">
        <v>232</v>
      </c>
      <c r="B187" s="78" t="str">
        <f>IF(ISBLANK(A187),"","O"&amp;COUNTA($A$186:A187))</f>
        <v>O2</v>
      </c>
      <c r="C187" s="84" t="s">
        <v>234</v>
      </c>
      <c r="D187" s="72" t="s">
        <v>89</v>
      </c>
      <c r="E187" s="71" t="s">
        <v>84</v>
      </c>
      <c r="F187" s="70"/>
      <c r="G187" s="70">
        <v>-6400</v>
      </c>
      <c r="H187" s="70">
        <v>-6400</v>
      </c>
      <c r="I187" s="70">
        <v>-6400</v>
      </c>
    </row>
    <row r="188" spans="1:10" s="38" customFormat="1" x14ac:dyDescent="0.25">
      <c r="A188" s="78" t="s">
        <v>232</v>
      </c>
      <c r="B188" s="78" t="str">
        <f>IF(ISBLANK(A188),"","O"&amp;COUNTA($A$186:A188))</f>
        <v>O3</v>
      </c>
      <c r="C188" s="84" t="s">
        <v>235</v>
      </c>
      <c r="D188" s="72" t="s">
        <v>91</v>
      </c>
      <c r="E188" s="414" t="s">
        <v>24</v>
      </c>
      <c r="F188" s="70">
        <v>700</v>
      </c>
      <c r="G188" s="70">
        <v>700</v>
      </c>
      <c r="H188" s="70">
        <v>700</v>
      </c>
      <c r="I188" s="70">
        <v>700</v>
      </c>
    </row>
    <row r="189" spans="1:10" s="38" customFormat="1" ht="25.5" x14ac:dyDescent="0.25">
      <c r="A189" s="78" t="s">
        <v>232</v>
      </c>
      <c r="B189" s="78" t="str">
        <f>IF(ISBLANK(A189),"","O"&amp;COUNTA($A$186:A189))</f>
        <v>O4</v>
      </c>
      <c r="C189" s="84" t="s">
        <v>236</v>
      </c>
      <c r="D189" s="72" t="s">
        <v>91</v>
      </c>
      <c r="E189" s="414" t="s">
        <v>24</v>
      </c>
      <c r="F189" s="70">
        <v>-700</v>
      </c>
      <c r="G189" s="70"/>
      <c r="H189" s="70"/>
      <c r="I189" s="70"/>
    </row>
    <row r="190" spans="1:10" s="38" customFormat="1" x14ac:dyDescent="0.25">
      <c r="A190" s="78" t="s">
        <v>232</v>
      </c>
      <c r="B190" s="78" t="str">
        <f>IF(ISBLANK(A190),"","O"&amp;COUNTA($A$186:A190))</f>
        <v>O5</v>
      </c>
      <c r="C190" s="84" t="s">
        <v>237</v>
      </c>
      <c r="D190" s="72" t="s">
        <v>91</v>
      </c>
      <c r="E190" s="71" t="s">
        <v>24</v>
      </c>
      <c r="F190" s="70">
        <v>1200</v>
      </c>
      <c r="G190" s="70">
        <v>1200</v>
      </c>
      <c r="H190" s="70">
        <v>1200</v>
      </c>
      <c r="I190" s="70">
        <v>1200</v>
      </c>
    </row>
    <row r="191" spans="1:10" s="38" customFormat="1" x14ac:dyDescent="0.25">
      <c r="A191" s="78" t="s">
        <v>232</v>
      </c>
      <c r="B191" s="78" t="str">
        <f>IF(ISBLANK(A191),"","O"&amp;COUNTA($A$186:A191))</f>
        <v>O6</v>
      </c>
      <c r="C191" s="344" t="s">
        <v>238</v>
      </c>
      <c r="D191" s="72" t="s">
        <v>91</v>
      </c>
      <c r="E191" s="71" t="s">
        <v>24</v>
      </c>
      <c r="F191" s="217">
        <v>1000</v>
      </c>
      <c r="G191" s="217">
        <v>1000</v>
      </c>
      <c r="H191" s="217"/>
      <c r="I191" s="217"/>
      <c r="J191" s="38" t="s">
        <v>352</v>
      </c>
    </row>
    <row r="192" spans="1:10" s="38" customFormat="1" x14ac:dyDescent="0.25">
      <c r="A192" s="78" t="s">
        <v>232</v>
      </c>
      <c r="B192" s="78" t="str">
        <f>IF(ISBLANK(A192),"","O"&amp;COUNTA($A$186:A192))</f>
        <v>O7</v>
      </c>
      <c r="C192" s="344" t="s">
        <v>239</v>
      </c>
      <c r="D192" s="72" t="s">
        <v>91</v>
      </c>
      <c r="E192" s="71" t="s">
        <v>24</v>
      </c>
      <c r="F192" s="217">
        <v>-1000</v>
      </c>
      <c r="G192" s="217">
        <v>-1000</v>
      </c>
      <c r="H192" s="217"/>
      <c r="I192" s="217"/>
      <c r="J192" s="38" t="s">
        <v>353</v>
      </c>
    </row>
    <row r="193" spans="1:10" s="38" customFormat="1" x14ac:dyDescent="0.25">
      <c r="A193" s="43"/>
      <c r="B193" s="43" t="s">
        <v>127</v>
      </c>
      <c r="C193" s="3" t="s">
        <v>240</v>
      </c>
      <c r="D193" s="52"/>
      <c r="E193" s="52"/>
      <c r="F193" s="56">
        <f>SUMIF($A:$A,"ORG",F:F)</f>
        <v>1200</v>
      </c>
      <c r="G193" s="56">
        <f>SUMIF($A:$A,"ORG",G:G)</f>
        <v>500</v>
      </c>
      <c r="H193" s="56">
        <f>SUMIF($A:$A,"ORG",H:H)</f>
        <v>5500</v>
      </c>
      <c r="I193" s="56">
        <f>SUMIF($A:$A,"ORG",I:I)</f>
        <v>5500</v>
      </c>
    </row>
    <row r="194" spans="1:10" s="38" customFormat="1" x14ac:dyDescent="0.25">
      <c r="A194" s="47"/>
      <c r="B194" s="78"/>
      <c r="C194" s="11"/>
      <c r="D194" s="49"/>
      <c r="E194" s="49"/>
      <c r="F194" s="57"/>
      <c r="G194" s="57"/>
      <c r="H194" s="57"/>
      <c r="I194" s="57"/>
    </row>
    <row r="195" spans="1:10" s="38" customFormat="1" x14ac:dyDescent="0.25">
      <c r="A195" s="48"/>
      <c r="B195" s="78"/>
      <c r="C195" s="13" t="s">
        <v>241</v>
      </c>
      <c r="D195" s="50"/>
      <c r="E195" s="61"/>
      <c r="F195" s="4">
        <f>F185</f>
        <v>2023</v>
      </c>
      <c r="G195" s="4">
        <f>F195+1</f>
        <v>2024</v>
      </c>
      <c r="H195" s="4">
        <f>G195+1</f>
        <v>2025</v>
      </c>
      <c r="I195" s="4">
        <f>H195+1</f>
        <v>2026</v>
      </c>
    </row>
    <row r="196" spans="1:10" s="38" customFormat="1" x14ac:dyDescent="0.25">
      <c r="A196" s="45" t="s">
        <v>242</v>
      </c>
      <c r="B196" s="78" t="str">
        <f>IF(ISBLANK(A196),"","Ø"&amp;COUNTA($A$196:A196))</f>
        <v>Ø1</v>
      </c>
      <c r="C196" s="346" t="s">
        <v>243</v>
      </c>
      <c r="D196" s="72" t="s">
        <v>91</v>
      </c>
      <c r="E196" s="71" t="s">
        <v>24</v>
      </c>
      <c r="F196" s="70">
        <v>1400</v>
      </c>
      <c r="G196" s="70">
        <v>1400</v>
      </c>
      <c r="H196" s="70">
        <v>1400</v>
      </c>
      <c r="I196" s="70">
        <v>1400</v>
      </c>
    </row>
    <row r="197" spans="1:10" s="38" customFormat="1" x14ac:dyDescent="0.25">
      <c r="A197" s="45" t="s">
        <v>242</v>
      </c>
      <c r="B197" s="78" t="str">
        <f>IF(ISBLANK(A197),"","Ø"&amp;COUNTA($A$196:A197))</f>
        <v>Ø2</v>
      </c>
      <c r="C197" s="346" t="s">
        <v>244</v>
      </c>
      <c r="D197" s="72" t="s">
        <v>91</v>
      </c>
      <c r="E197" s="71" t="s">
        <v>24</v>
      </c>
      <c r="F197" s="70">
        <v>-1400</v>
      </c>
      <c r="G197" s="70">
        <v>-1400</v>
      </c>
      <c r="H197" s="70"/>
      <c r="I197" s="70"/>
    </row>
    <row r="198" spans="1:10" s="38" customFormat="1" x14ac:dyDescent="0.25">
      <c r="A198" s="45" t="s">
        <v>242</v>
      </c>
      <c r="B198" s="78" t="str">
        <f>IF(ISBLANK(A198),"","Ø"&amp;COUNTA($A$196:A198))</f>
        <v>Ø3</v>
      </c>
      <c r="C198" s="347" t="s">
        <v>245</v>
      </c>
      <c r="D198" s="72" t="s">
        <v>91</v>
      </c>
      <c r="E198" s="71" t="s">
        <v>24</v>
      </c>
      <c r="F198" s="70">
        <f>1600-1600</f>
        <v>0</v>
      </c>
      <c r="G198" s="70">
        <v>1600</v>
      </c>
      <c r="H198" s="70">
        <v>1600</v>
      </c>
      <c r="I198" s="70">
        <v>1600</v>
      </c>
      <c r="J198" s="38" t="s">
        <v>354</v>
      </c>
    </row>
    <row r="199" spans="1:10" s="38" customFormat="1" x14ac:dyDescent="0.25">
      <c r="A199" s="45" t="s">
        <v>242</v>
      </c>
      <c r="B199" s="78" t="str">
        <f>IF(ISBLANK(A199),"","Ø"&amp;COUNTA($A$196:A199))</f>
        <v>Ø4</v>
      </c>
      <c r="C199" s="347" t="s">
        <v>246</v>
      </c>
      <c r="D199" s="72" t="s">
        <v>91</v>
      </c>
      <c r="E199" s="71" t="s">
        <v>24</v>
      </c>
      <c r="F199" s="70">
        <v>800</v>
      </c>
      <c r="G199" s="70">
        <v>800</v>
      </c>
      <c r="H199" s="70">
        <v>800</v>
      </c>
      <c r="I199" s="70">
        <v>800</v>
      </c>
      <c r="J199" s="38" t="s">
        <v>354</v>
      </c>
    </row>
    <row r="200" spans="1:10" s="38" customFormat="1" ht="30" x14ac:dyDescent="0.25">
      <c r="A200" s="45" t="s">
        <v>242</v>
      </c>
      <c r="B200" s="78" t="str">
        <f>IF(ISBLANK(A200),"","Ø"&amp;COUNTA($A$196:A200))</f>
        <v>Ø5</v>
      </c>
      <c r="C200" s="347" t="s">
        <v>247</v>
      </c>
      <c r="D200" s="72" t="s">
        <v>91</v>
      </c>
      <c r="E200" s="71" t="s">
        <v>24</v>
      </c>
      <c r="F200" s="217">
        <v>-800</v>
      </c>
      <c r="G200" s="217"/>
      <c r="H200" s="217"/>
      <c r="I200" s="217"/>
    </row>
    <row r="201" spans="1:10" s="38" customFormat="1" x14ac:dyDescent="0.25">
      <c r="A201" s="43"/>
      <c r="B201" s="43" t="s">
        <v>127</v>
      </c>
      <c r="C201" s="3" t="s">
        <v>248</v>
      </c>
      <c r="D201" s="52"/>
      <c r="E201" s="52"/>
      <c r="F201" s="56">
        <f>SUMIF($A:$A,"ØK",F:F)</f>
        <v>0</v>
      </c>
      <c r="G201" s="56">
        <f>SUMIF($A:$A,"ØK",G:G)</f>
        <v>2400</v>
      </c>
      <c r="H201" s="56">
        <f>SUMIF($A:$A,"ØK",H:H)</f>
        <v>3800</v>
      </c>
      <c r="I201" s="56">
        <f>SUMIF($A:$A,"ØK",I:I)</f>
        <v>3800</v>
      </c>
    </row>
    <row r="202" spans="1:10" s="38" customFormat="1" x14ac:dyDescent="0.25">
      <c r="A202" s="47"/>
      <c r="B202" s="78"/>
      <c r="C202" s="11"/>
      <c r="D202" s="49"/>
      <c r="E202" s="49"/>
      <c r="F202" s="57"/>
      <c r="G202" s="57"/>
      <c r="H202" s="57"/>
      <c r="I202" s="57"/>
    </row>
    <row r="203" spans="1:10" s="38" customFormat="1" ht="30" x14ac:dyDescent="0.25">
      <c r="A203" s="48"/>
      <c r="B203" s="78"/>
      <c r="C203" s="13" t="s">
        <v>249</v>
      </c>
      <c r="D203" s="50"/>
      <c r="E203" s="61"/>
      <c r="F203" s="58"/>
      <c r="G203" s="58"/>
      <c r="H203" s="58"/>
      <c r="I203" s="58"/>
    </row>
    <row r="204" spans="1:10" s="38" customFormat="1" x14ac:dyDescent="0.25">
      <c r="A204" s="249"/>
      <c r="B204" s="78"/>
      <c r="C204" s="82" t="s">
        <v>250</v>
      </c>
      <c r="D204" s="83"/>
      <c r="E204" s="71"/>
      <c r="F204" s="4">
        <f>F195</f>
        <v>2023</v>
      </c>
      <c r="G204" s="4">
        <f>F204+1</f>
        <v>2024</v>
      </c>
      <c r="H204" s="4">
        <f>G204+1</f>
        <v>2025</v>
      </c>
      <c r="I204" s="4">
        <f>H204+1</f>
        <v>2026</v>
      </c>
    </row>
    <row r="205" spans="1:10" s="38" customFormat="1" x14ac:dyDescent="0.25">
      <c r="A205" s="72" t="s">
        <v>251</v>
      </c>
      <c r="B205" s="78" t="str">
        <f>IF(ISBLANK(A205),"","F"&amp;COUNTA($A$205:A205))</f>
        <v>F1</v>
      </c>
      <c r="C205" s="245" t="s">
        <v>252</v>
      </c>
      <c r="D205" s="79" t="s">
        <v>91</v>
      </c>
      <c r="E205" s="71" t="s">
        <v>24</v>
      </c>
      <c r="F205" s="191">
        <v>150</v>
      </c>
      <c r="G205" s="191">
        <v>150</v>
      </c>
      <c r="H205" s="191">
        <v>150</v>
      </c>
      <c r="I205" s="191">
        <v>150</v>
      </c>
    </row>
    <row r="206" spans="1:10" s="38" customFormat="1" x14ac:dyDescent="0.25">
      <c r="A206" s="228" t="s">
        <v>251</v>
      </c>
      <c r="B206" s="229" t="str">
        <f>IF(ISBLANK(A206),"","F"&amp;COUNTA($A$205:A206))</f>
        <v>F2</v>
      </c>
      <c r="C206" s="429" t="s">
        <v>253</v>
      </c>
      <c r="D206" s="230" t="s">
        <v>91</v>
      </c>
      <c r="E206" s="231" t="s">
        <v>24</v>
      </c>
      <c r="F206" s="628">
        <v>20000</v>
      </c>
      <c r="G206" s="628">
        <v>20000</v>
      </c>
      <c r="H206" s="628">
        <v>20000</v>
      </c>
      <c r="I206" s="628">
        <v>20000</v>
      </c>
      <c r="J206" s="38" t="s">
        <v>254</v>
      </c>
    </row>
    <row r="207" spans="1:10" s="38" customFormat="1" x14ac:dyDescent="0.25">
      <c r="A207" s="228" t="s">
        <v>251</v>
      </c>
      <c r="B207" s="229" t="str">
        <f>IF(ISBLANK(A207),"","F"&amp;COUNTA($A$205:A207))</f>
        <v>F3</v>
      </c>
      <c r="C207" s="429" t="s">
        <v>255</v>
      </c>
      <c r="D207" s="230" t="s">
        <v>91</v>
      </c>
      <c r="E207" s="231" t="s">
        <v>24</v>
      </c>
      <c r="F207" s="628">
        <v>-20000</v>
      </c>
      <c r="G207" s="628">
        <v>-20000</v>
      </c>
      <c r="H207" s="628">
        <v>-20000</v>
      </c>
      <c r="I207" s="628">
        <v>-20000</v>
      </c>
      <c r="J207" s="38" t="s">
        <v>254</v>
      </c>
    </row>
    <row r="208" spans="1:10" s="38" customFormat="1" x14ac:dyDescent="0.25">
      <c r="A208" s="228" t="s">
        <v>251</v>
      </c>
      <c r="B208" s="229" t="str">
        <f>IF(ISBLANK(A208),"","F"&amp;COUNTA($A$205:A208))</f>
        <v>F4</v>
      </c>
      <c r="C208" s="429" t="s">
        <v>256</v>
      </c>
      <c r="D208" s="230" t="s">
        <v>91</v>
      </c>
      <c r="E208" s="231" t="s">
        <v>24</v>
      </c>
      <c r="F208" s="628">
        <v>204</v>
      </c>
      <c r="G208" s="628">
        <v>204</v>
      </c>
      <c r="H208" s="628">
        <v>204</v>
      </c>
      <c r="I208" s="628">
        <v>204</v>
      </c>
    </row>
    <row r="209" spans="1:11" s="38" customFormat="1" x14ac:dyDescent="0.25">
      <c r="A209" s="72"/>
      <c r="B209" s="78" t="str">
        <f>IF(ISBLANK(A209),"","F"&amp;COUNTA($A$205:A209))</f>
        <v/>
      </c>
      <c r="C209" s="82" t="s">
        <v>257</v>
      </c>
      <c r="D209" s="83"/>
      <c r="E209" s="71"/>
      <c r="F209" s="300"/>
      <c r="G209" s="300"/>
      <c r="H209" s="300"/>
      <c r="I209" s="300"/>
    </row>
    <row r="210" spans="1:11" s="38" customFormat="1" x14ac:dyDescent="0.25">
      <c r="A210" s="72" t="s">
        <v>251</v>
      </c>
      <c r="B210" s="78" t="str">
        <f>IF(ISBLANK(A210),"","F"&amp;COUNTA($A$205:A210))</f>
        <v>F5</v>
      </c>
      <c r="C210" s="84" t="s">
        <v>258</v>
      </c>
      <c r="D210" s="72" t="s">
        <v>89</v>
      </c>
      <c r="E210" s="71" t="s">
        <v>84</v>
      </c>
      <c r="F210" s="631">
        <v>2500</v>
      </c>
      <c r="G210" s="631">
        <v>2300</v>
      </c>
      <c r="H210" s="631">
        <v>1700</v>
      </c>
      <c r="I210" s="631">
        <v>1300</v>
      </c>
      <c r="J210" s="611" t="s">
        <v>355</v>
      </c>
    </row>
    <row r="211" spans="1:11" s="38" customFormat="1" x14ac:dyDescent="0.25">
      <c r="A211" s="72" t="s">
        <v>251</v>
      </c>
      <c r="B211" s="78" t="str">
        <f>IF(ISBLANK(A211),"","F"&amp;COUNTA($A$205:A211))</f>
        <v>F6</v>
      </c>
      <c r="C211" s="84" t="s">
        <v>259</v>
      </c>
      <c r="D211" s="72" t="s">
        <v>89</v>
      </c>
      <c r="E211" s="71" t="s">
        <v>84</v>
      </c>
      <c r="F211" s="631">
        <v>1250</v>
      </c>
      <c r="G211" s="631">
        <v>1250</v>
      </c>
      <c r="H211" s="631">
        <v>1300</v>
      </c>
      <c r="I211" s="631">
        <v>1350</v>
      </c>
      <c r="J211" s="611" t="s">
        <v>356</v>
      </c>
    </row>
    <row r="212" spans="1:11" s="38" customFormat="1" x14ac:dyDescent="0.25">
      <c r="A212" s="72" t="s">
        <v>251</v>
      </c>
      <c r="B212" s="78" t="str">
        <f>IF(ISBLANK(A212),"","F"&amp;COUNTA($A$205:A212))</f>
        <v>F7</v>
      </c>
      <c r="C212" s="84" t="s">
        <v>260</v>
      </c>
      <c r="D212" s="72" t="s">
        <v>83</v>
      </c>
      <c r="E212" s="71" t="s">
        <v>24</v>
      </c>
      <c r="F212" s="391">
        <v>134000</v>
      </c>
      <c r="G212" s="391">
        <v>134000</v>
      </c>
      <c r="H212" s="391">
        <v>134000</v>
      </c>
      <c r="I212" s="391">
        <v>134000</v>
      </c>
      <c r="J212" s="38" t="s">
        <v>357</v>
      </c>
    </row>
    <row r="213" spans="1:11" s="38" customFormat="1" x14ac:dyDescent="0.25">
      <c r="A213" s="72" t="s">
        <v>251</v>
      </c>
      <c r="B213" s="78" t="str">
        <f>IF(ISBLANK(A213),"","F"&amp;COUNTA($A$205:A213))</f>
        <v>F8</v>
      </c>
      <c r="C213" s="84" t="s">
        <v>261</v>
      </c>
      <c r="D213" s="72" t="s">
        <v>91</v>
      </c>
      <c r="E213" s="71" t="s">
        <v>24</v>
      </c>
      <c r="F213" s="391">
        <v>20000</v>
      </c>
      <c r="G213" s="391">
        <v>20000</v>
      </c>
      <c r="H213" s="391">
        <v>20000</v>
      </c>
      <c r="I213" s="391">
        <v>20000</v>
      </c>
    </row>
    <row r="214" spans="1:11" s="38" customFormat="1" ht="25.5" x14ac:dyDescent="0.25">
      <c r="A214" s="72" t="s">
        <v>251</v>
      </c>
      <c r="B214" s="78" t="str">
        <f>IF(ISBLANK(A214),"","F"&amp;COUNTA($A$205:A214))</f>
        <v>F9</v>
      </c>
      <c r="C214" s="84" t="s">
        <v>262</v>
      </c>
      <c r="D214" s="72" t="s">
        <v>89</v>
      </c>
      <c r="E214" s="71" t="s">
        <v>84</v>
      </c>
      <c r="F214" s="528"/>
      <c r="G214" s="528">
        <v>-575</v>
      </c>
      <c r="H214" s="528">
        <v>-575</v>
      </c>
      <c r="I214" s="528">
        <v>-575</v>
      </c>
    </row>
    <row r="215" spans="1:11" s="38" customFormat="1" ht="25.5" x14ac:dyDescent="0.25">
      <c r="A215" s="72" t="s">
        <v>251</v>
      </c>
      <c r="B215" s="78" t="str">
        <f>IF(ISBLANK(A215),"","F"&amp;COUNTA($A$205:A215))</f>
        <v>F10</v>
      </c>
      <c r="C215" s="84" t="s">
        <v>263</v>
      </c>
      <c r="D215" s="72" t="s">
        <v>89</v>
      </c>
      <c r="E215" s="71" t="s">
        <v>84</v>
      </c>
      <c r="F215" s="255"/>
      <c r="G215" s="255"/>
      <c r="H215" s="255"/>
      <c r="I215" s="255">
        <v>-450</v>
      </c>
      <c r="K215" s="95"/>
    </row>
    <row r="216" spans="1:11" s="38" customFormat="1" x14ac:dyDescent="0.25">
      <c r="A216" s="72" t="s">
        <v>251</v>
      </c>
      <c r="B216" s="78" t="str">
        <f>IF(ISBLANK(A216),"","F"&amp;COUNTA($A$205:A216))</f>
        <v>F11</v>
      </c>
      <c r="C216" s="84" t="s">
        <v>264</v>
      </c>
      <c r="D216" s="72" t="s">
        <v>91</v>
      </c>
      <c r="E216" s="231" t="s">
        <v>24</v>
      </c>
      <c r="F216" s="290">
        <v>70</v>
      </c>
      <c r="G216" s="290">
        <v>70</v>
      </c>
      <c r="H216" s="290">
        <v>70</v>
      </c>
      <c r="I216" s="290">
        <v>70</v>
      </c>
      <c r="J216" s="144" t="s">
        <v>358</v>
      </c>
      <c r="K216" s="95"/>
    </row>
    <row r="217" spans="1:11" s="38" customFormat="1" x14ac:dyDescent="0.25">
      <c r="A217" s="72" t="s">
        <v>251</v>
      </c>
      <c r="B217" s="78" t="str">
        <f>IF(ISBLANK(A217),"","F"&amp;COUNTA($A$205:A217))</f>
        <v>F12</v>
      </c>
      <c r="C217" s="627" t="s">
        <v>265</v>
      </c>
      <c r="D217" s="72" t="s">
        <v>91</v>
      </c>
      <c r="E217" s="231" t="s">
        <v>24</v>
      </c>
      <c r="F217" s="612">
        <v>700</v>
      </c>
      <c r="G217" s="612">
        <v>700</v>
      </c>
      <c r="H217" s="612">
        <v>800</v>
      </c>
      <c r="I217" s="612">
        <v>800</v>
      </c>
      <c r="J217" s="611" t="s">
        <v>359</v>
      </c>
    </row>
    <row r="218" spans="1:11" s="38" customFormat="1" x14ac:dyDescent="0.25">
      <c r="A218" s="72" t="s">
        <v>251</v>
      </c>
      <c r="B218" s="78" t="str">
        <f>IF(ISBLANK(A218),"","F"&amp;COUNTA($A$205:A218))</f>
        <v>F13</v>
      </c>
      <c r="C218" s="627" t="s">
        <v>266</v>
      </c>
      <c r="D218" s="72" t="s">
        <v>91</v>
      </c>
      <c r="E218" s="71" t="s">
        <v>24</v>
      </c>
      <c r="F218" s="612">
        <v>900</v>
      </c>
      <c r="G218" s="612">
        <v>900</v>
      </c>
      <c r="H218" s="612">
        <v>900</v>
      </c>
      <c r="I218" s="612">
        <v>900</v>
      </c>
      <c r="J218" s="611" t="s">
        <v>355</v>
      </c>
      <c r="K218" s="38" t="s">
        <v>360</v>
      </c>
    </row>
    <row r="219" spans="1:11" s="38" customFormat="1" x14ac:dyDescent="0.25">
      <c r="A219" s="72" t="s">
        <v>251</v>
      </c>
      <c r="B219" s="78" t="str">
        <f>IF(ISBLANK(A219),"","F"&amp;COUNTA($A$205:A219))</f>
        <v>F14</v>
      </c>
      <c r="C219" s="627" t="s">
        <v>267</v>
      </c>
      <c r="D219" s="72" t="s">
        <v>91</v>
      </c>
      <c r="E219" s="71" t="s">
        <v>24</v>
      </c>
      <c r="F219" s="612">
        <v>365</v>
      </c>
      <c r="G219" s="612">
        <v>365</v>
      </c>
      <c r="H219" s="612">
        <v>365</v>
      </c>
      <c r="I219" s="612">
        <v>365</v>
      </c>
      <c r="J219" s="144" t="s">
        <v>361</v>
      </c>
    </row>
    <row r="220" spans="1:11" s="38" customFormat="1" x14ac:dyDescent="0.25">
      <c r="A220" s="72" t="s">
        <v>251</v>
      </c>
      <c r="B220" s="78" t="str">
        <f>IF(ISBLANK(A220),"","F"&amp;COUNTA($A$205:A220))</f>
        <v>F15</v>
      </c>
      <c r="C220" s="627" t="s">
        <v>268</v>
      </c>
      <c r="D220" s="72" t="s">
        <v>91</v>
      </c>
      <c r="E220" s="71" t="s">
        <v>24</v>
      </c>
      <c r="F220" s="612">
        <v>50</v>
      </c>
      <c r="G220" s="612">
        <v>50</v>
      </c>
      <c r="H220" s="612">
        <v>50</v>
      </c>
      <c r="I220" s="612">
        <v>50</v>
      </c>
      <c r="J220" s="144" t="s">
        <v>362</v>
      </c>
    </row>
    <row r="221" spans="1:11" s="38" customFormat="1" x14ac:dyDescent="0.25">
      <c r="A221" s="72" t="s">
        <v>251</v>
      </c>
      <c r="B221" s="78" t="str">
        <f>IF(ISBLANK(A221),"","F"&amp;COUNTA($A$205:A221))</f>
        <v>F16</v>
      </c>
      <c r="C221" s="627" t="s">
        <v>269</v>
      </c>
      <c r="D221" s="72" t="s">
        <v>91</v>
      </c>
      <c r="E221" s="71" t="s">
        <v>24</v>
      </c>
      <c r="F221" s="612">
        <v>62</v>
      </c>
      <c r="G221" s="612">
        <v>62</v>
      </c>
      <c r="H221" s="612">
        <v>62</v>
      </c>
      <c r="I221" s="612">
        <v>62</v>
      </c>
      <c r="J221" s="611" t="s">
        <v>363</v>
      </c>
    </row>
    <row r="222" spans="1:11" s="38" customFormat="1" x14ac:dyDescent="0.25">
      <c r="A222" s="72" t="s">
        <v>251</v>
      </c>
      <c r="B222" s="78" t="str">
        <f>IF(ISBLANK(A222),"","F"&amp;COUNTA($A$205:A222))</f>
        <v>F17</v>
      </c>
      <c r="C222" s="627" t="s">
        <v>270</v>
      </c>
      <c r="D222" s="72" t="s">
        <v>91</v>
      </c>
      <c r="E222" s="71" t="s">
        <v>24</v>
      </c>
      <c r="F222" s="612">
        <v>500</v>
      </c>
      <c r="G222" s="612"/>
      <c r="H222" s="612"/>
      <c r="I222" s="612"/>
      <c r="J222" s="611" t="s">
        <v>364</v>
      </c>
    </row>
    <row r="223" spans="1:11" s="38" customFormat="1" x14ac:dyDescent="0.25">
      <c r="A223" s="72" t="s">
        <v>251</v>
      </c>
      <c r="B223" s="78" t="str">
        <f>IF(ISBLANK(A223),"","F"&amp;COUNTA($A$205:A223))</f>
        <v>F18</v>
      </c>
      <c r="C223" s="627" t="s">
        <v>272</v>
      </c>
      <c r="D223" s="72" t="s">
        <v>91</v>
      </c>
      <c r="E223" s="71" t="s">
        <v>24</v>
      </c>
      <c r="F223" s="612">
        <v>-500</v>
      </c>
      <c r="G223" s="612"/>
      <c r="H223" s="612"/>
      <c r="I223" s="612"/>
      <c r="J223" s="611" t="s">
        <v>365</v>
      </c>
    </row>
    <row r="224" spans="1:11" s="38" customFormat="1" x14ac:dyDescent="0.25">
      <c r="A224" s="72" t="s">
        <v>251</v>
      </c>
      <c r="B224" s="78" t="str">
        <f>IF(ISBLANK(A224),"","F"&amp;COUNTA($A$205:A224))</f>
        <v>F19</v>
      </c>
      <c r="C224" s="627" t="s">
        <v>275</v>
      </c>
      <c r="D224" s="72" t="s">
        <v>91</v>
      </c>
      <c r="E224" s="71" t="s">
        <v>24</v>
      </c>
      <c r="F224" s="612">
        <v>773</v>
      </c>
      <c r="G224" s="612"/>
      <c r="H224" s="612"/>
      <c r="I224" s="612"/>
      <c r="J224" s="144"/>
    </row>
    <row r="225" spans="1:10" s="38" customFormat="1" x14ac:dyDescent="0.25">
      <c r="A225" s="72" t="s">
        <v>251</v>
      </c>
      <c r="B225" s="78" t="str">
        <f>IF(ISBLANK(A225),"","F"&amp;COUNTA($A$205:A225))</f>
        <v>F20</v>
      </c>
      <c r="C225" s="627" t="s">
        <v>276</v>
      </c>
      <c r="D225" s="72" t="s">
        <v>91</v>
      </c>
      <c r="E225" s="71" t="s">
        <v>24</v>
      </c>
      <c r="F225" s="612">
        <v>550</v>
      </c>
      <c r="G225" s="612">
        <v>550</v>
      </c>
      <c r="H225" s="612">
        <v>550</v>
      </c>
      <c r="I225" s="612">
        <v>550</v>
      </c>
      <c r="J225" s="144" t="s">
        <v>366</v>
      </c>
    </row>
    <row r="226" spans="1:10" s="38" customFormat="1" x14ac:dyDescent="0.25">
      <c r="A226" s="72" t="s">
        <v>251</v>
      </c>
      <c r="B226" s="78" t="str">
        <f>IF(ISBLANK(A226),"","F"&amp;COUNTA($A$205:A226))</f>
        <v>F21</v>
      </c>
      <c r="C226" s="627" t="s">
        <v>277</v>
      </c>
      <c r="D226" s="72" t="s">
        <v>91</v>
      </c>
      <c r="E226" s="71" t="s">
        <v>24</v>
      </c>
      <c r="F226" s="612">
        <v>1900</v>
      </c>
      <c r="G226" s="612">
        <v>1900</v>
      </c>
      <c r="H226" s="612">
        <v>1900</v>
      </c>
      <c r="I226" s="612">
        <v>1900</v>
      </c>
      <c r="J226" s="144"/>
    </row>
    <row r="227" spans="1:10" s="38" customFormat="1" x14ac:dyDescent="0.25">
      <c r="A227" s="72" t="s">
        <v>251</v>
      </c>
      <c r="B227" s="78" t="str">
        <f>IF(ISBLANK(A227),"","F"&amp;COUNTA($A$205:A227))</f>
        <v>F22</v>
      </c>
      <c r="C227" s="627" t="s">
        <v>278</v>
      </c>
      <c r="D227" s="72" t="s">
        <v>91</v>
      </c>
      <c r="E227" s="71" t="s">
        <v>24</v>
      </c>
      <c r="F227" s="622">
        <v>650</v>
      </c>
      <c r="G227" s="622">
        <v>650</v>
      </c>
      <c r="H227" s="622">
        <v>650</v>
      </c>
      <c r="I227" s="622">
        <v>650</v>
      </c>
      <c r="J227" s="144" t="s">
        <v>367</v>
      </c>
    </row>
    <row r="228" spans="1:10" s="38" customFormat="1" x14ac:dyDescent="0.25">
      <c r="A228" s="72" t="s">
        <v>251</v>
      </c>
      <c r="B228" s="78" t="str">
        <f>IF(ISBLANK(A228),"","F"&amp;COUNTA($A$205:A228))</f>
        <v>F23</v>
      </c>
      <c r="C228" s="627" t="s">
        <v>279</v>
      </c>
      <c r="D228" s="72" t="s">
        <v>91</v>
      </c>
      <c r="E228" s="71" t="s">
        <v>24</v>
      </c>
      <c r="F228" s="622">
        <f>+F227*-1</f>
        <v>-650</v>
      </c>
      <c r="G228" s="622">
        <f t="shared" ref="G228:I228" si="0">+G227*-1</f>
        <v>-650</v>
      </c>
      <c r="H228" s="622">
        <f t="shared" si="0"/>
        <v>-650</v>
      </c>
      <c r="I228" s="622">
        <f t="shared" si="0"/>
        <v>-650</v>
      </c>
      <c r="J228" s="144" t="s">
        <v>368</v>
      </c>
    </row>
    <row r="229" spans="1:10" s="38" customFormat="1" x14ac:dyDescent="0.25">
      <c r="A229" s="72" t="s">
        <v>251</v>
      </c>
      <c r="B229" s="78" t="str">
        <f>IF(ISBLANK(A229),"","F"&amp;COUNTA($A$205:A229))</f>
        <v>F24</v>
      </c>
      <c r="C229" s="627" t="s">
        <v>280</v>
      </c>
      <c r="D229" s="72" t="s">
        <v>91</v>
      </c>
      <c r="E229" s="231" t="s">
        <v>24</v>
      </c>
      <c r="F229" s="290">
        <v>4000</v>
      </c>
      <c r="G229" s="290"/>
      <c r="H229" s="290"/>
      <c r="I229" s="290"/>
      <c r="J229" s="144" t="s">
        <v>369</v>
      </c>
    </row>
    <row r="230" spans="1:10" s="38" customFormat="1" x14ac:dyDescent="0.25">
      <c r="A230" s="72" t="s">
        <v>251</v>
      </c>
      <c r="B230" s="78" t="str">
        <f>IF(ISBLANK(A230),"","F"&amp;COUNTA($A$205:A230))</f>
        <v>F25</v>
      </c>
      <c r="C230" s="627" t="s">
        <v>281</v>
      </c>
      <c r="D230" s="72" t="s">
        <v>91</v>
      </c>
      <c r="E230" s="71" t="s">
        <v>24</v>
      </c>
      <c r="F230" s="290">
        <v>470</v>
      </c>
      <c r="G230" s="290">
        <v>470</v>
      </c>
      <c r="H230" s="290">
        <v>470</v>
      </c>
      <c r="I230" s="290">
        <v>470</v>
      </c>
      <c r="J230" s="144" t="s">
        <v>367</v>
      </c>
    </row>
    <row r="231" spans="1:10" s="38" customFormat="1" x14ac:dyDescent="0.25">
      <c r="A231" s="72"/>
      <c r="B231" s="78" t="str">
        <f>IF(ISBLANK(A231),"","F"&amp;COUNTA($A$205:A231))</f>
        <v/>
      </c>
      <c r="C231" s="82" t="s">
        <v>282</v>
      </c>
      <c r="D231" s="72"/>
      <c r="E231" s="71"/>
      <c r="F231" s="191"/>
      <c r="G231" s="191"/>
      <c r="H231" s="191"/>
      <c r="I231" s="191"/>
    </row>
    <row r="232" spans="1:10" s="38" customFormat="1" x14ac:dyDescent="0.25">
      <c r="A232" s="72" t="s">
        <v>251</v>
      </c>
      <c r="B232" s="78" t="str">
        <f>IF(ISBLANK(A232),"","F"&amp;COUNTA($A$205:A232))</f>
        <v>F26</v>
      </c>
      <c r="C232" s="84" t="s">
        <v>283</v>
      </c>
      <c r="D232" s="72" t="s">
        <v>91</v>
      </c>
      <c r="E232" s="71" t="s">
        <v>24</v>
      </c>
      <c r="F232" s="191">
        <v>2082</v>
      </c>
      <c r="G232" s="191">
        <v>3750</v>
      </c>
      <c r="H232" s="191">
        <v>4536</v>
      </c>
      <c r="I232" s="191">
        <v>6335</v>
      </c>
    </row>
    <row r="233" spans="1:10" s="38" customFormat="1" x14ac:dyDescent="0.25">
      <c r="A233" s="72" t="s">
        <v>251</v>
      </c>
      <c r="B233" s="78" t="str">
        <f>IF(ISBLANK(A233),"","F"&amp;COUNTA($A$205:A233))</f>
        <v>F27</v>
      </c>
      <c r="C233" s="84" t="s">
        <v>284</v>
      </c>
      <c r="D233" s="72" t="s">
        <v>91</v>
      </c>
      <c r="E233" s="71" t="s">
        <v>24</v>
      </c>
      <c r="F233" s="191">
        <v>517</v>
      </c>
      <c r="G233" s="191">
        <v>517</v>
      </c>
      <c r="H233" s="191">
        <v>568</v>
      </c>
      <c r="I233" s="191">
        <v>1542</v>
      </c>
    </row>
    <row r="234" spans="1:10" s="38" customFormat="1" x14ac:dyDescent="0.25">
      <c r="A234" s="72" t="s">
        <v>251</v>
      </c>
      <c r="B234" s="78" t="str">
        <f>IF(ISBLANK(A234),"","F"&amp;COUNTA($A$205:A234))</f>
        <v>F28</v>
      </c>
      <c r="C234" s="84" t="s">
        <v>285</v>
      </c>
      <c r="D234" s="72" t="s">
        <v>91</v>
      </c>
      <c r="E234" s="71" t="s">
        <v>24</v>
      </c>
      <c r="F234" s="191">
        <f>10854+1200</f>
        <v>12054</v>
      </c>
      <c r="G234" s="191">
        <f>10854+1200</f>
        <v>12054</v>
      </c>
      <c r="H234" s="191">
        <f>10854+1200</f>
        <v>12054</v>
      </c>
      <c r="I234" s="191">
        <f>10854+1200</f>
        <v>12054</v>
      </c>
      <c r="J234" s="38" t="s">
        <v>370</v>
      </c>
    </row>
    <row r="235" spans="1:10" s="38" customFormat="1" x14ac:dyDescent="0.25">
      <c r="A235" s="72" t="s">
        <v>251</v>
      </c>
      <c r="B235" s="78" t="str">
        <f>IF(ISBLANK(A235),"","F"&amp;COUNTA($A$205:A235))</f>
        <v>F29</v>
      </c>
      <c r="C235" s="84" t="s">
        <v>286</v>
      </c>
      <c r="D235" s="72" t="s">
        <v>91</v>
      </c>
      <c r="E235" s="71" t="s">
        <v>24</v>
      </c>
      <c r="F235" s="191">
        <v>35000</v>
      </c>
      <c r="G235" s="191">
        <v>14000</v>
      </c>
      <c r="H235" s="191">
        <v>1000</v>
      </c>
      <c r="I235" s="191">
        <v>1000</v>
      </c>
      <c r="J235" s="144"/>
    </row>
    <row r="236" spans="1:10" s="38" customFormat="1" x14ac:dyDescent="0.25">
      <c r="A236" s="72" t="s">
        <v>251</v>
      </c>
      <c r="B236" s="78" t="str">
        <f>IF(ISBLANK(A236),"","F"&amp;COUNTA($A$205:A236))</f>
        <v>F30</v>
      </c>
      <c r="C236" s="84" t="s">
        <v>287</v>
      </c>
      <c r="D236" s="72" t="s">
        <v>91</v>
      </c>
      <c r="E236" s="71" t="s">
        <v>24</v>
      </c>
      <c r="F236" s="191">
        <v>35000</v>
      </c>
      <c r="G236" s="191">
        <v>35000</v>
      </c>
      <c r="H236" s="191">
        <v>35000</v>
      </c>
      <c r="I236" s="191">
        <v>35000</v>
      </c>
      <c r="J236" s="38" t="s">
        <v>371</v>
      </c>
    </row>
    <row r="237" spans="1:10" s="38" customFormat="1" x14ac:dyDescent="0.25">
      <c r="A237" s="72"/>
      <c r="B237" s="78" t="str">
        <f>IF(ISBLANK(A237),"","F"&amp;COUNTA($A$205:A237))</f>
        <v/>
      </c>
      <c r="C237" s="82" t="s">
        <v>288</v>
      </c>
      <c r="D237" s="83"/>
      <c r="E237" s="71"/>
      <c r="F237" s="4">
        <f>F204</f>
        <v>2023</v>
      </c>
      <c r="G237" s="4">
        <f>F237+1</f>
        <v>2024</v>
      </c>
      <c r="H237" s="4">
        <f>G237+1</f>
        <v>2025</v>
      </c>
      <c r="I237" s="4">
        <f>H237+1</f>
        <v>2026</v>
      </c>
    </row>
    <row r="238" spans="1:10" s="38" customFormat="1" x14ac:dyDescent="0.25">
      <c r="A238" s="72" t="s">
        <v>251</v>
      </c>
      <c r="B238" s="78" t="str">
        <f>IF(ISBLANK(A238),"","F"&amp;COUNTA($A$205:A238))</f>
        <v>F31</v>
      </c>
      <c r="C238" s="38" t="s">
        <v>289</v>
      </c>
      <c r="D238" s="72" t="s">
        <v>89</v>
      </c>
      <c r="E238" s="71" t="s">
        <v>84</v>
      </c>
      <c r="F238" s="217">
        <v>2430</v>
      </c>
      <c r="G238" s="391"/>
      <c r="H238" s="391">
        <v>2430</v>
      </c>
      <c r="I238" s="391"/>
    </row>
    <row r="239" spans="1:10" s="38" customFormat="1" x14ac:dyDescent="0.25">
      <c r="A239" s="72" t="s">
        <v>251</v>
      </c>
      <c r="B239" s="78" t="str">
        <f>IF(ISBLANK(A239),"","F"&amp;COUNTA($A$205:A239))</f>
        <v>F32</v>
      </c>
      <c r="C239" s="295" t="s">
        <v>290</v>
      </c>
      <c r="D239" s="72" t="s">
        <v>89</v>
      </c>
      <c r="E239" s="71" t="s">
        <v>84</v>
      </c>
      <c r="F239" s="217">
        <v>400</v>
      </c>
      <c r="G239" s="391"/>
      <c r="H239" s="391">
        <v>400</v>
      </c>
      <c r="I239" s="391"/>
    </row>
    <row r="240" spans="1:10" s="38" customFormat="1" ht="30" x14ac:dyDescent="0.25">
      <c r="A240" s="72" t="s">
        <v>251</v>
      </c>
      <c r="B240" s="78" t="str">
        <f>IF(ISBLANK(A240),"","F"&amp;COUNTA($A$205:A240))</f>
        <v>F33</v>
      </c>
      <c r="C240" s="295" t="s">
        <v>291</v>
      </c>
      <c r="D240" s="72" t="s">
        <v>89</v>
      </c>
      <c r="E240" s="71" t="s">
        <v>84</v>
      </c>
      <c r="F240" s="217">
        <v>300</v>
      </c>
      <c r="G240" s="391"/>
      <c r="H240" s="391"/>
      <c r="I240" s="391"/>
    </row>
    <row r="241" spans="1:10" s="38" customFormat="1" x14ac:dyDescent="0.25">
      <c r="A241" s="72" t="s">
        <v>251</v>
      </c>
      <c r="B241" s="78" t="str">
        <f>IF(ISBLANK(A241),"","F"&amp;COUNTA($A$205:A241))</f>
        <v>F34</v>
      </c>
      <c r="C241" s="295" t="s">
        <v>292</v>
      </c>
      <c r="D241" s="72" t="s">
        <v>89</v>
      </c>
      <c r="E241" s="71" t="s">
        <v>84</v>
      </c>
      <c r="F241" s="217">
        <v>200</v>
      </c>
      <c r="G241" s="391"/>
      <c r="H241" s="391"/>
      <c r="I241" s="391"/>
    </row>
    <row r="242" spans="1:10" s="38" customFormat="1" x14ac:dyDescent="0.25">
      <c r="A242" s="72" t="s">
        <v>251</v>
      </c>
      <c r="B242" s="78" t="str">
        <f>IF(ISBLANK(A242),"","F"&amp;COUNTA($A$205:A242))</f>
        <v>F35</v>
      </c>
      <c r="C242" s="295" t="s">
        <v>293</v>
      </c>
      <c r="D242" s="72" t="s">
        <v>89</v>
      </c>
      <c r="E242" s="71" t="s">
        <v>84</v>
      </c>
      <c r="F242" s="217">
        <v>-2000</v>
      </c>
      <c r="G242" s="391">
        <v>-2000</v>
      </c>
      <c r="H242" s="391">
        <v>-2000</v>
      </c>
      <c r="I242" s="391">
        <v>-2000</v>
      </c>
    </row>
    <row r="243" spans="1:10" s="38" customFormat="1" x14ac:dyDescent="0.25">
      <c r="A243" s="72" t="s">
        <v>251</v>
      </c>
      <c r="B243" s="78" t="str">
        <f>IF(ISBLANK(A243),"","F"&amp;COUNTA($A$205:A243))</f>
        <v>F36</v>
      </c>
      <c r="C243" s="295" t="s">
        <v>296</v>
      </c>
      <c r="D243" s="72" t="s">
        <v>89</v>
      </c>
      <c r="E243" s="71" t="s">
        <v>84</v>
      </c>
      <c r="F243" s="217">
        <v>400</v>
      </c>
      <c r="G243" s="391"/>
      <c r="H243" s="391">
        <v>400</v>
      </c>
      <c r="I243" s="391"/>
    </row>
    <row r="244" spans="1:10" s="38" customFormat="1" x14ac:dyDescent="0.25">
      <c r="A244" s="72" t="s">
        <v>251</v>
      </c>
      <c r="B244" s="78" t="str">
        <f>IF(ISBLANK(A244),"","F"&amp;COUNTA($A$205:A244))</f>
        <v>F37</v>
      </c>
      <c r="C244" s="295" t="s">
        <v>297</v>
      </c>
      <c r="D244" s="72" t="s">
        <v>89</v>
      </c>
      <c r="E244" s="71" t="s">
        <v>84</v>
      </c>
      <c r="F244" s="217"/>
      <c r="G244" s="391">
        <v>1000</v>
      </c>
      <c r="H244" s="391"/>
      <c r="I244" s="391"/>
    </row>
    <row r="245" spans="1:10" s="38" customFormat="1" x14ac:dyDescent="0.25">
      <c r="A245" s="72" t="s">
        <v>251</v>
      </c>
      <c r="B245" s="78" t="str">
        <f>IF(ISBLANK(A245),"","F"&amp;COUNTA($A$205:A245))</f>
        <v>F38</v>
      </c>
      <c r="C245" s="295" t="s">
        <v>298</v>
      </c>
      <c r="D245" s="72" t="s">
        <v>91</v>
      </c>
      <c r="E245" s="71" t="s">
        <v>24</v>
      </c>
      <c r="F245" s="217">
        <v>225</v>
      </c>
      <c r="G245" s="217">
        <v>225</v>
      </c>
      <c r="H245" s="217">
        <v>225</v>
      </c>
      <c r="I245" s="217">
        <v>225</v>
      </c>
      <c r="J245" s="38" t="s">
        <v>372</v>
      </c>
    </row>
    <row r="246" spans="1:10" s="38" customFormat="1" x14ac:dyDescent="0.25">
      <c r="A246" s="72" t="s">
        <v>251</v>
      </c>
      <c r="B246" s="78" t="str">
        <f>IF(ISBLANK(A246),"","F"&amp;COUNTA($A$205:A246))</f>
        <v>F39</v>
      </c>
      <c r="C246" s="38" t="s">
        <v>299</v>
      </c>
      <c r="D246" s="72" t="s">
        <v>91</v>
      </c>
      <c r="E246" s="71" t="s">
        <v>24</v>
      </c>
      <c r="F246" s="271">
        <v>200</v>
      </c>
      <c r="G246" s="281"/>
      <c r="H246" s="281"/>
      <c r="I246" s="281"/>
    </row>
    <row r="247" spans="1:10" s="38" customFormat="1" x14ac:dyDescent="0.25">
      <c r="A247" s="72" t="s">
        <v>251</v>
      </c>
      <c r="B247" s="78" t="str">
        <f>IF(ISBLANK(A247),"","F"&amp;COUNTA($A$205:A247))</f>
        <v>F40</v>
      </c>
      <c r="C247" s="38" t="s">
        <v>299</v>
      </c>
      <c r="D247" s="72" t="s">
        <v>91</v>
      </c>
      <c r="E247" s="71" t="s">
        <v>24</v>
      </c>
      <c r="F247" s="191">
        <v>-200</v>
      </c>
      <c r="G247" s="191"/>
      <c r="H247" s="191"/>
      <c r="I247" s="191"/>
      <c r="J247" s="144" t="s">
        <v>373</v>
      </c>
    </row>
    <row r="248" spans="1:10" s="38" customFormat="1" ht="30" x14ac:dyDescent="0.25">
      <c r="A248" s="43"/>
      <c r="B248" s="43" t="s">
        <v>127</v>
      </c>
      <c r="C248" s="3" t="s">
        <v>304</v>
      </c>
      <c r="D248" s="52"/>
      <c r="E248" s="52"/>
      <c r="F248" s="56">
        <f>SUMIF($A:$A,"KOM.FELLES",F:F)</f>
        <v>254552</v>
      </c>
      <c r="G248" s="56">
        <f>SUMIF($A:$A,"KOM.FELLES",G:G)</f>
        <v>226942</v>
      </c>
      <c r="H248" s="56">
        <f>SUMIF($A:$A,"KOM.FELLES",H:H)</f>
        <v>216559</v>
      </c>
      <c r="I248" s="56">
        <f>SUMIF($A:$A,"KOM.FELLES",I:I)</f>
        <v>215302</v>
      </c>
    </row>
    <row r="249" spans="1:10" ht="15.75" thickBot="1" x14ac:dyDescent="0.3">
      <c r="E249" s="629" t="s">
        <v>305</v>
      </c>
      <c r="F249" s="630">
        <f>F248+F201+F193+F183+F156+F146+F102</f>
        <v>506955</v>
      </c>
    </row>
    <row r="250" spans="1:10" ht="15.75" thickTop="1" x14ac:dyDescent="0.25"/>
    <row r="254" spans="1:10" x14ac:dyDescent="0.25">
      <c r="F254" s="182"/>
      <c r="G254" s="182"/>
      <c r="H254" s="182"/>
      <c r="I254" s="182"/>
    </row>
    <row r="255" spans="1:10" x14ac:dyDescent="0.25">
      <c r="D255" s="256"/>
      <c r="E255" s="256"/>
      <c r="F255" s="256"/>
      <c r="G255" s="256"/>
      <c r="H255" s="256"/>
      <c r="I255" s="256"/>
    </row>
    <row r="256" spans="1:10" x14ac:dyDescent="0.25">
      <c r="F256" s="256"/>
      <c r="G256" s="256"/>
      <c r="H256" s="256"/>
      <c r="I256" s="256"/>
    </row>
    <row r="257" spans="6:9" x14ac:dyDescent="0.25">
      <c r="F257" s="256"/>
      <c r="G257" s="256"/>
      <c r="H257" s="256"/>
      <c r="I257" s="256"/>
    </row>
    <row r="258" spans="6:9" x14ac:dyDescent="0.25">
      <c r="F258" s="256"/>
      <c r="G258" s="256"/>
      <c r="H258" s="256"/>
      <c r="I258" s="256"/>
    </row>
    <row r="259" spans="6:9" x14ac:dyDescent="0.25">
      <c r="F259" s="256"/>
      <c r="G259" s="256"/>
      <c r="H259" s="256"/>
      <c r="I259" s="256"/>
    </row>
    <row r="260" spans="6:9" x14ac:dyDescent="0.25">
      <c r="F260" s="256"/>
      <c r="G260" s="256"/>
      <c r="H260" s="256"/>
      <c r="I260" s="256"/>
    </row>
    <row r="261" spans="6:9" x14ac:dyDescent="0.25">
      <c r="F261" s="256"/>
      <c r="G261" s="256"/>
      <c r="H261" s="256"/>
      <c r="I261" s="256"/>
    </row>
    <row r="262" spans="6:9" x14ac:dyDescent="0.25">
      <c r="F262" s="256"/>
      <c r="G262" s="256"/>
      <c r="H262" s="256"/>
      <c r="I262" s="256"/>
    </row>
  </sheetData>
  <autoFilter ref="A28:J248" xr:uid="{6EECC889-A0EB-4C5B-9BD4-D4207850E5B8}"/>
  <conditionalFormatting sqref="F20:I20">
    <cfRule type="cellIs" dxfId="21" priority="2" operator="notEqual">
      <formula>0</formula>
    </cfRule>
  </conditionalFormatting>
  <conditionalFormatting sqref="I20">
    <cfRule type="cellIs" dxfId="20" priority="1" operator="notEqual">
      <formula>0</formula>
    </cfRule>
  </conditionalFormatting>
  <dataValidations count="1">
    <dataValidation type="list" allowBlank="1" showInputMessage="1" showErrorMessage="1" sqref="D180 D182" xr:uid="{4F53C9F5-ADFB-4F15-8F87-1C68FAF72897}">
      <formula1>#REF!</formula1>
    </dataValidation>
  </dataValidations>
  <pageMargins left="0.25" right="0.25" top="0.75" bottom="0.75" header="0.3" footer="0.3"/>
  <pageSetup paperSize="8" fitToHeight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1BF7C86-F564-4849-9212-9AF660952D93}">
          <x14:formula1>
            <xm:f>Div!$A$3:$A$13</xm:f>
          </x14:formula1>
          <xm:sqref>A71:A101</xm:sqref>
        </x14:dataValidation>
        <x14:dataValidation type="list" allowBlank="1" showInputMessage="1" showErrorMessage="1" xr:uid="{FA6D7321-F495-4BEF-9D55-59E7E228AFB3}">
          <x14:formula1>
            <xm:f>Div!$A$3:$A$11</xm:f>
          </x14:formula1>
          <xm:sqref>A31:A70 A102:A248</xm:sqref>
        </x14:dataValidation>
        <x14:dataValidation type="list" allowBlank="1" showInputMessage="1" showErrorMessage="1" xr:uid="{DADE6A9F-D67E-4556-B42D-7CBF34C82848}">
          <x14:formula1>
            <xm:f>Div!$B$3:$B$8</xm:f>
          </x14:formula1>
          <xm:sqref>D150 D31:D64 D88:D91 D152:D155 D181 D93:D101 D159:D179 D186:D192 D105:D133 D196:D200 D71:D86 D136:D145 D238:D247 D210:D236 D205:D208</xm:sqref>
        </x14:dataValidation>
        <x14:dataValidation type="list" allowBlank="1" showInputMessage="1" showErrorMessage="1" xr:uid="{F976742F-3146-4E9F-A531-336782764E00}">
          <x14:formula1>
            <xm:f>Div!$C$3:$C$58</xm:f>
          </x14:formula1>
          <xm:sqref>D151 D248:E248 D92:E92 D134:D135 D146:D149 D193:D195 E196:E202 E71:E86 E136:E147 D156:D158 D160 D112 D143 D183:D185 E152:E157 E31:E64 D87 D102:D104 D65:D70 E88:E91 E150 E186:E194 E159:E184 E93:E102 E105:E133 D201:D204 E210:E236 D237 E238:E247 D209 E205:E208</xm:sqref>
        </x14:dataValidation>
        <x14:dataValidation type="list" allowBlank="1" showInputMessage="1" showErrorMessage="1" xr:uid="{375CE6AB-5915-4B50-978E-B460EC78CA93}">
          <x14:formula1>
            <xm:f>Div!$B$3:$B$6</xm:f>
          </x14:formula1>
          <xm:sqref>E87 E143 E134:E135 E185 E65:E70 E195 E148:E149 E151 E103:E104 E112 E158 E160 E237 E203:E204 E209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2023-B7B6-44CA-8AF5-10DA1D2D942C}">
  <sheetPr>
    <tabColor rgb="FFFF0000"/>
    <pageSetUpPr fitToPage="1"/>
  </sheetPr>
  <dimension ref="A1:V259"/>
  <sheetViews>
    <sheetView topLeftCell="A110" zoomScaleNormal="100" workbookViewId="0">
      <selection activeCell="A197" sqref="A197:XFD197"/>
    </sheetView>
  </sheetViews>
  <sheetFormatPr baseColWidth="10" defaultColWidth="11.42578125" defaultRowHeight="15" x14ac:dyDescent="0.25"/>
  <cols>
    <col min="1" max="1" width="7.140625" customWidth="1"/>
    <col min="2" max="2" width="5.5703125" style="563" bestFit="1" customWidth="1"/>
    <col min="3" max="3" width="46.42578125" customWidth="1"/>
    <col min="4" max="4" width="12.140625" bestFit="1" customWidth="1"/>
    <col min="5" max="5" width="7.5703125" bestFit="1" customWidth="1"/>
    <col min="7" max="9" width="12.140625" bestFit="1" customWidth="1"/>
    <col min="10" max="10" width="55.42578125" customWidth="1"/>
    <col min="11" max="11" width="18.140625" customWidth="1"/>
  </cols>
  <sheetData>
    <row r="1" spans="1:10" s="28" customFormat="1" ht="23.25" x14ac:dyDescent="0.25">
      <c r="A1" s="294" t="s">
        <v>0</v>
      </c>
      <c r="B1" s="553"/>
      <c r="C1" s="296"/>
      <c r="D1" s="525"/>
      <c r="E1" s="93"/>
      <c r="F1" s="294"/>
      <c r="G1" s="294"/>
      <c r="H1" s="294"/>
      <c r="I1" s="294"/>
    </row>
    <row r="2" spans="1:10" s="28" customFormat="1" x14ac:dyDescent="0.25">
      <c r="A2" s="38"/>
      <c r="B2" s="553"/>
      <c r="C2" s="295"/>
      <c r="D2" s="93"/>
      <c r="E2" s="93"/>
      <c r="F2" s="38"/>
      <c r="G2" s="38"/>
      <c r="H2" s="38"/>
      <c r="I2" s="38"/>
    </row>
    <row r="3" spans="1:10" s="38" customFormat="1" x14ac:dyDescent="0.25">
      <c r="A3" s="297"/>
      <c r="B3" s="554"/>
      <c r="C3" s="298"/>
      <c r="D3" s="299"/>
      <c r="E3" s="299"/>
      <c r="F3" s="300">
        <v>2020</v>
      </c>
      <c r="G3" s="300">
        <v>46210</v>
      </c>
      <c r="H3" s="300">
        <v>2022</v>
      </c>
      <c r="I3" s="300"/>
    </row>
    <row r="4" spans="1:10" s="38" customFormat="1" x14ac:dyDescent="0.25">
      <c r="A4" s="301" t="s">
        <v>1</v>
      </c>
      <c r="B4" s="555"/>
      <c r="C4" s="303"/>
      <c r="D4" s="304"/>
      <c r="E4" s="304"/>
      <c r="F4" s="566">
        <v>4902782</v>
      </c>
      <c r="G4" s="566">
        <f>F4</f>
        <v>4902782</v>
      </c>
      <c r="H4" s="566">
        <f>G4</f>
        <v>4902782</v>
      </c>
      <c r="I4" s="566">
        <f>H4</f>
        <v>4902782</v>
      </c>
    </row>
    <row r="5" spans="1:10" s="38" customFormat="1" x14ac:dyDescent="0.25">
      <c r="A5" s="38" t="str">
        <f>C65</f>
        <v>SUM SENTRALE INNTEKTER OG FINANSPOSTER</v>
      </c>
      <c r="B5" s="553"/>
      <c r="C5" s="123"/>
      <c r="D5" s="93"/>
      <c r="E5" s="93"/>
      <c r="F5" s="2">
        <f>F65</f>
        <v>-5401937</v>
      </c>
      <c r="G5" s="2">
        <f>G65</f>
        <v>-5353511</v>
      </c>
      <c r="H5" s="2">
        <f>H65</f>
        <v>-5316767</v>
      </c>
      <c r="I5" s="2">
        <f>I65</f>
        <v>-5308745</v>
      </c>
      <c r="J5" s="95"/>
    </row>
    <row r="6" spans="1:10" s="38" customFormat="1" x14ac:dyDescent="0.25">
      <c r="A6" s="307" t="s">
        <v>2</v>
      </c>
      <c r="B6" s="556"/>
      <c r="C6" s="309"/>
      <c r="D6" s="310"/>
      <c r="E6" s="310"/>
      <c r="F6" s="311">
        <f>SUM(F4:F5)</f>
        <v>-499155</v>
      </c>
      <c r="G6" s="311">
        <f>SUM(G4:G5)</f>
        <v>-450729</v>
      </c>
      <c r="H6" s="311">
        <f>SUM(H4:H5)</f>
        <v>-413985</v>
      </c>
      <c r="I6" s="311">
        <f>SUM(I4:I5)</f>
        <v>-405963</v>
      </c>
    </row>
    <row r="7" spans="1:10" s="38" customFormat="1" x14ac:dyDescent="0.25">
      <c r="A7" s="312"/>
      <c r="B7" s="555"/>
      <c r="C7" s="302"/>
      <c r="D7" s="304"/>
      <c r="E7" s="304"/>
      <c r="F7" s="313"/>
      <c r="G7" s="313"/>
      <c r="H7" s="313"/>
      <c r="I7" s="313"/>
    </row>
    <row r="8" spans="1:10" s="38" customFormat="1" x14ac:dyDescent="0.25">
      <c r="A8" s="314" t="s">
        <v>3</v>
      </c>
      <c r="B8" s="341"/>
      <c r="C8" s="207"/>
      <c r="D8" s="315"/>
      <c r="E8" s="315"/>
      <c r="F8" s="39">
        <f>SUMIF($D:$D,"ØP 22-25",F:F)</f>
        <v>9930</v>
      </c>
      <c r="G8" s="39">
        <f>SUMIF($D:$D,"ØP 22-25",G:G)</f>
        <v>12073</v>
      </c>
      <c r="H8" s="39">
        <f>SUMIF($D:$D,"ØP 22-25",H:H)</f>
        <v>30203</v>
      </c>
      <c r="I8" s="39">
        <f>SUMIF($D:$D,"ØP 22-25",I:I)</f>
        <v>29023</v>
      </c>
    </row>
    <row r="9" spans="1:10" s="38" customFormat="1" x14ac:dyDescent="0.25">
      <c r="A9" s="316" t="s">
        <v>4</v>
      </c>
      <c r="B9" s="557"/>
      <c r="C9" s="317"/>
      <c r="D9" s="318"/>
      <c r="E9" s="318"/>
      <c r="F9" s="267">
        <f>SUMIF($D:$D,"ØP 22-25 REKALK",F:F)</f>
        <v>175473</v>
      </c>
      <c r="G9" s="267">
        <f>SUMIF($D:$D,"ØP 22-25 REKALK",G:G)</f>
        <v>168076</v>
      </c>
      <c r="H9" s="267">
        <f>SUMIF($D:$D,"ØP 22-25 REKALK",H:H)</f>
        <v>159905</v>
      </c>
      <c r="I9" s="267">
        <f>SUMIF($D:$D,"ØP 22-25 REKALK",I:I)</f>
        <v>161280</v>
      </c>
    </row>
    <row r="10" spans="1:10" s="38" customFormat="1" x14ac:dyDescent="0.25">
      <c r="A10" s="319" t="s">
        <v>5</v>
      </c>
      <c r="B10" s="558"/>
      <c r="C10" s="320"/>
      <c r="D10" s="321"/>
      <c r="E10" s="321"/>
      <c r="F10" s="322">
        <f>F6+F8+F9</f>
        <v>-313752</v>
      </c>
      <c r="G10" s="322">
        <f>G6+G8+G9</f>
        <v>-270580</v>
      </c>
      <c r="H10" s="322">
        <f>H6+H8+H9</f>
        <v>-223877</v>
      </c>
      <c r="I10" s="322">
        <f>I6+I8+I9</f>
        <v>-215660</v>
      </c>
    </row>
    <row r="11" spans="1:10" s="28" customFormat="1" x14ac:dyDescent="0.25">
      <c r="A11" s="38"/>
      <c r="B11" s="553"/>
      <c r="C11" s="295"/>
      <c r="D11" s="93"/>
      <c r="E11" s="93"/>
      <c r="F11" s="2"/>
      <c r="G11" s="2"/>
      <c r="H11" s="2"/>
      <c r="I11" s="2"/>
    </row>
    <row r="12" spans="1:10" s="28" customFormat="1" x14ac:dyDescent="0.25">
      <c r="A12" s="312" t="s">
        <v>6</v>
      </c>
      <c r="B12" s="553"/>
      <c r="C12" s="295"/>
      <c r="D12" s="93"/>
      <c r="E12" s="93"/>
      <c r="F12" s="2">
        <f>SUMIFS(F:F,$D:$D,"NYTT",$E:$E,"INNSP")</f>
        <v>0</v>
      </c>
      <c r="G12" s="2">
        <f>SUMIFS(G:G,$D:$D,"NYTT",$E:$E,"INNSP")</f>
        <v>0</v>
      </c>
      <c r="H12" s="2">
        <f>SUMIFS(H:H,$D:$D,"NYTT",$E:$E,"INNSP")</f>
        <v>0</v>
      </c>
      <c r="I12" s="2">
        <f>SUMIFS(I:I,$D:$D,"NYTT",$E:$E,"INNSP")</f>
        <v>0</v>
      </c>
    </row>
    <row r="13" spans="1:10" s="38" customFormat="1" x14ac:dyDescent="0.25">
      <c r="A13" s="316" t="s">
        <v>7</v>
      </c>
      <c r="B13" s="557"/>
      <c r="C13" s="317"/>
      <c r="D13" s="318"/>
      <c r="E13" s="318"/>
      <c r="F13" s="267">
        <f>SUMIFS(F:F,$D:$D,"NYTT",$E:$E,"MÅ")</f>
        <v>292931</v>
      </c>
      <c r="G13" s="267">
        <f>SUMIFS(G:G,$D:$D,"NYTT",$E:$E,"MÅ")</f>
        <v>262076</v>
      </c>
      <c r="H13" s="267">
        <f>SUMIFS(H:H,$D:$D,"NYTT",$E:$E,"MÅ")</f>
        <v>223663</v>
      </c>
      <c r="I13" s="267">
        <f>SUMIFS(I:I,$D:$D,"NYTT",$E:$E,"MÅ")</f>
        <v>226336</v>
      </c>
    </row>
    <row r="14" spans="1:10" s="38" customFormat="1" x14ac:dyDescent="0.25">
      <c r="A14" s="307" t="s">
        <v>8</v>
      </c>
      <c r="B14" s="559"/>
      <c r="C14" s="309"/>
      <c r="D14" s="323"/>
      <c r="E14" s="323"/>
      <c r="F14" s="324">
        <f>F6+F8+F9+F12+F13</f>
        <v>-20821</v>
      </c>
      <c r="G14" s="324">
        <f>G6+G8+G9+G12+G13</f>
        <v>-8504</v>
      </c>
      <c r="H14" s="324">
        <f>H6+H8+H9+H12+H13</f>
        <v>-214</v>
      </c>
      <c r="I14" s="324">
        <f>I6+I8+I9+I12+I13</f>
        <v>10676</v>
      </c>
    </row>
    <row r="15" spans="1:10" s="38" customFormat="1" x14ac:dyDescent="0.25">
      <c r="A15" s="312"/>
      <c r="B15" s="555"/>
      <c r="C15" s="302"/>
      <c r="D15" s="304"/>
      <c r="E15" s="304"/>
      <c r="F15" s="491"/>
      <c r="G15" s="313"/>
      <c r="H15" s="313"/>
      <c r="I15" s="313"/>
    </row>
    <row r="16" spans="1:10" s="38" customFormat="1" x14ac:dyDescent="0.25">
      <c r="A16" s="312" t="s">
        <v>9</v>
      </c>
      <c r="B16" s="555"/>
      <c r="C16" s="302"/>
      <c r="D16" s="304"/>
      <c r="E16" s="304"/>
      <c r="F16" s="267">
        <f>SUMIFS(F:F,$D:$D,"Endring",$E:$E,"endring")</f>
        <v>0</v>
      </c>
      <c r="G16" s="267">
        <f>SUMIFS(G:G,$D:$D,"Endring",$E:$E,"endring")</f>
        <v>0</v>
      </c>
      <c r="H16" s="267">
        <f>SUMIFS(H:H,$D:$D,"Endring",$E:$E,"endring")</f>
        <v>0</v>
      </c>
      <c r="I16" s="267">
        <f>SUMIFS(I:I,$D:$D,"Endring",$E:$E,"endring")</f>
        <v>0</v>
      </c>
    </row>
    <row r="17" spans="1:16" s="38" customFormat="1" x14ac:dyDescent="0.25">
      <c r="A17" s="312"/>
      <c r="B17" s="555"/>
      <c r="C17" s="302"/>
      <c r="D17" s="304"/>
      <c r="E17" s="304"/>
      <c r="F17" s="491"/>
      <c r="G17" s="313"/>
      <c r="H17" s="313"/>
      <c r="I17" s="313"/>
    </row>
    <row r="18" spans="1:16" s="38" customFormat="1" x14ac:dyDescent="0.25">
      <c r="A18" s="314" t="s">
        <v>10</v>
      </c>
      <c r="B18" s="341"/>
      <c r="C18" s="207"/>
      <c r="D18" s="315"/>
      <c r="E18" s="315"/>
      <c r="F18" s="39">
        <f>SUMIF($D:$D,"NYTT",F:F)-F19-F13-F12</f>
        <v>0</v>
      </c>
      <c r="G18" s="39">
        <f>SUMIF($D:$D,"NYTT",G:G)-G19-G13-G12</f>
        <v>0</v>
      </c>
      <c r="H18" s="39">
        <f>SUMIF($D:$D,"NYTT",H:H)-H19-H13-H12</f>
        <v>0</v>
      </c>
      <c r="I18" s="39">
        <f>SUMIF($D:$D,"NYTT",I:I)-I19-I13-I12</f>
        <v>0</v>
      </c>
    </row>
    <row r="19" spans="1:16" s="38" customFormat="1" x14ac:dyDescent="0.25">
      <c r="A19" s="325" t="s">
        <v>11</v>
      </c>
      <c r="B19" s="341"/>
      <c r="C19" s="326"/>
      <c r="D19" s="315"/>
      <c r="E19" s="315"/>
      <c r="F19" s="327">
        <f>SUMIFS(F:F,$D:$D,"NYTT",$E:$E,"IKKE PRI")</f>
        <v>0</v>
      </c>
      <c r="G19" s="327">
        <f>SUMIFS(G:G,$D:$D,"NYTT",$E:$E,"IKKE PRI")</f>
        <v>0</v>
      </c>
      <c r="H19" s="327">
        <f>SUMIFS(H:H,$D:$D,"NYTT",$E:$E,"IKKE PRI")</f>
        <v>0</v>
      </c>
      <c r="I19" s="327">
        <f>SUMIFS(I:I,$D:$D,"NYTT",$E:$E,"IKKE PRI")</f>
        <v>0</v>
      </c>
    </row>
    <row r="20" spans="1:16" s="38" customFormat="1" x14ac:dyDescent="0.25">
      <c r="A20" s="325"/>
      <c r="B20" s="341"/>
      <c r="C20" s="326"/>
      <c r="D20" s="315"/>
      <c r="E20" s="315"/>
      <c r="F20" s="292">
        <f>(F8+F9+F13+F18+F19+F12+F16)-SUMIF($B:$B,"X",F:F)</f>
        <v>0</v>
      </c>
      <c r="G20" s="292">
        <f>(G8+G9+G13+G18+G19+G12+G16)-SUMIF($B:$B,"X",G:G)</f>
        <v>0</v>
      </c>
      <c r="H20" s="292">
        <f>(H8+H9+H13+H18+H19+H12+H16)-SUMIF($B:$B,"X",H:H)</f>
        <v>0</v>
      </c>
      <c r="I20" s="292">
        <f>(I8+I9+I13+I18+I19+I12+I16)-SUMIF($B:$B,"X",I:I)</f>
        <v>0</v>
      </c>
    </row>
    <row r="21" spans="1:16" s="38" customFormat="1" x14ac:dyDescent="0.25">
      <c r="A21" s="328"/>
      <c r="B21" s="329"/>
      <c r="C21" s="298"/>
      <c r="D21" s="330"/>
      <c r="E21" s="330"/>
      <c r="F21" s="331"/>
      <c r="G21" s="331"/>
      <c r="H21" s="331"/>
      <c r="I21" s="331"/>
    </row>
    <row r="22" spans="1:16" s="38" customFormat="1" x14ac:dyDescent="0.25">
      <c r="A22" s="332"/>
      <c r="B22" s="553"/>
      <c r="C22" s="333"/>
      <c r="D22" s="93"/>
      <c r="E22" s="93"/>
      <c r="F22" s="334">
        <f>F8+F9+F13+F12</f>
        <v>478334</v>
      </c>
      <c r="G22" s="334">
        <f>G8+G9+G13+G12</f>
        <v>442225</v>
      </c>
      <c r="H22" s="334">
        <f>H8+H9+H13+H12</f>
        <v>413771</v>
      </c>
      <c r="I22" s="334">
        <f>I8+I9+I13+I12</f>
        <v>416639</v>
      </c>
    </row>
    <row r="23" spans="1:16" s="38" customFormat="1" x14ac:dyDescent="0.25">
      <c r="A23" s="332"/>
      <c r="B23" s="553"/>
      <c r="C23" s="333"/>
      <c r="D23" s="93"/>
      <c r="E23" s="93"/>
      <c r="F23" s="334"/>
      <c r="G23" s="334"/>
      <c r="H23" s="334"/>
      <c r="I23" s="334"/>
    </row>
    <row r="24" spans="1:16" s="38" customFormat="1" hidden="1" x14ac:dyDescent="0.25">
      <c r="A24" s="192" t="s">
        <v>12</v>
      </c>
      <c r="B24" s="560"/>
      <c r="C24" s="236"/>
      <c r="D24" s="237"/>
      <c r="E24" s="237"/>
      <c r="F24" s="193"/>
      <c r="G24" s="193"/>
      <c r="H24" s="193"/>
      <c r="I24" s="193"/>
    </row>
    <row r="25" spans="1:16" s="125" customFormat="1" hidden="1" x14ac:dyDescent="0.25">
      <c r="A25" s="194" t="s">
        <v>13</v>
      </c>
      <c r="B25" s="561"/>
      <c r="C25" s="195"/>
      <c r="D25" s="239"/>
      <c r="E25" s="239"/>
      <c r="F25" s="196" t="e">
        <f>SUMIF(#REF!,"FOND",F:F)</f>
        <v>#REF!</v>
      </c>
      <c r="G25" s="196" t="e">
        <f>SUMIF(#REF!,"FOND",G:G)</f>
        <v>#REF!</v>
      </c>
      <c r="H25" s="196" t="e">
        <f>SUMIF(#REF!,"FOND",H:H)</f>
        <v>#REF!</v>
      </c>
      <c r="I25" s="196" t="e">
        <f>SUMIF(#REF!,"FOND",I:I)</f>
        <v>#REF!</v>
      </c>
      <c r="J25" s="38"/>
    </row>
    <row r="26" spans="1:16" s="38" customFormat="1" hidden="1" x14ac:dyDescent="0.25">
      <c r="A26" s="197" t="s">
        <v>14</v>
      </c>
      <c r="B26" s="560"/>
      <c r="C26" s="236"/>
      <c r="D26" s="237"/>
      <c r="E26" s="237"/>
      <c r="F26" s="198" t="e">
        <f>SUBTOTAL(9,F24:F25)</f>
        <v>#REF!</v>
      </c>
      <c r="G26" s="198" t="e">
        <f>SUBTOTAL(9,G24:G25)</f>
        <v>#REF!</v>
      </c>
      <c r="H26" s="198" t="e">
        <f>SUBTOTAL(9,H24:H25)</f>
        <v>#REF!</v>
      </c>
      <c r="I26" s="198" t="e">
        <f>SUBTOTAL(9,I24:I25)</f>
        <v>#REF!</v>
      </c>
    </row>
    <row r="27" spans="1:16" s="38" customFormat="1" x14ac:dyDescent="0.25">
      <c r="A27" s="28"/>
      <c r="B27" s="562"/>
      <c r="C27" s="11"/>
      <c r="D27" s="242"/>
      <c r="E27" s="242"/>
      <c r="F27" s="336">
        <f>(F8+F9+F13+F18+F19+F12)-SUMIF($B:$B,"X",F:F)</f>
        <v>0</v>
      </c>
      <c r="G27" s="336">
        <f>(G8+G9+G13+G18+G19+G12)-SUMIF($B:$B,"X",G:G)</f>
        <v>0</v>
      </c>
      <c r="H27" s="336">
        <f>(H8+H9+H13+H18+H19+H12)-SUMIF($B:$B,"X",H:H)</f>
        <v>0</v>
      </c>
      <c r="I27" s="336">
        <f>(I8+I9+I13+I18+I19+I12)-SUMIF($B:$B,"X",I:I)</f>
        <v>0</v>
      </c>
    </row>
    <row r="28" spans="1:16" s="38" customFormat="1" x14ac:dyDescent="0.25">
      <c r="A28" s="4" t="s">
        <v>15</v>
      </c>
      <c r="B28" s="5" t="s">
        <v>16</v>
      </c>
      <c r="C28" s="3" t="s">
        <v>17</v>
      </c>
      <c r="D28" s="8" t="s">
        <v>18</v>
      </c>
      <c r="E28" s="46" t="s">
        <v>19</v>
      </c>
      <c r="F28" s="4">
        <v>2023</v>
      </c>
      <c r="G28" s="4">
        <v>2024</v>
      </c>
      <c r="H28" s="4">
        <v>2025</v>
      </c>
      <c r="I28" s="4">
        <v>2026</v>
      </c>
      <c r="J28" s="4" t="s">
        <v>20</v>
      </c>
    </row>
    <row r="29" spans="1:16" s="38" customFormat="1" x14ac:dyDescent="0.25">
      <c r="A29" s="234"/>
      <c r="B29" s="562"/>
      <c r="C29" s="17"/>
      <c r="D29" s="51"/>
      <c r="E29" s="549"/>
      <c r="F29" s="550"/>
      <c r="G29" s="550"/>
      <c r="H29" s="550"/>
      <c r="I29" s="235"/>
    </row>
    <row r="30" spans="1:16" s="38" customFormat="1" x14ac:dyDescent="0.25">
      <c r="A30" s="15"/>
      <c r="B30" s="44"/>
      <c r="C30" s="16" t="s">
        <v>21</v>
      </c>
      <c r="D30" s="41"/>
      <c r="E30" s="551"/>
      <c r="F30" s="552"/>
      <c r="G30" s="552"/>
      <c r="H30" s="552"/>
      <c r="I30" s="85"/>
    </row>
    <row r="31" spans="1:16" s="38" customFormat="1" ht="22.5" x14ac:dyDescent="0.25">
      <c r="A31" s="78" t="s">
        <v>22</v>
      </c>
      <c r="B31" s="78" t="str">
        <f>IF(ISBLANK(A31),"","I"&amp;COUNTA($A$31:A31))</f>
        <v>I1</v>
      </c>
      <c r="C31" s="526" t="s">
        <v>23</v>
      </c>
      <c r="D31" s="79" t="s">
        <v>22</v>
      </c>
      <c r="E31" s="79" t="s">
        <v>24</v>
      </c>
      <c r="F31" s="481">
        <v>-3016000</v>
      </c>
      <c r="G31" s="481">
        <v>-3050000</v>
      </c>
      <c r="H31" s="481">
        <v>-3079000</v>
      </c>
      <c r="I31" s="481">
        <v>-3104000</v>
      </c>
      <c r="J31" s="38" t="s">
        <v>25</v>
      </c>
      <c r="M31" s="1">
        <v>2023</v>
      </c>
      <c r="N31" s="1">
        <v>2024</v>
      </c>
      <c r="O31" s="1">
        <v>2025</v>
      </c>
      <c r="P31" s="1">
        <v>2026</v>
      </c>
    </row>
    <row r="32" spans="1:16" s="38" customFormat="1" ht="22.5" x14ac:dyDescent="0.25">
      <c r="A32" s="78" t="s">
        <v>22</v>
      </c>
      <c r="B32" s="78" t="str">
        <f>IF(ISBLANK(A32),"","I"&amp;COUNTA($A$31:A32))</f>
        <v>I2</v>
      </c>
      <c r="C32" s="526" t="s">
        <v>29</v>
      </c>
      <c r="D32" s="79" t="s">
        <v>22</v>
      </c>
      <c r="E32" s="79" t="s">
        <v>24</v>
      </c>
      <c r="F32" s="481">
        <v>-2261000</v>
      </c>
      <c r="G32" s="481">
        <v>-2294000</v>
      </c>
      <c r="H32" s="481">
        <v>-2315000</v>
      </c>
      <c r="I32" s="481">
        <v>-2334000</v>
      </c>
      <c r="J32" s="38" t="s">
        <v>25</v>
      </c>
      <c r="K32" s="38" t="s">
        <v>309</v>
      </c>
      <c r="M32" s="620">
        <v>2.2999999999999998</v>
      </c>
      <c r="N32" s="620">
        <v>1.4</v>
      </c>
      <c r="O32" s="620">
        <v>0.85</v>
      </c>
      <c r="P32" s="620">
        <v>0.66</v>
      </c>
    </row>
    <row r="33" spans="1:18" s="38" customFormat="1" ht="22.5" x14ac:dyDescent="0.25">
      <c r="A33" s="78" t="s">
        <v>22</v>
      </c>
      <c r="B33" s="78" t="str">
        <f>IF(ISBLANK(A33),"","I"&amp;COUNTA($A$31:A33))</f>
        <v>I3</v>
      </c>
      <c r="C33" s="526" t="s">
        <v>32</v>
      </c>
      <c r="D33" s="79" t="s">
        <v>22</v>
      </c>
      <c r="E33" s="79" t="s">
        <v>24</v>
      </c>
      <c r="F33" s="595">
        <v>-60000</v>
      </c>
      <c r="G33" s="595">
        <v>-60000</v>
      </c>
      <c r="H33" s="595">
        <v>-60000</v>
      </c>
      <c r="I33" s="595">
        <v>-60000</v>
      </c>
      <c r="J33" s="38" t="s">
        <v>374</v>
      </c>
    </row>
    <row r="34" spans="1:18" s="38" customFormat="1" ht="22.5" x14ac:dyDescent="0.25">
      <c r="A34" s="78" t="s">
        <v>22</v>
      </c>
      <c r="B34" s="78" t="str">
        <f>IF(ISBLANK(A34),"","I"&amp;COUNTA($A$31:A34))</f>
        <v>I4</v>
      </c>
      <c r="C34" s="526" t="s">
        <v>34</v>
      </c>
      <c r="D34" s="79" t="s">
        <v>22</v>
      </c>
      <c r="E34" s="79" t="s">
        <v>24</v>
      </c>
      <c r="F34" s="595">
        <v>-250000</v>
      </c>
      <c r="G34" s="595">
        <v>-150000</v>
      </c>
      <c r="H34" s="595">
        <v>-80000</v>
      </c>
      <c r="I34" s="595">
        <v>-64000</v>
      </c>
      <c r="J34" s="38" t="s">
        <v>35</v>
      </c>
      <c r="K34" s="38" t="s">
        <v>310</v>
      </c>
      <c r="M34" s="595">
        <v>225000</v>
      </c>
      <c r="N34" s="595">
        <v>180000</v>
      </c>
      <c r="O34" s="595">
        <v>180000</v>
      </c>
      <c r="P34" s="595">
        <v>180000</v>
      </c>
    </row>
    <row r="35" spans="1:18" s="38" customFormat="1" ht="22.5" x14ac:dyDescent="0.25">
      <c r="A35" s="78" t="s">
        <v>22</v>
      </c>
      <c r="B35" s="78" t="str">
        <f>IF(ISBLANK(A35),"","I"&amp;COUNTA($A$31:A35))</f>
        <v>I5</v>
      </c>
      <c r="C35" s="593" t="s">
        <v>375</v>
      </c>
      <c r="D35" s="594" t="s">
        <v>22</v>
      </c>
      <c r="E35" s="594" t="s">
        <v>24</v>
      </c>
      <c r="F35" s="595"/>
      <c r="G35" s="595"/>
      <c r="H35" s="595"/>
      <c r="I35" s="595"/>
      <c r="J35" s="38" t="s">
        <v>35</v>
      </c>
      <c r="K35" s="38" t="s">
        <v>317</v>
      </c>
      <c r="M35" s="617">
        <v>58854</v>
      </c>
      <c r="N35" s="617">
        <v>37473</v>
      </c>
      <c r="O35" s="617">
        <v>65052</v>
      </c>
      <c r="P35" s="617">
        <v>62495</v>
      </c>
    </row>
    <row r="36" spans="1:18" s="38" customFormat="1" ht="22.5" x14ac:dyDescent="0.25">
      <c r="A36" s="78" t="s">
        <v>22</v>
      </c>
      <c r="B36" s="78" t="str">
        <f>IF(ISBLANK(A36),"","I"&amp;COUNTA($A$31:A36))</f>
        <v>I6</v>
      </c>
      <c r="C36" s="526" t="s">
        <v>311</v>
      </c>
      <c r="D36" s="79" t="s">
        <v>22</v>
      </c>
      <c r="E36" s="79" t="s">
        <v>24</v>
      </c>
      <c r="F36" s="595">
        <v>35000</v>
      </c>
      <c r="G36" s="595">
        <v>20000</v>
      </c>
      <c r="H36" s="595">
        <v>10000</v>
      </c>
      <c r="I36" s="595">
        <v>10000</v>
      </c>
      <c r="J36" s="38" t="s">
        <v>35</v>
      </c>
      <c r="K36" s="38" t="s">
        <v>312</v>
      </c>
      <c r="L36" s="38" t="s">
        <v>313</v>
      </c>
      <c r="M36" s="617">
        <v>20000</v>
      </c>
      <c r="N36" s="617">
        <v>20000</v>
      </c>
      <c r="O36" s="617">
        <v>20000</v>
      </c>
      <c r="P36" s="617">
        <v>20000</v>
      </c>
    </row>
    <row r="37" spans="1:18" s="38" customFormat="1" ht="22.5" x14ac:dyDescent="0.25">
      <c r="A37" s="78" t="s">
        <v>22</v>
      </c>
      <c r="B37" s="78" t="str">
        <f>IF(ISBLANK(A37),"","I"&amp;COUNTA($A$31:A37))</f>
        <v>I7</v>
      </c>
      <c r="C37" s="526" t="s">
        <v>36</v>
      </c>
      <c r="D37" s="79" t="s">
        <v>22</v>
      </c>
      <c r="E37" s="79" t="s">
        <v>24</v>
      </c>
      <c r="F37" s="481">
        <v>-11000</v>
      </c>
      <c r="G37" s="481">
        <v>-11000</v>
      </c>
      <c r="H37" s="481">
        <v>-11000</v>
      </c>
      <c r="I37" s="481">
        <v>-11000</v>
      </c>
      <c r="J37" s="38" t="s">
        <v>37</v>
      </c>
      <c r="K37" s="38" t="s">
        <v>314</v>
      </c>
      <c r="M37" s="619">
        <f>M34-M35-M36</f>
        <v>146146</v>
      </c>
      <c r="N37" s="619">
        <f>N34-N35-N36</f>
        <v>122527</v>
      </c>
      <c r="O37" s="619">
        <f>O34-O35-O36</f>
        <v>94948</v>
      </c>
      <c r="P37" s="619">
        <f>P34-P35-P36</f>
        <v>97505</v>
      </c>
    </row>
    <row r="38" spans="1:18" s="38" customFormat="1" ht="22.5" x14ac:dyDescent="0.25">
      <c r="A38" s="78" t="s">
        <v>22</v>
      </c>
      <c r="B38" s="78" t="str">
        <f>IF(ISBLANK(A38),"","I"&amp;COUNTA($A$31:A38))</f>
        <v>I8</v>
      </c>
      <c r="C38" s="526" t="s">
        <v>38</v>
      </c>
      <c r="D38" s="79" t="s">
        <v>22</v>
      </c>
      <c r="E38" s="79" t="s">
        <v>24</v>
      </c>
      <c r="F38" s="481">
        <v>11000</v>
      </c>
      <c r="G38" s="481">
        <v>11000</v>
      </c>
      <c r="H38" s="481">
        <v>11000</v>
      </c>
      <c r="I38" s="481">
        <v>11000</v>
      </c>
      <c r="J38" s="38" t="s">
        <v>37</v>
      </c>
      <c r="K38" s="38" t="s">
        <v>315</v>
      </c>
      <c r="M38" s="617">
        <v>6500000</v>
      </c>
      <c r="N38" s="617">
        <v>6500000</v>
      </c>
      <c r="O38" s="617">
        <v>6500000</v>
      </c>
      <c r="P38" s="617">
        <v>6500000</v>
      </c>
    </row>
    <row r="39" spans="1:18" s="38" customFormat="1" ht="25.5" x14ac:dyDescent="0.25">
      <c r="A39" s="78" t="s">
        <v>22</v>
      </c>
      <c r="B39" s="78" t="str">
        <f>IF(ISBLANK(A39),"","I"&amp;COUNTA($A$31:A39))</f>
        <v>I9</v>
      </c>
      <c r="C39" s="526" t="s">
        <v>39</v>
      </c>
      <c r="D39" s="79" t="s">
        <v>22</v>
      </c>
      <c r="E39" s="79" t="s">
        <v>24</v>
      </c>
      <c r="F39" s="481">
        <v>-12300</v>
      </c>
      <c r="G39" s="481">
        <v>-11200</v>
      </c>
      <c r="H39" s="481">
        <v>-10100</v>
      </c>
      <c r="I39" s="481">
        <v>-9400</v>
      </c>
      <c r="J39" s="38" t="s">
        <v>40</v>
      </c>
      <c r="K39" s="38" t="s">
        <v>316</v>
      </c>
      <c r="M39" s="618">
        <f>M37/M38</f>
        <v>2.2484000000000001E-2</v>
      </c>
      <c r="N39" s="618">
        <f>N37/N38</f>
        <v>1.8850307692307694E-2</v>
      </c>
      <c r="O39" s="618">
        <f>O37/O38</f>
        <v>1.4607384615384616E-2</v>
      </c>
      <c r="P39" s="618">
        <f>P37/P38</f>
        <v>1.5000769230769231E-2</v>
      </c>
    </row>
    <row r="40" spans="1:18" s="38" customFormat="1" ht="22.5" x14ac:dyDescent="0.25">
      <c r="A40" s="78" t="s">
        <v>22</v>
      </c>
      <c r="B40" s="78" t="str">
        <f>IF(ISBLANK(A40),"","I"&amp;COUNTA($A$31:A40))</f>
        <v>I10</v>
      </c>
      <c r="C40" s="578" t="s">
        <v>41</v>
      </c>
      <c r="D40" s="579" t="s">
        <v>22</v>
      </c>
      <c r="E40" s="579" t="s">
        <v>24</v>
      </c>
      <c r="F40" s="592">
        <v>-116222</v>
      </c>
      <c r="G40" s="592">
        <v>-95707</v>
      </c>
      <c r="H40" s="592">
        <v>-71318</v>
      </c>
      <c r="I40" s="481">
        <v>-66738</v>
      </c>
      <c r="J40" s="580" t="s">
        <v>42</v>
      </c>
    </row>
    <row r="41" spans="1:18" s="38" customFormat="1" ht="22.5" x14ac:dyDescent="0.25">
      <c r="A41" s="78" t="s">
        <v>22</v>
      </c>
      <c r="B41" s="78" t="str">
        <f>IF(ISBLANK(A41),"","I"&amp;COUNTA($A$31:A41))</f>
        <v>I11</v>
      </c>
      <c r="C41" s="526" t="s">
        <v>43</v>
      </c>
      <c r="D41" s="79" t="s">
        <v>22</v>
      </c>
      <c r="E41" s="79" t="s">
        <v>24</v>
      </c>
      <c r="F41" s="481">
        <v>152000</v>
      </c>
      <c r="G41" s="481">
        <v>170000</v>
      </c>
      <c r="H41" s="481">
        <v>180000</v>
      </c>
      <c r="I41" s="481">
        <v>204000</v>
      </c>
      <c r="J41" s="38" t="s">
        <v>376</v>
      </c>
    </row>
    <row r="42" spans="1:18" s="38" customFormat="1" ht="24.75" customHeight="1" x14ac:dyDescent="0.25">
      <c r="A42" s="590"/>
      <c r="B42" s="78"/>
      <c r="C42" s="587" t="s">
        <v>306</v>
      </c>
      <c r="D42" s="588" t="s">
        <v>22</v>
      </c>
      <c r="E42" s="588" t="s">
        <v>24</v>
      </c>
      <c r="F42" s="589"/>
      <c r="G42" s="589"/>
      <c r="H42" s="589"/>
      <c r="I42" s="589"/>
      <c r="J42" s="591" t="s">
        <v>307</v>
      </c>
      <c r="O42" s="95"/>
      <c r="P42" s="95"/>
      <c r="Q42" s="95"/>
      <c r="R42" s="95"/>
    </row>
    <row r="43" spans="1:18" s="38" customFormat="1" ht="22.5" x14ac:dyDescent="0.25">
      <c r="A43" s="78" t="s">
        <v>22</v>
      </c>
      <c r="B43" s="78" t="str">
        <f>IF(ISBLANK(A43),"","I"&amp;COUNTA($A$31:A43))</f>
        <v>I12</v>
      </c>
      <c r="C43" s="526" t="s">
        <v>47</v>
      </c>
      <c r="D43" s="79" t="s">
        <v>22</v>
      </c>
      <c r="E43" s="79" t="s">
        <v>24</v>
      </c>
      <c r="F43" s="481">
        <v>284000</v>
      </c>
      <c r="G43" s="481">
        <v>307000</v>
      </c>
      <c r="H43" s="481">
        <v>332000</v>
      </c>
      <c r="I43" s="481">
        <v>348000</v>
      </c>
      <c r="J43" s="38" t="s">
        <v>376</v>
      </c>
      <c r="M43" s="1">
        <v>2023</v>
      </c>
      <c r="N43" s="1">
        <v>2024</v>
      </c>
      <c r="O43" s="1">
        <v>2025</v>
      </c>
      <c r="P43" s="1">
        <v>2026</v>
      </c>
    </row>
    <row r="44" spans="1:18" s="38" customFormat="1" ht="23.25" customHeight="1" x14ac:dyDescent="0.25">
      <c r="A44" s="590"/>
      <c r="B44" s="78"/>
      <c r="C44" s="587" t="s">
        <v>308</v>
      </c>
      <c r="D44" s="588" t="s">
        <v>22</v>
      </c>
      <c r="E44" s="588" t="s">
        <v>24</v>
      </c>
      <c r="F44" s="589"/>
      <c r="G44" s="589"/>
      <c r="H44" s="589"/>
      <c r="I44" s="589"/>
      <c r="J44" s="591" t="s">
        <v>307</v>
      </c>
      <c r="K44" s="38" t="s">
        <v>309</v>
      </c>
      <c r="M44" s="38">
        <v>0.6</v>
      </c>
      <c r="N44" s="38">
        <v>0.6</v>
      </c>
      <c r="O44" s="38">
        <v>0.6</v>
      </c>
      <c r="P44" s="38">
        <v>0.6</v>
      </c>
    </row>
    <row r="45" spans="1:18" s="38" customFormat="1" ht="22.5" x14ac:dyDescent="0.25">
      <c r="A45" s="78" t="s">
        <v>22</v>
      </c>
      <c r="B45" s="78" t="str">
        <f>IF(ISBLANK(A45),"","I"&amp;COUNTA($A$31:A45))</f>
        <v>I13</v>
      </c>
      <c r="C45" s="526" t="s">
        <v>50</v>
      </c>
      <c r="D45" s="79" t="s">
        <v>22</v>
      </c>
      <c r="E45" s="79" t="s">
        <v>24</v>
      </c>
      <c r="F45" s="481">
        <v>-59000</v>
      </c>
      <c r="G45" s="481">
        <v>-59000</v>
      </c>
      <c r="H45" s="481">
        <v>-55000</v>
      </c>
      <c r="I45" s="481">
        <v>-55000</v>
      </c>
      <c r="J45" s="38" t="s">
        <v>40</v>
      </c>
      <c r="K45" s="38" t="s">
        <v>310</v>
      </c>
      <c r="M45" s="595">
        <v>225000</v>
      </c>
      <c r="N45" s="595">
        <v>180000</v>
      </c>
      <c r="O45" s="595">
        <v>180000</v>
      </c>
      <c r="P45" s="595">
        <v>180000</v>
      </c>
    </row>
    <row r="46" spans="1:18" s="38" customFormat="1" ht="22.5" x14ac:dyDescent="0.25">
      <c r="A46" s="78" t="s">
        <v>22</v>
      </c>
      <c r="B46" s="78" t="str">
        <f>IF(ISBLANK(A46),"","I"&amp;COUNTA($A$31:A46))</f>
        <v>I14</v>
      </c>
      <c r="C46" s="526" t="s">
        <v>51</v>
      </c>
      <c r="D46" s="79" t="s">
        <v>22</v>
      </c>
      <c r="E46" s="79" t="s">
        <v>24</v>
      </c>
      <c r="F46" s="481">
        <v>-83200</v>
      </c>
      <c r="G46" s="481">
        <v>-87900</v>
      </c>
      <c r="H46" s="481">
        <v>-86100</v>
      </c>
      <c r="I46" s="481">
        <v>-89300</v>
      </c>
      <c r="J46" s="38" t="s">
        <v>40</v>
      </c>
      <c r="K46" s="38" t="s">
        <v>317</v>
      </c>
      <c r="M46" s="617">
        <v>58854</v>
      </c>
      <c r="N46" s="617">
        <v>37473</v>
      </c>
      <c r="O46" s="617">
        <v>65052</v>
      </c>
      <c r="P46" s="617">
        <v>62495</v>
      </c>
    </row>
    <row r="47" spans="1:18" s="38" customFormat="1" ht="22.5" x14ac:dyDescent="0.25">
      <c r="A47" s="78" t="s">
        <v>22</v>
      </c>
      <c r="B47" s="78" t="str">
        <f>IF(ISBLANK(A47),"","I"&amp;COUNTA($A$31:A47))</f>
        <v>I15</v>
      </c>
      <c r="C47" s="526" t="s">
        <v>52</v>
      </c>
      <c r="D47" s="79" t="s">
        <v>22</v>
      </c>
      <c r="E47" s="79" t="s">
        <v>24</v>
      </c>
      <c r="F47" s="481">
        <v>83200</v>
      </c>
      <c r="G47" s="481">
        <v>87900</v>
      </c>
      <c r="H47" s="481">
        <v>86100</v>
      </c>
      <c r="I47" s="481">
        <v>89300</v>
      </c>
      <c r="J47" s="38" t="s">
        <v>40</v>
      </c>
      <c r="K47" s="38" t="s">
        <v>312</v>
      </c>
      <c r="L47" s="38" t="s">
        <v>313</v>
      </c>
      <c r="M47" s="617">
        <v>20000</v>
      </c>
      <c r="N47" s="617">
        <v>20000</v>
      </c>
      <c r="O47" s="617">
        <v>20000</v>
      </c>
      <c r="P47" s="617">
        <v>20000</v>
      </c>
    </row>
    <row r="48" spans="1:18" s="38" customFormat="1" ht="22.5" x14ac:dyDescent="0.25">
      <c r="A48" s="78" t="s">
        <v>22</v>
      </c>
      <c r="B48" s="78" t="str">
        <f>IF(ISBLANK(A48),"","I"&amp;COUNTA($A$31:A48))</f>
        <v>I16</v>
      </c>
      <c r="C48" s="526" t="s">
        <v>53</v>
      </c>
      <c r="D48" s="79" t="s">
        <v>22</v>
      </c>
      <c r="E48" s="79" t="s">
        <v>24</v>
      </c>
      <c r="F48" s="481">
        <v>-16400</v>
      </c>
      <c r="G48" s="481">
        <v>-15400</v>
      </c>
      <c r="H48" s="481">
        <v>-13700</v>
      </c>
      <c r="I48" s="481">
        <v>-12700</v>
      </c>
      <c r="J48" s="38" t="s">
        <v>40</v>
      </c>
      <c r="K48" s="38" t="s">
        <v>318</v>
      </c>
      <c r="M48" s="339">
        <v>-132000</v>
      </c>
      <c r="N48" s="339">
        <v>-62000</v>
      </c>
      <c r="O48" s="339">
        <v>-18000</v>
      </c>
      <c r="P48" s="339">
        <v>0</v>
      </c>
    </row>
    <row r="49" spans="1:22" s="38" customFormat="1" ht="22.5" x14ac:dyDescent="0.25">
      <c r="A49" s="78" t="s">
        <v>22</v>
      </c>
      <c r="B49" s="78" t="str">
        <f>IF(ISBLANK(A49),"","I"&amp;COUNTA($A$31:A49))</f>
        <v>I17</v>
      </c>
      <c r="C49" s="526" t="s">
        <v>54</v>
      </c>
      <c r="D49" s="79" t="s">
        <v>22</v>
      </c>
      <c r="E49" s="79" t="s">
        <v>24</v>
      </c>
      <c r="F49" s="481">
        <v>-136700</v>
      </c>
      <c r="G49" s="481">
        <v>-140600</v>
      </c>
      <c r="H49" s="481">
        <v>-144500</v>
      </c>
      <c r="I49" s="481">
        <v>-148400</v>
      </c>
      <c r="J49" s="38" t="s">
        <v>40</v>
      </c>
      <c r="K49" s="38" t="s">
        <v>314</v>
      </c>
      <c r="M49" s="619">
        <f>M45-M46-M47+M48</f>
        <v>14146</v>
      </c>
      <c r="N49" s="619">
        <f>N45-N46-N47+N48</f>
        <v>60527</v>
      </c>
      <c r="O49" s="619">
        <f>O45-O46-O47+O48</f>
        <v>76948</v>
      </c>
      <c r="P49" s="619">
        <f>P45-P46-P47+P48</f>
        <v>97505</v>
      </c>
    </row>
    <row r="50" spans="1:22" s="38" customFormat="1" ht="22.5" x14ac:dyDescent="0.25">
      <c r="A50" s="78" t="s">
        <v>22</v>
      </c>
      <c r="B50" s="78" t="str">
        <f>IF(ISBLANK(A50),"","I"&amp;COUNTA($A$31:A50))</f>
        <v>I18</v>
      </c>
      <c r="C50" s="526" t="s">
        <v>55</v>
      </c>
      <c r="D50" s="79" t="s">
        <v>22</v>
      </c>
      <c r="E50" s="79" t="s">
        <v>24</v>
      </c>
      <c r="F50" s="481">
        <v>-1339</v>
      </c>
      <c r="G50" s="481">
        <v>-1607</v>
      </c>
      <c r="H50" s="481">
        <v>-1607</v>
      </c>
      <c r="I50" s="481">
        <v>-1607</v>
      </c>
      <c r="J50" s="144" t="s">
        <v>377</v>
      </c>
      <c r="K50" s="38" t="s">
        <v>319</v>
      </c>
      <c r="M50" s="617">
        <v>6500000</v>
      </c>
      <c r="N50" s="617">
        <v>6500000</v>
      </c>
      <c r="O50" s="617">
        <v>6500000</v>
      </c>
      <c r="P50" s="617">
        <v>6500000</v>
      </c>
    </row>
    <row r="51" spans="1:22" s="38" customFormat="1" ht="22.5" x14ac:dyDescent="0.25">
      <c r="A51" s="78" t="s">
        <v>22</v>
      </c>
      <c r="B51" s="78" t="str">
        <f>IF(ISBLANK(A51),"","I"&amp;COUNTA($A$31:A51))</f>
        <v>I19</v>
      </c>
      <c r="C51" s="526" t="s">
        <v>57</v>
      </c>
      <c r="D51" s="79" t="s">
        <v>22</v>
      </c>
      <c r="E51" s="79" t="s">
        <v>24</v>
      </c>
      <c r="F51" s="481">
        <v>-2000</v>
      </c>
      <c r="G51" s="481">
        <v>-2000</v>
      </c>
      <c r="H51" s="481">
        <v>-2000</v>
      </c>
      <c r="I51" s="481">
        <v>-2000</v>
      </c>
      <c r="J51" s="144" t="s">
        <v>58</v>
      </c>
      <c r="K51" s="38" t="s">
        <v>320</v>
      </c>
      <c r="M51" s="618">
        <f>M49/M50</f>
        <v>2.1763076923076922E-3</v>
      </c>
      <c r="N51" s="618">
        <f>N49/N50</f>
        <v>9.3118461538461532E-3</v>
      </c>
      <c r="O51" s="618">
        <f>O49/O50</f>
        <v>1.1838153846153845E-2</v>
      </c>
      <c r="P51" s="618">
        <f>P49/P50</f>
        <v>1.5000769230769231E-2</v>
      </c>
    </row>
    <row r="52" spans="1:22" s="38" customFormat="1" ht="22.5" x14ac:dyDescent="0.25">
      <c r="A52" s="78" t="s">
        <v>22</v>
      </c>
      <c r="B52" s="78" t="str">
        <f>IF(ISBLANK(A52),"","I"&amp;COUNTA($A$31:A52))</f>
        <v>I20</v>
      </c>
      <c r="C52" s="526" t="s">
        <v>59</v>
      </c>
      <c r="D52" s="79" t="s">
        <v>22</v>
      </c>
      <c r="E52" s="79" t="s">
        <v>24</v>
      </c>
      <c r="F52" s="481">
        <v>-5200</v>
      </c>
      <c r="G52" s="481">
        <v>-5000</v>
      </c>
      <c r="H52" s="481">
        <v>-4500</v>
      </c>
      <c r="I52" s="481">
        <v>-4200</v>
      </c>
      <c r="J52" s="38" t="s">
        <v>40</v>
      </c>
    </row>
    <row r="53" spans="1:22" s="38" customFormat="1" ht="20.25" customHeight="1" x14ac:dyDescent="0.25">
      <c r="A53" s="78"/>
      <c r="B53" s="78"/>
      <c r="C53" s="526" t="s">
        <v>60</v>
      </c>
      <c r="D53" s="79" t="s">
        <v>22</v>
      </c>
      <c r="E53" s="79" t="s">
        <v>24</v>
      </c>
      <c r="F53" s="481"/>
      <c r="G53" s="481"/>
      <c r="H53" s="481"/>
      <c r="I53" s="481"/>
      <c r="J53" s="144" t="s">
        <v>61</v>
      </c>
    </row>
    <row r="54" spans="1:22" s="38" customFormat="1" ht="25.5" customHeight="1" x14ac:dyDescent="0.25">
      <c r="A54" s="78" t="s">
        <v>22</v>
      </c>
      <c r="B54" s="78" t="str">
        <f>IF(ISBLANK(A54),"","I"&amp;COUNTA($A$31:A54))</f>
        <v>I21</v>
      </c>
      <c r="C54" s="526" t="s">
        <v>62</v>
      </c>
      <c r="D54" s="79" t="s">
        <v>22</v>
      </c>
      <c r="E54" s="79" t="s">
        <v>24</v>
      </c>
      <c r="F54" s="481">
        <v>-500</v>
      </c>
      <c r="G54" s="481">
        <v>-500</v>
      </c>
      <c r="H54" s="481">
        <v>-500</v>
      </c>
      <c r="I54" s="481">
        <v>-500</v>
      </c>
      <c r="J54" s="144" t="s">
        <v>63</v>
      </c>
    </row>
    <row r="55" spans="1:22" s="38" customFormat="1" ht="22.5" x14ac:dyDescent="0.25">
      <c r="A55" s="78" t="s">
        <v>22</v>
      </c>
      <c r="B55" s="78" t="str">
        <f>IF(ISBLANK(A55),"","I"&amp;COUNTA($A$31:A55))</f>
        <v>I22</v>
      </c>
      <c r="C55" s="526" t="s">
        <v>64</v>
      </c>
      <c r="D55" s="79" t="s">
        <v>22</v>
      </c>
      <c r="E55" s="79" t="s">
        <v>24</v>
      </c>
      <c r="F55" s="595">
        <f>225000-78854</f>
        <v>146146</v>
      </c>
      <c r="G55" s="595">
        <f>180000-57473</f>
        <v>122527</v>
      </c>
      <c r="H55" s="595">
        <f>180000-85052</f>
        <v>94948</v>
      </c>
      <c r="I55" s="595">
        <f>180000-82495</f>
        <v>97505</v>
      </c>
      <c r="J55" s="38" t="s">
        <v>378</v>
      </c>
    </row>
    <row r="56" spans="1:22" s="38" customFormat="1" ht="21" customHeight="1" x14ac:dyDescent="0.25">
      <c r="A56" s="78"/>
      <c r="B56" s="78"/>
      <c r="C56" s="98" t="s">
        <v>68</v>
      </c>
      <c r="D56" s="79" t="s">
        <v>22</v>
      </c>
      <c r="E56" s="79" t="s">
        <v>24</v>
      </c>
      <c r="F56" s="481"/>
      <c r="G56" s="481"/>
      <c r="H56" s="481"/>
      <c r="I56" s="481"/>
    </row>
    <row r="57" spans="1:22" s="38" customFormat="1" ht="22.5" x14ac:dyDescent="0.25">
      <c r="A57" s="78" t="s">
        <v>22</v>
      </c>
      <c r="B57" s="78" t="str">
        <f>IF(ISBLANK(A57),"","I"&amp;COUNTA($A$31:A57))</f>
        <v>I23</v>
      </c>
      <c r="C57" s="526" t="s">
        <v>69</v>
      </c>
      <c r="D57" s="79" t="s">
        <v>22</v>
      </c>
      <c r="E57" s="79" t="s">
        <v>24</v>
      </c>
      <c r="F57" s="481">
        <v>340000</v>
      </c>
      <c r="G57" s="481">
        <v>350000</v>
      </c>
      <c r="H57" s="481">
        <v>360000</v>
      </c>
      <c r="I57" s="481">
        <v>370000</v>
      </c>
      <c r="J57" s="38" t="s">
        <v>70</v>
      </c>
      <c r="S57" s="339">
        <f>M37+F95+F152+F187+F190+F195+F199+F218+F244</f>
        <v>129796</v>
      </c>
      <c r="T57" s="339">
        <f>N37-6500</f>
        <v>116027</v>
      </c>
      <c r="U57" s="339">
        <f>O37</f>
        <v>94948</v>
      </c>
      <c r="V57" s="339">
        <f>P37</f>
        <v>97505</v>
      </c>
    </row>
    <row r="58" spans="1:22" s="38" customFormat="1" ht="22.5" x14ac:dyDescent="0.25">
      <c r="A58" s="45" t="s">
        <v>22</v>
      </c>
      <c r="B58" s="78" t="str">
        <f>IF(ISBLANK(A58),"","I"&amp;COUNTA($A$31:A58))</f>
        <v>I24</v>
      </c>
      <c r="C58" s="526" t="s">
        <v>71</v>
      </c>
      <c r="D58" s="79" t="s">
        <v>22</v>
      </c>
      <c r="E58" s="79" t="s">
        <v>24</v>
      </c>
      <c r="F58" s="481">
        <v>-340000</v>
      </c>
      <c r="G58" s="481">
        <v>-350000</v>
      </c>
      <c r="H58" s="481">
        <v>-360000</v>
      </c>
      <c r="I58" s="481">
        <v>-370000</v>
      </c>
      <c r="J58" s="38" t="s">
        <v>70</v>
      </c>
      <c r="S58" s="621">
        <f>S57/M38</f>
        <v>1.9968615384615383E-2</v>
      </c>
      <c r="T58" s="621">
        <f>T57/N38</f>
        <v>1.7850307692307693E-2</v>
      </c>
      <c r="U58" s="621">
        <f>U57/O38</f>
        <v>1.4607384615384616E-2</v>
      </c>
      <c r="V58" s="621">
        <f>V57/P38</f>
        <v>1.5000769230769231E-2</v>
      </c>
    </row>
    <row r="59" spans="1:22" s="38" customFormat="1" ht="22.5" x14ac:dyDescent="0.25">
      <c r="A59" s="45" t="s">
        <v>22</v>
      </c>
      <c r="B59" s="78" t="str">
        <f>IF(ISBLANK(A59),"","I"&amp;COUNTA($A$31:A59))</f>
        <v>I25</v>
      </c>
      <c r="C59" s="526" t="s">
        <v>72</v>
      </c>
      <c r="D59" s="79" t="s">
        <v>22</v>
      </c>
      <c r="E59" s="79" t="s">
        <v>24</v>
      </c>
      <c r="F59" s="481">
        <v>-27043</v>
      </c>
      <c r="G59" s="481">
        <v>-27162</v>
      </c>
      <c r="H59" s="481">
        <v>-28274</v>
      </c>
      <c r="I59" s="481">
        <v>-30191</v>
      </c>
      <c r="J59" s="293" t="s">
        <v>73</v>
      </c>
    </row>
    <row r="60" spans="1:22" s="38" customFormat="1" ht="22.5" x14ac:dyDescent="0.25">
      <c r="A60" s="45" t="s">
        <v>22</v>
      </c>
      <c r="B60" s="78" t="str">
        <f>IF(ISBLANK(A60),"","I"&amp;COUNTA($A$31:A60))</f>
        <v>I26</v>
      </c>
      <c r="C60" s="526" t="s">
        <v>74</v>
      </c>
      <c r="D60" s="79" t="s">
        <v>22</v>
      </c>
      <c r="E60" s="79" t="s">
        <v>24</v>
      </c>
      <c r="F60" s="481">
        <v>-54620</v>
      </c>
      <c r="G60" s="481">
        <v>-59551</v>
      </c>
      <c r="H60" s="481">
        <v>-65379</v>
      </c>
      <c r="I60" s="481">
        <v>-71940</v>
      </c>
      <c r="J60" s="293" t="s">
        <v>73</v>
      </c>
    </row>
    <row r="61" spans="1:22" s="38" customFormat="1" ht="22.5" x14ac:dyDescent="0.25">
      <c r="A61" s="45" t="s">
        <v>22</v>
      </c>
      <c r="B61" s="78" t="str">
        <f>IF(ISBLANK(A61),"","I"&amp;COUNTA($A$31:A61))</f>
        <v>I27</v>
      </c>
      <c r="C61" s="98" t="s">
        <v>75</v>
      </c>
      <c r="D61" s="79" t="s">
        <v>22</v>
      </c>
      <c r="E61" s="79" t="s">
        <v>24</v>
      </c>
      <c r="F61" s="481">
        <v>-759</v>
      </c>
      <c r="G61" s="481">
        <v>-1311</v>
      </c>
      <c r="H61" s="481">
        <v>-2837</v>
      </c>
      <c r="I61" s="481">
        <v>-3574</v>
      </c>
      <c r="J61" s="293" t="s">
        <v>73</v>
      </c>
    </row>
    <row r="62" spans="1:22" s="38" customFormat="1" ht="22.5" x14ac:dyDescent="0.25">
      <c r="A62" s="78" t="s">
        <v>22</v>
      </c>
      <c r="B62" s="78" t="str">
        <f>IF(ISBLANK(A62),"","I"&amp;COUNTA($A$31:A62))</f>
        <v>I28</v>
      </c>
      <c r="C62" s="98"/>
      <c r="D62" s="79" t="s">
        <v>22</v>
      </c>
      <c r="E62" s="79" t="s">
        <v>24</v>
      </c>
      <c r="F62" s="90"/>
      <c r="G62" s="90"/>
      <c r="H62" s="90"/>
      <c r="I62" s="90"/>
    </row>
    <row r="63" spans="1:22" s="38" customFormat="1" ht="22.5" x14ac:dyDescent="0.25">
      <c r="A63" s="78" t="s">
        <v>22</v>
      </c>
      <c r="B63" s="78" t="str">
        <f>IF(ISBLANK(A63),"","I"&amp;COUNTA($A$31:A63))</f>
        <v>I29</v>
      </c>
      <c r="C63" s="98"/>
      <c r="D63" s="79" t="s">
        <v>22</v>
      </c>
      <c r="E63" s="79" t="s">
        <v>24</v>
      </c>
      <c r="F63" s="90"/>
      <c r="G63" s="90"/>
      <c r="H63" s="90"/>
      <c r="I63" s="90"/>
    </row>
    <row r="64" spans="1:22" s="38" customFormat="1" x14ac:dyDescent="0.25">
      <c r="A64" s="244"/>
      <c r="B64" s="244"/>
      <c r="C64" s="245"/>
      <c r="D64" s="214"/>
      <c r="E64" s="111"/>
      <c r="F64" s="110"/>
      <c r="G64" s="110"/>
      <c r="H64" s="110"/>
      <c r="I64" s="110"/>
    </row>
    <row r="65" spans="1:10" s="38" customFormat="1" x14ac:dyDescent="0.25">
      <c r="A65" s="43"/>
      <c r="B65" s="43"/>
      <c r="C65" s="3" t="s">
        <v>76</v>
      </c>
      <c r="D65" s="63"/>
      <c r="E65" s="63"/>
      <c r="F65" s="9">
        <f>SUMIF($A:$A,"SENT.INNT",F:F)</f>
        <v>-5401937</v>
      </c>
      <c r="G65" s="9">
        <f>SUMIF($A:$A,"SENT.INNT",G:G)</f>
        <v>-5353511</v>
      </c>
      <c r="H65" s="9">
        <f>SUMIF($A:$A,"SENT.INNT",H:H)</f>
        <v>-5316767</v>
      </c>
      <c r="I65" s="9">
        <f>SUMIF($A:$A,"SENT.INNT",I:I)</f>
        <v>-5308745</v>
      </c>
    </row>
    <row r="66" spans="1:10" s="38" customFormat="1" x14ac:dyDescent="0.25">
      <c r="A66" s="46"/>
      <c r="B66" s="46"/>
      <c r="C66" s="3" t="s">
        <v>77</v>
      </c>
      <c r="D66" s="52"/>
      <c r="E66" s="52"/>
      <c r="F66" s="9">
        <f>F4</f>
        <v>4902782</v>
      </c>
      <c r="G66" s="9">
        <f>G4</f>
        <v>4902782</v>
      </c>
      <c r="H66" s="9">
        <f>H4</f>
        <v>4902782</v>
      </c>
      <c r="I66" s="9">
        <f>I4</f>
        <v>4902782</v>
      </c>
    </row>
    <row r="67" spans="1:10" s="38" customFormat="1" x14ac:dyDescent="0.25">
      <c r="A67" s="43"/>
      <c r="B67" s="43"/>
      <c r="C67" s="3" t="s">
        <v>78</v>
      </c>
      <c r="D67" s="52"/>
      <c r="E67" s="52"/>
      <c r="F67" s="9">
        <f>F65+F66</f>
        <v>-499155</v>
      </c>
      <c r="G67" s="9">
        <f>G65+G66</f>
        <v>-450729</v>
      </c>
      <c r="H67" s="9">
        <f>H65+H66</f>
        <v>-413985</v>
      </c>
      <c r="I67" s="9">
        <f>I65+I66</f>
        <v>-405963</v>
      </c>
    </row>
    <row r="68" spans="1:10" s="38" customFormat="1" x14ac:dyDescent="0.25">
      <c r="A68" s="47"/>
      <c r="B68" s="47"/>
      <c r="C68" s="11"/>
      <c r="D68" s="49"/>
      <c r="E68" s="49"/>
      <c r="F68" s="12"/>
      <c r="G68" s="12"/>
      <c r="H68" s="12"/>
      <c r="I68" s="12"/>
    </row>
    <row r="69" spans="1:10" s="1" customFormat="1" x14ac:dyDescent="0.25">
      <c r="A69" s="48"/>
      <c r="B69" s="48"/>
      <c r="C69" s="13" t="s">
        <v>79</v>
      </c>
      <c r="D69" s="50"/>
      <c r="E69" s="50"/>
      <c r="F69" s="14"/>
      <c r="G69" s="14"/>
      <c r="H69" s="14"/>
      <c r="I69" s="14"/>
    </row>
    <row r="70" spans="1:10" s="38" customFormat="1" x14ac:dyDescent="0.25">
      <c r="A70" s="72"/>
      <c r="B70" s="341"/>
      <c r="C70" s="246" t="s">
        <v>80</v>
      </c>
      <c r="D70" s="83"/>
      <c r="E70" s="83"/>
      <c r="F70" s="4">
        <v>2023</v>
      </c>
      <c r="G70" s="4">
        <v>2024</v>
      </c>
      <c r="H70" s="4">
        <f>G70+1</f>
        <v>2025</v>
      </c>
      <c r="I70" s="4">
        <f>H70+1</f>
        <v>2026</v>
      </c>
    </row>
    <row r="71" spans="1:10" s="38" customFormat="1" ht="14.25" customHeight="1" x14ac:dyDescent="0.25">
      <c r="A71" s="78" t="s">
        <v>81</v>
      </c>
      <c r="B71" s="78" t="str">
        <f>IF(ISBLANK(A71),"","OV"&amp;COUNTA($A$71:A71))</f>
        <v>OV1</v>
      </c>
      <c r="C71" s="245" t="s">
        <v>82</v>
      </c>
      <c r="D71" s="72" t="s">
        <v>83</v>
      </c>
      <c r="E71" s="79" t="s">
        <v>84</v>
      </c>
      <c r="F71" s="217">
        <v>9023</v>
      </c>
      <c r="G71" s="217">
        <v>12060</v>
      </c>
      <c r="H71" s="217">
        <v>12626</v>
      </c>
      <c r="I71" s="217">
        <v>11906</v>
      </c>
      <c r="J71" s="38" t="s">
        <v>321</v>
      </c>
    </row>
    <row r="72" spans="1:10" s="38" customFormat="1" x14ac:dyDescent="0.25">
      <c r="A72" s="78" t="s">
        <v>81</v>
      </c>
      <c r="B72" s="78" t="str">
        <f>IF(ISBLANK(A72),"","OV"&amp;COUNTA($A$71:A72))</f>
        <v>OV2</v>
      </c>
      <c r="C72" s="245" t="s">
        <v>85</v>
      </c>
      <c r="D72" s="72" t="s">
        <v>83</v>
      </c>
      <c r="E72" s="79" t="s">
        <v>84</v>
      </c>
      <c r="F72" s="217">
        <v>877</v>
      </c>
      <c r="G72" s="217">
        <v>877</v>
      </c>
      <c r="H72" s="217">
        <v>877</v>
      </c>
      <c r="I72" s="217">
        <v>877</v>
      </c>
      <c r="J72" s="38" t="s">
        <v>321</v>
      </c>
    </row>
    <row r="73" spans="1:10" s="38" customFormat="1" x14ac:dyDescent="0.25">
      <c r="A73" s="78" t="s">
        <v>81</v>
      </c>
      <c r="B73" s="78" t="str">
        <f>IF(ISBLANK(A73),"","OV"&amp;COUNTA($A$71:A73))</f>
        <v>OV3</v>
      </c>
      <c r="C73" s="245" t="s">
        <v>86</v>
      </c>
      <c r="D73" s="72" t="s">
        <v>83</v>
      </c>
      <c r="E73" s="79" t="s">
        <v>84</v>
      </c>
      <c r="F73" s="217">
        <v>1456</v>
      </c>
      <c r="G73" s="217">
        <v>1946</v>
      </c>
      <c r="H73" s="217">
        <v>2038</v>
      </c>
      <c r="I73" s="217">
        <v>1922</v>
      </c>
      <c r="J73" s="38" t="s">
        <v>321</v>
      </c>
    </row>
    <row r="74" spans="1:10" s="38" customFormat="1" x14ac:dyDescent="0.25">
      <c r="A74" s="78" t="s">
        <v>81</v>
      </c>
      <c r="B74" s="78" t="str">
        <f>IF(ISBLANK(A74),"","OV"&amp;COUNTA($A$71:A74))</f>
        <v>OV4</v>
      </c>
      <c r="C74" s="245" t="s">
        <v>87</v>
      </c>
      <c r="D74" s="72" t="s">
        <v>83</v>
      </c>
      <c r="E74" s="79" t="s">
        <v>84</v>
      </c>
      <c r="F74" s="217">
        <v>142</v>
      </c>
      <c r="G74" s="217">
        <v>142</v>
      </c>
      <c r="H74" s="217">
        <v>142</v>
      </c>
      <c r="I74" s="217">
        <v>142</v>
      </c>
      <c r="J74" s="38" t="s">
        <v>321</v>
      </c>
    </row>
    <row r="75" spans="1:10" s="38" customFormat="1" x14ac:dyDescent="0.25">
      <c r="A75" s="78" t="s">
        <v>81</v>
      </c>
      <c r="B75" s="78" t="str">
        <f>IF(ISBLANK(A75),"","OV"&amp;COUNTA($A$71:A75))</f>
        <v>OV5</v>
      </c>
      <c r="C75" s="245" t="s">
        <v>88</v>
      </c>
      <c r="D75" s="72" t="s">
        <v>89</v>
      </c>
      <c r="E75" s="79" t="s">
        <v>84</v>
      </c>
      <c r="F75" s="217">
        <v>0</v>
      </c>
      <c r="G75" s="217">
        <v>-852</v>
      </c>
      <c r="H75" s="217">
        <v>-852</v>
      </c>
      <c r="I75" s="217">
        <v>-852</v>
      </c>
    </row>
    <row r="76" spans="1:10" s="38" customFormat="1" ht="34.5" customHeight="1" x14ac:dyDescent="0.25">
      <c r="A76" s="78" t="s">
        <v>81</v>
      </c>
      <c r="B76" s="78" t="str">
        <f>IF(ISBLANK(A76),"","OV"&amp;COUNTA($A$71:A76))</f>
        <v>OV6</v>
      </c>
      <c r="C76" s="245" t="s">
        <v>90</v>
      </c>
      <c r="D76" s="72" t="s">
        <v>91</v>
      </c>
      <c r="E76" s="79" t="s">
        <v>24</v>
      </c>
      <c r="F76" s="398">
        <v>7400</v>
      </c>
      <c r="G76" s="398">
        <v>7400</v>
      </c>
      <c r="H76" s="398">
        <v>7400</v>
      </c>
      <c r="I76" s="398">
        <v>7400</v>
      </c>
      <c r="J76" s="293" t="s">
        <v>322</v>
      </c>
    </row>
    <row r="77" spans="1:10" s="38" customFormat="1" x14ac:dyDescent="0.25">
      <c r="A77" s="78" t="s">
        <v>81</v>
      </c>
      <c r="B77" s="78" t="str">
        <f>IF(ISBLANK(A77),"","OV"&amp;COUNTA($A$71:A77))</f>
        <v>OV7</v>
      </c>
      <c r="C77" s="569" t="s">
        <v>92</v>
      </c>
      <c r="D77" s="570" t="s">
        <v>91</v>
      </c>
      <c r="E77" s="568" t="s">
        <v>24</v>
      </c>
      <c r="F77" s="575">
        <v>6000</v>
      </c>
      <c r="G77" s="575">
        <v>6000</v>
      </c>
      <c r="H77" s="575"/>
      <c r="I77" s="575"/>
      <c r="J77" s="95">
        <f>F77+F84+F90+F98+F99+F100+F135+F137+F138+F139</f>
        <v>60800</v>
      </c>
    </row>
    <row r="78" spans="1:10" s="38" customFormat="1" x14ac:dyDescent="0.25">
      <c r="A78" s="78" t="s">
        <v>81</v>
      </c>
      <c r="B78" s="78" t="str">
        <f>IF(ISBLANK(A78),"","OV"&amp;COUNTA($A$71:A78))</f>
        <v>OV8</v>
      </c>
      <c r="C78" s="245" t="s">
        <v>93</v>
      </c>
      <c r="D78" s="72" t="s">
        <v>83</v>
      </c>
      <c r="E78" s="79" t="s">
        <v>84</v>
      </c>
      <c r="F78" s="217">
        <v>157</v>
      </c>
      <c r="G78" s="217">
        <v>210</v>
      </c>
      <c r="H78" s="217">
        <v>220</v>
      </c>
      <c r="I78" s="217">
        <v>208</v>
      </c>
      <c r="J78" s="38" t="s">
        <v>321</v>
      </c>
    </row>
    <row r="79" spans="1:10" s="38" customFormat="1" x14ac:dyDescent="0.25">
      <c r="A79" s="78" t="s">
        <v>81</v>
      </c>
      <c r="B79" s="78" t="str">
        <f>IF(ISBLANK(A79),"","OV"&amp;COUNTA($A$71:A79))</f>
        <v>OV9</v>
      </c>
      <c r="C79" s="245" t="s">
        <v>94</v>
      </c>
      <c r="D79" s="72" t="s">
        <v>83</v>
      </c>
      <c r="E79" s="79" t="s">
        <v>84</v>
      </c>
      <c r="F79" s="217">
        <v>15</v>
      </c>
      <c r="G79" s="217">
        <v>15</v>
      </c>
      <c r="H79" s="217">
        <v>15</v>
      </c>
      <c r="I79" s="217">
        <v>15</v>
      </c>
      <c r="J79" s="38" t="s">
        <v>321</v>
      </c>
    </row>
    <row r="80" spans="1:10" s="38" customFormat="1" x14ac:dyDescent="0.25">
      <c r="A80" s="78" t="s">
        <v>81</v>
      </c>
      <c r="B80" s="78" t="str">
        <f>IF(ISBLANK(A80),"","OV"&amp;COUNTA($A$71:A80))</f>
        <v>OV10</v>
      </c>
      <c r="C80" s="245" t="s">
        <v>95</v>
      </c>
      <c r="D80" s="72" t="s">
        <v>83</v>
      </c>
      <c r="E80" s="79" t="s">
        <v>84</v>
      </c>
      <c r="F80" s="217">
        <v>12550</v>
      </c>
      <c r="G80" s="217">
        <v>12550</v>
      </c>
      <c r="H80" s="217">
        <v>12550</v>
      </c>
      <c r="I80" s="217">
        <v>12550</v>
      </c>
    </row>
    <row r="81" spans="1:11" s="38" customFormat="1" x14ac:dyDescent="0.25">
      <c r="A81" s="78" t="s">
        <v>81</v>
      </c>
      <c r="B81" s="78" t="str">
        <f>IF(ISBLANK(A81),"","OV"&amp;COUNTA($A$71:A81))</f>
        <v>OV11</v>
      </c>
      <c r="C81" s="245" t="s">
        <v>96</v>
      </c>
      <c r="D81" s="72" t="s">
        <v>83</v>
      </c>
      <c r="E81" s="79" t="s">
        <v>84</v>
      </c>
      <c r="F81" s="217">
        <v>-12550</v>
      </c>
      <c r="G81" s="217">
        <v>-12550</v>
      </c>
      <c r="H81" s="217">
        <v>-12550</v>
      </c>
      <c r="I81" s="217">
        <v>-12550</v>
      </c>
    </row>
    <row r="82" spans="1:11" s="38" customFormat="1" x14ac:dyDescent="0.25">
      <c r="A82" s="78" t="s">
        <v>81</v>
      </c>
      <c r="B82" s="78" t="str">
        <f>IF(ISBLANK(A82),"","OV"&amp;COUNTA($A$71:A82))</f>
        <v>OV12</v>
      </c>
      <c r="C82" s="245" t="s">
        <v>101</v>
      </c>
      <c r="D82" s="72" t="s">
        <v>91</v>
      </c>
      <c r="E82" s="79" t="s">
        <v>24</v>
      </c>
      <c r="F82" s="217">
        <v>600</v>
      </c>
      <c r="G82" s="217">
        <v>600</v>
      </c>
      <c r="H82" s="217">
        <v>600</v>
      </c>
      <c r="I82" s="217">
        <v>600</v>
      </c>
    </row>
    <row r="83" spans="1:11" s="38" customFormat="1" x14ac:dyDescent="0.25">
      <c r="A83" s="78" t="s">
        <v>81</v>
      </c>
      <c r="B83" s="78" t="str">
        <f>IF(ISBLANK(A83),"","OV"&amp;COUNTA($A$71:A83))</f>
        <v>OV13</v>
      </c>
      <c r="C83" s="245" t="s">
        <v>102</v>
      </c>
      <c r="D83" s="72" t="s">
        <v>91</v>
      </c>
      <c r="E83" s="79" t="s">
        <v>24</v>
      </c>
      <c r="F83" s="217">
        <v>840</v>
      </c>
      <c r="G83" s="217">
        <v>840</v>
      </c>
      <c r="H83" s="217">
        <v>840</v>
      </c>
      <c r="I83" s="217">
        <v>840</v>
      </c>
    </row>
    <row r="84" spans="1:11" s="38" customFormat="1" x14ac:dyDescent="0.25">
      <c r="A84" s="78" t="s">
        <v>81</v>
      </c>
      <c r="B84" s="78" t="str">
        <f>IF(ISBLANK(A84),"","OV"&amp;COUNTA($A$71:A84))</f>
        <v>OV14</v>
      </c>
      <c r="C84" s="569" t="s">
        <v>103</v>
      </c>
      <c r="D84" s="570" t="s">
        <v>91</v>
      </c>
      <c r="E84" s="568" t="s">
        <v>24</v>
      </c>
      <c r="F84" s="575">
        <v>0</v>
      </c>
      <c r="G84" s="575">
        <v>0</v>
      </c>
      <c r="H84" s="575"/>
      <c r="I84" s="575"/>
      <c r="J84" s="572" t="s">
        <v>324</v>
      </c>
    </row>
    <row r="85" spans="1:11" x14ac:dyDescent="0.25">
      <c r="A85" s="78" t="s">
        <v>81</v>
      </c>
      <c r="B85" s="78" t="str">
        <f>IF(ISBLANK(A85),"","OV"&amp;COUNTA($A$71:A85))</f>
        <v>OV15</v>
      </c>
      <c r="C85" s="245" t="s">
        <v>104</v>
      </c>
      <c r="D85" s="72" t="s">
        <v>91</v>
      </c>
      <c r="E85" s="79" t="s">
        <v>24</v>
      </c>
      <c r="F85" s="217">
        <v>6000</v>
      </c>
      <c r="G85" s="217">
        <v>6000</v>
      </c>
      <c r="H85" s="217">
        <v>6000</v>
      </c>
      <c r="I85" s="217">
        <v>6000</v>
      </c>
      <c r="K85" s="38"/>
    </row>
    <row r="86" spans="1:11" s="38" customFormat="1" x14ac:dyDescent="0.25">
      <c r="A86" s="78" t="s">
        <v>81</v>
      </c>
      <c r="B86" s="78" t="str">
        <f>IF(ISBLANK(A86),"","OV"&amp;COUNTA($A$71:A86))</f>
        <v>OV16</v>
      </c>
      <c r="C86" s="245" t="s">
        <v>105</v>
      </c>
      <c r="D86" s="72" t="s">
        <v>91</v>
      </c>
      <c r="E86" s="71" t="s">
        <v>24</v>
      </c>
      <c r="F86" s="484">
        <v>18500</v>
      </c>
      <c r="G86" s="484">
        <v>18500</v>
      </c>
      <c r="H86" s="484">
        <v>18500</v>
      </c>
      <c r="I86" s="484">
        <v>18500</v>
      </c>
    </row>
    <row r="87" spans="1:11" s="1" customFormat="1" x14ac:dyDescent="0.25">
      <c r="A87" s="78"/>
      <c r="B87" s="78" t="str">
        <f>IF(ISBLANK(A87),"","OV"&amp;COUNTA($A$71:A87))</f>
        <v/>
      </c>
      <c r="C87" s="16" t="s">
        <v>112</v>
      </c>
      <c r="D87" s="50"/>
      <c r="E87" s="50"/>
      <c r="F87" s="4">
        <f>F70</f>
        <v>2023</v>
      </c>
      <c r="G87" s="4">
        <f>F87+1</f>
        <v>2024</v>
      </c>
      <c r="H87" s="4">
        <f>G87+1</f>
        <v>2025</v>
      </c>
      <c r="I87" s="4">
        <f>H87+1</f>
        <v>2026</v>
      </c>
      <c r="K87" s="38"/>
    </row>
    <row r="88" spans="1:11" s="38" customFormat="1" x14ac:dyDescent="0.25">
      <c r="A88" s="78" t="s">
        <v>81</v>
      </c>
      <c r="B88" s="78" t="str">
        <f>IF(ISBLANK(A88),"","OV"&amp;COUNTA($A$71:A88))</f>
        <v>OV17</v>
      </c>
      <c r="C88" s="480" t="s">
        <v>113</v>
      </c>
      <c r="D88" s="79" t="s">
        <v>83</v>
      </c>
      <c r="E88" s="79" t="s">
        <v>84</v>
      </c>
      <c r="F88" s="413">
        <v>31300</v>
      </c>
      <c r="G88" s="413">
        <v>31300</v>
      </c>
      <c r="H88" s="413">
        <v>31300</v>
      </c>
      <c r="I88" s="413">
        <v>31300</v>
      </c>
      <c r="J88" s="144" t="s">
        <v>379</v>
      </c>
    </row>
    <row r="89" spans="1:11" s="38" customFormat="1" x14ac:dyDescent="0.25">
      <c r="A89" s="78" t="s">
        <v>81</v>
      </c>
      <c r="B89" s="78" t="str">
        <f>IF(ISBLANK(A89),"","OV"&amp;COUNTA($A$71:A89))</f>
        <v>OV18</v>
      </c>
      <c r="C89" s="480" t="s">
        <v>114</v>
      </c>
      <c r="D89" s="79" t="s">
        <v>91</v>
      </c>
      <c r="E89" s="79" t="s">
        <v>24</v>
      </c>
      <c r="F89" s="608">
        <v>2600</v>
      </c>
      <c r="G89" s="608">
        <v>5200</v>
      </c>
      <c r="H89" s="608">
        <v>5200</v>
      </c>
      <c r="I89" s="608">
        <v>5200</v>
      </c>
      <c r="J89" s="144" t="s">
        <v>380</v>
      </c>
    </row>
    <row r="90" spans="1:11" s="38" customFormat="1" x14ac:dyDescent="0.25">
      <c r="A90" s="78" t="s">
        <v>81</v>
      </c>
      <c r="B90" s="78" t="str">
        <f>IF(ISBLANK(A90),"","OV"&amp;COUNTA($A$71:A90))</f>
        <v>OV19</v>
      </c>
      <c r="C90" s="569" t="s">
        <v>116</v>
      </c>
      <c r="D90" s="577" t="s">
        <v>91</v>
      </c>
      <c r="E90" s="573" t="s">
        <v>24</v>
      </c>
      <c r="F90" s="572">
        <v>1600</v>
      </c>
      <c r="G90" s="572">
        <v>1600</v>
      </c>
      <c r="H90" s="572"/>
      <c r="I90" s="572"/>
      <c r="J90" s="144"/>
    </row>
    <row r="91" spans="1:11" s="38" customFormat="1" ht="30" x14ac:dyDescent="0.25">
      <c r="A91" s="78"/>
      <c r="B91" s="78" t="str">
        <f>IF(ISBLANK(A91),"","OV"&amp;COUNTA($A$71:A91))</f>
        <v/>
      </c>
      <c r="C91" s="82" t="s">
        <v>117</v>
      </c>
      <c r="D91" s="96"/>
      <c r="E91" s="71"/>
      <c r="F91" s="4">
        <f>F87</f>
        <v>2023</v>
      </c>
      <c r="G91" s="4">
        <f>F91+1</f>
        <v>2024</v>
      </c>
      <c r="H91" s="4">
        <f>G91+1</f>
        <v>2025</v>
      </c>
      <c r="I91" s="4">
        <f>H91+1</f>
        <v>2026</v>
      </c>
    </row>
    <row r="92" spans="1:11" s="38" customFormat="1" x14ac:dyDescent="0.25">
      <c r="A92" s="78" t="s">
        <v>81</v>
      </c>
      <c r="B92" s="78" t="str">
        <f>IF(ISBLANK(A92),"","OV"&amp;COUNTA($A$71:A92))</f>
        <v>OV20</v>
      </c>
      <c r="C92" s="480" t="s">
        <v>118</v>
      </c>
      <c r="D92" s="72" t="s">
        <v>83</v>
      </c>
      <c r="E92" s="79" t="s">
        <v>84</v>
      </c>
      <c r="F92" s="217">
        <v>5500</v>
      </c>
      <c r="G92" s="217">
        <v>0</v>
      </c>
      <c r="H92" s="217">
        <v>0</v>
      </c>
      <c r="I92" s="217">
        <v>0</v>
      </c>
    </row>
    <row r="93" spans="1:11" s="38" customFormat="1" ht="25.5" x14ac:dyDescent="0.25">
      <c r="A93" s="78" t="s">
        <v>81</v>
      </c>
      <c r="B93" s="78" t="str">
        <f>IF(ISBLANK(A93),"","OV"&amp;COUNTA($A$71:A93))</f>
        <v>OV21</v>
      </c>
      <c r="C93" s="480" t="s">
        <v>119</v>
      </c>
      <c r="D93" s="72" t="s">
        <v>89</v>
      </c>
      <c r="E93" s="111" t="s">
        <v>84</v>
      </c>
      <c r="F93" s="217">
        <v>5500</v>
      </c>
      <c r="G93" s="217">
        <v>0</v>
      </c>
      <c r="H93" s="217">
        <v>0</v>
      </c>
      <c r="I93" s="217">
        <v>0</v>
      </c>
    </row>
    <row r="94" spans="1:11" s="38" customFormat="1" x14ac:dyDescent="0.25">
      <c r="A94" s="78" t="s">
        <v>81</v>
      </c>
      <c r="B94" s="78" t="str">
        <f>IF(ISBLANK(A94),"","OV"&amp;COUNTA($A$71:A94))</f>
        <v>OV22</v>
      </c>
      <c r="C94" s="480" t="s">
        <v>120</v>
      </c>
      <c r="D94" s="72" t="s">
        <v>89</v>
      </c>
      <c r="E94" s="111" t="s">
        <v>84</v>
      </c>
      <c r="F94" s="217">
        <v>0</v>
      </c>
      <c r="G94" s="217">
        <v>4000</v>
      </c>
      <c r="H94" s="217">
        <v>4000</v>
      </c>
      <c r="I94" s="217">
        <v>4000</v>
      </c>
    </row>
    <row r="95" spans="1:11" s="38" customFormat="1" x14ac:dyDescent="0.25">
      <c r="A95" s="78" t="s">
        <v>81</v>
      </c>
      <c r="B95" s="78" t="str">
        <f>IF(ISBLANK(A95),"","OV"&amp;COUNTA($A$71:A95))</f>
        <v>OV23</v>
      </c>
      <c r="C95" s="480" t="s">
        <v>121</v>
      </c>
      <c r="D95" s="72" t="s">
        <v>83</v>
      </c>
      <c r="E95" s="111" t="s">
        <v>84</v>
      </c>
      <c r="F95" s="217">
        <v>-11000</v>
      </c>
      <c r="G95" s="217">
        <v>0</v>
      </c>
      <c r="H95" s="217">
        <v>0</v>
      </c>
      <c r="I95" s="217">
        <v>0</v>
      </c>
      <c r="J95" s="609">
        <v>25701156</v>
      </c>
    </row>
    <row r="96" spans="1:11" s="38" customFormat="1" x14ac:dyDescent="0.25">
      <c r="A96" s="78" t="s">
        <v>81</v>
      </c>
      <c r="B96" s="78" t="str">
        <f>IF(ISBLANK(A96),"","OV"&amp;COUNTA($A$71:A96))</f>
        <v>OV24</v>
      </c>
      <c r="C96" s="480" t="s">
        <v>122</v>
      </c>
      <c r="D96" s="72" t="s">
        <v>91</v>
      </c>
      <c r="E96" s="111" t="s">
        <v>24</v>
      </c>
      <c r="F96" s="217">
        <v>3200</v>
      </c>
      <c r="G96" s="217">
        <v>3200</v>
      </c>
      <c r="H96" s="217">
        <v>3200</v>
      </c>
      <c r="I96" s="217">
        <v>3200</v>
      </c>
      <c r="J96" s="38" t="s">
        <v>327</v>
      </c>
    </row>
    <row r="97" spans="1:10" s="38" customFormat="1" x14ac:dyDescent="0.25">
      <c r="A97" s="78" t="s">
        <v>81</v>
      </c>
      <c r="B97" s="78" t="str">
        <f>IF(ISBLANK(A97),"","OV"&amp;COUNTA($A$71:A97))</f>
        <v>OV25</v>
      </c>
      <c r="C97" s="480" t="s">
        <v>123</v>
      </c>
      <c r="D97" s="72" t="s">
        <v>91</v>
      </c>
      <c r="E97" s="111" t="s">
        <v>24</v>
      </c>
      <c r="F97" s="398">
        <v>3700</v>
      </c>
      <c r="G97" s="398">
        <v>3700</v>
      </c>
      <c r="H97" s="398">
        <v>3700</v>
      </c>
      <c r="I97" s="398">
        <v>3700</v>
      </c>
      <c r="J97" s="38" t="s">
        <v>328</v>
      </c>
    </row>
    <row r="98" spans="1:10" s="38" customFormat="1" x14ac:dyDescent="0.25">
      <c r="A98" s="78" t="s">
        <v>81</v>
      </c>
      <c r="B98" s="78" t="str">
        <f>IF(ISBLANK(A98),"","OV"&amp;COUNTA($A$71:A98))</f>
        <v>OV26</v>
      </c>
      <c r="C98" s="569" t="s">
        <v>124</v>
      </c>
      <c r="D98" s="570" t="s">
        <v>91</v>
      </c>
      <c r="E98" s="571" t="s">
        <v>24</v>
      </c>
      <c r="F98" s="575">
        <v>300</v>
      </c>
      <c r="G98" s="575">
        <v>300</v>
      </c>
      <c r="H98" s="575"/>
      <c r="I98" s="575"/>
      <c r="J98" s="572" t="s">
        <v>329</v>
      </c>
    </row>
    <row r="99" spans="1:10" s="38" customFormat="1" x14ac:dyDescent="0.25">
      <c r="A99" s="78" t="s">
        <v>81</v>
      </c>
      <c r="B99" s="78" t="str">
        <f>IF(ISBLANK(A99),"","OV"&amp;COUNTA($A$71:A99))</f>
        <v>OV27</v>
      </c>
      <c r="C99" s="569" t="s">
        <v>125</v>
      </c>
      <c r="D99" s="570" t="s">
        <v>91</v>
      </c>
      <c r="E99" s="571" t="s">
        <v>24</v>
      </c>
      <c r="F99" s="575">
        <v>3200</v>
      </c>
      <c r="G99" s="575">
        <v>3200</v>
      </c>
      <c r="H99" s="575"/>
      <c r="I99" s="575"/>
      <c r="J99" s="572" t="s">
        <v>329</v>
      </c>
    </row>
    <row r="100" spans="1:10" s="38" customFormat="1" x14ac:dyDescent="0.25">
      <c r="A100" s="78" t="s">
        <v>81</v>
      </c>
      <c r="B100" s="78" t="str">
        <f>IF(ISBLANK(A100),"","OV"&amp;COUNTA($A$71:A100))</f>
        <v>OV28</v>
      </c>
      <c r="C100" s="569" t="s">
        <v>126</v>
      </c>
      <c r="D100" s="570" t="s">
        <v>91</v>
      </c>
      <c r="E100" s="571" t="s">
        <v>24</v>
      </c>
      <c r="F100" s="575">
        <v>2400</v>
      </c>
      <c r="G100" s="575">
        <v>2400</v>
      </c>
      <c r="H100" s="575"/>
      <c r="I100" s="575"/>
    </row>
    <row r="101" spans="1:10" s="38" customFormat="1" x14ac:dyDescent="0.25">
      <c r="A101" s="43"/>
      <c r="B101" s="43" t="s">
        <v>127</v>
      </c>
      <c r="C101" s="3" t="s">
        <v>128</v>
      </c>
      <c r="D101" s="52"/>
      <c r="E101" s="52"/>
      <c r="F101" s="56">
        <f>SUMIF($A:$A,"OPP",F:F)</f>
        <v>99310</v>
      </c>
      <c r="G101" s="56">
        <f>SUMIF($A:$A,"OPP",G:G)</f>
        <v>108638</v>
      </c>
      <c r="H101" s="56">
        <f>SUMIF($A:$A,"OPP",H:H)</f>
        <v>95806</v>
      </c>
      <c r="I101" s="56">
        <f>SUMIF($A:$A,"OPP",I:I)</f>
        <v>94958</v>
      </c>
    </row>
    <row r="102" spans="1:10" s="38" customFormat="1" x14ac:dyDescent="0.25">
      <c r="A102" s="47"/>
      <c r="B102" s="78"/>
      <c r="C102" s="11"/>
      <c r="D102" s="49"/>
      <c r="E102" s="49"/>
      <c r="F102" s="57"/>
      <c r="G102" s="57"/>
      <c r="H102" s="57"/>
      <c r="I102" s="57"/>
    </row>
    <row r="103" spans="1:10" s="38" customFormat="1" x14ac:dyDescent="0.25">
      <c r="A103" s="48"/>
      <c r="B103" s="78"/>
      <c r="C103" s="13" t="s">
        <v>129</v>
      </c>
      <c r="D103" s="50"/>
      <c r="E103" s="61"/>
      <c r="F103" s="58"/>
      <c r="G103" s="58"/>
      <c r="H103" s="58"/>
      <c r="I103" s="58"/>
    </row>
    <row r="104" spans="1:10" s="38" customFormat="1" x14ac:dyDescent="0.25">
      <c r="A104" s="78"/>
      <c r="B104" s="78"/>
      <c r="C104" s="82" t="s">
        <v>130</v>
      </c>
      <c r="D104" s="72"/>
      <c r="E104" s="71"/>
      <c r="F104" s="4">
        <f>F91</f>
        <v>2023</v>
      </c>
      <c r="G104" s="4">
        <f>F104+1</f>
        <v>2024</v>
      </c>
      <c r="H104" s="4">
        <f>G104+1</f>
        <v>2025</v>
      </c>
      <c r="I104" s="4">
        <f>H104+1</f>
        <v>2026</v>
      </c>
    </row>
    <row r="105" spans="1:10" s="38" customFormat="1" x14ac:dyDescent="0.25">
      <c r="A105" s="78" t="s">
        <v>131</v>
      </c>
      <c r="B105" s="78" t="str">
        <f>IF(ISBLANK(A105),"","H"&amp;COUNTA($A$105:A105))</f>
        <v>H1</v>
      </c>
      <c r="C105" s="245" t="s">
        <v>330</v>
      </c>
      <c r="D105" s="72" t="s">
        <v>89</v>
      </c>
      <c r="E105" s="71" t="s">
        <v>84</v>
      </c>
      <c r="F105" s="74">
        <v>0</v>
      </c>
      <c r="G105" s="90">
        <v>9000</v>
      </c>
      <c r="H105" s="74">
        <v>9000</v>
      </c>
      <c r="I105" s="70">
        <v>9000</v>
      </c>
      <c r="J105" s="38" t="s">
        <v>331</v>
      </c>
    </row>
    <row r="106" spans="1:10" s="38" customFormat="1" x14ac:dyDescent="0.25">
      <c r="A106" s="78"/>
      <c r="B106" s="78"/>
      <c r="C106" s="245"/>
      <c r="D106" s="72"/>
      <c r="E106" s="71"/>
      <c r="F106" s="481">
        <f>1650-1650</f>
        <v>0</v>
      </c>
      <c r="G106" s="481">
        <f>3600-3600</f>
        <v>0</v>
      </c>
      <c r="H106" s="481">
        <f>4900-4900</f>
        <v>0</v>
      </c>
      <c r="I106" s="481">
        <f>4900-4900</f>
        <v>0</v>
      </c>
    </row>
    <row r="107" spans="1:10" s="38" customFormat="1" x14ac:dyDescent="0.25">
      <c r="A107" s="78"/>
      <c r="B107" s="78"/>
      <c r="C107" s="480"/>
      <c r="D107" s="72"/>
      <c r="E107" s="71"/>
      <c r="F107" s="481"/>
      <c r="G107" s="481"/>
      <c r="H107" s="481"/>
      <c r="I107" s="481"/>
    </row>
    <row r="108" spans="1:10" s="38" customFormat="1" x14ac:dyDescent="0.25">
      <c r="A108" s="78"/>
      <c r="B108" s="78" t="str">
        <f>IF(ISBLANK(A108),"","H"&amp;COUNTA($A$105:A108))</f>
        <v/>
      </c>
      <c r="C108" s="82" t="s">
        <v>136</v>
      </c>
      <c r="D108" s="72"/>
      <c r="E108" s="71"/>
      <c r="F108" s="4">
        <f>F104</f>
        <v>2023</v>
      </c>
      <c r="G108" s="4">
        <f>F108+1</f>
        <v>2024</v>
      </c>
      <c r="H108" s="4">
        <f>G108+1</f>
        <v>2025</v>
      </c>
      <c r="I108" s="4">
        <f>H108+1</f>
        <v>2026</v>
      </c>
    </row>
    <row r="109" spans="1:10" s="38" customFormat="1" x14ac:dyDescent="0.25">
      <c r="A109" s="78" t="s">
        <v>131</v>
      </c>
      <c r="B109" s="78" t="str">
        <f>IF(ISBLANK(A109),"","H"&amp;COUNTA($A$105:A109))</f>
        <v>H2</v>
      </c>
      <c r="C109" s="245" t="s">
        <v>137</v>
      </c>
      <c r="D109" s="72" t="s">
        <v>89</v>
      </c>
      <c r="E109" s="71" t="s">
        <v>84</v>
      </c>
      <c r="F109" s="70">
        <v>2500</v>
      </c>
      <c r="G109" s="70">
        <v>5000</v>
      </c>
      <c r="H109" s="70">
        <v>7500</v>
      </c>
      <c r="I109" s="70">
        <v>10000</v>
      </c>
    </row>
    <row r="110" spans="1:10" s="38" customFormat="1" x14ac:dyDescent="0.25">
      <c r="A110" s="78"/>
      <c r="B110" s="78"/>
      <c r="C110" s="245"/>
      <c r="D110" s="72"/>
      <c r="E110" s="71"/>
      <c r="F110" s="217"/>
      <c r="G110" s="217"/>
      <c r="H110" s="217"/>
      <c r="I110" s="217"/>
    </row>
    <row r="111" spans="1:10" s="38" customFormat="1" x14ac:dyDescent="0.25">
      <c r="A111" s="341"/>
      <c r="B111" s="78" t="str">
        <f>IF(ISBLANK(A111),"","H"&amp;COUNTA($A$105:A111))</f>
        <v/>
      </c>
      <c r="C111" s="82" t="s">
        <v>142</v>
      </c>
      <c r="D111" s="83"/>
      <c r="E111" s="71"/>
      <c r="F111" s="4">
        <f>F108</f>
        <v>2023</v>
      </c>
      <c r="G111" s="4">
        <f>F111+1</f>
        <v>2024</v>
      </c>
      <c r="H111" s="4">
        <f>G111+1</f>
        <v>2025</v>
      </c>
      <c r="I111" s="4">
        <f>H111+1</f>
        <v>2026</v>
      </c>
    </row>
    <row r="112" spans="1:10" s="38" customFormat="1" x14ac:dyDescent="0.25">
      <c r="A112" s="78" t="s">
        <v>131</v>
      </c>
      <c r="B112" s="78" t="str">
        <f>IF(ISBLANK(A112),"","H"&amp;COUNTA($A$105:A112))</f>
        <v>H3</v>
      </c>
      <c r="C112" s="245" t="s">
        <v>143</v>
      </c>
      <c r="D112" s="72" t="s">
        <v>89</v>
      </c>
      <c r="E112" s="71" t="s">
        <v>84</v>
      </c>
      <c r="F112" s="70">
        <v>-300</v>
      </c>
      <c r="G112" s="70">
        <v>-900</v>
      </c>
      <c r="H112" s="70">
        <v>-1500</v>
      </c>
      <c r="I112" s="70">
        <v>-1500</v>
      </c>
    </row>
    <row r="113" spans="1:10" s="38" customFormat="1" x14ac:dyDescent="0.25">
      <c r="A113" s="78" t="s">
        <v>131</v>
      </c>
      <c r="B113" s="78" t="str">
        <f>IF(ISBLANK(A113),"","H"&amp;COUNTA($A$105:A113))</f>
        <v>H4</v>
      </c>
      <c r="C113" s="480" t="s">
        <v>144</v>
      </c>
      <c r="D113" s="72" t="s">
        <v>83</v>
      </c>
      <c r="E113" s="71" t="s">
        <v>84</v>
      </c>
      <c r="F113" s="398">
        <v>-27256</v>
      </c>
      <c r="G113" s="398">
        <v>-27256</v>
      </c>
      <c r="H113" s="398">
        <v>-27256</v>
      </c>
      <c r="I113" s="398">
        <v>-27256</v>
      </c>
    </row>
    <row r="114" spans="1:10" s="38" customFormat="1" x14ac:dyDescent="0.25">
      <c r="A114" s="78" t="s">
        <v>131</v>
      </c>
      <c r="B114" s="78" t="str">
        <f>IF(ISBLANK(A114),"","H"&amp;COUNTA($A$105:A114))</f>
        <v>H5</v>
      </c>
      <c r="C114" s="480" t="s">
        <v>145</v>
      </c>
      <c r="D114" s="72" t="s">
        <v>91</v>
      </c>
      <c r="E114" s="71" t="s">
        <v>24</v>
      </c>
      <c r="F114" s="398">
        <v>27256</v>
      </c>
      <c r="G114" s="398">
        <v>27256</v>
      </c>
      <c r="H114" s="398">
        <v>27256</v>
      </c>
      <c r="I114" s="398">
        <v>27256</v>
      </c>
    </row>
    <row r="115" spans="1:10" s="38" customFormat="1" x14ac:dyDescent="0.25">
      <c r="A115" s="78" t="s">
        <v>131</v>
      </c>
      <c r="B115" s="78" t="str">
        <f>IF(ISBLANK(A115),"","H"&amp;COUNTA($A$105:A115))</f>
        <v>H6</v>
      </c>
      <c r="C115" s="480" t="s">
        <v>146</v>
      </c>
      <c r="D115" s="72" t="s">
        <v>91</v>
      </c>
      <c r="E115" s="71" t="s">
        <v>24</v>
      </c>
      <c r="F115" s="398">
        <v>15000</v>
      </c>
      <c r="G115" s="398">
        <v>15000</v>
      </c>
      <c r="H115" s="398">
        <v>15000</v>
      </c>
      <c r="I115" s="398">
        <v>15000</v>
      </c>
    </row>
    <row r="116" spans="1:10" s="38" customFormat="1" x14ac:dyDescent="0.25">
      <c r="A116" s="78" t="s">
        <v>131</v>
      </c>
      <c r="B116" s="78" t="str">
        <f>IF(ISBLANK(A116),"","H"&amp;COUNTA($A$105:A116))</f>
        <v>H7</v>
      </c>
      <c r="C116" s="480" t="s">
        <v>147</v>
      </c>
      <c r="D116" s="72" t="s">
        <v>91</v>
      </c>
      <c r="E116" s="71" t="s">
        <v>24</v>
      </c>
      <c r="F116" s="421">
        <v>5000</v>
      </c>
      <c r="G116" s="217">
        <f>F116</f>
        <v>5000</v>
      </c>
      <c r="H116" s="217">
        <f>G116</f>
        <v>5000</v>
      </c>
      <c r="I116" s="217">
        <f>H116</f>
        <v>5000</v>
      </c>
    </row>
    <row r="117" spans="1:10" s="38" customFormat="1" x14ac:dyDescent="0.25">
      <c r="A117" s="78" t="s">
        <v>131</v>
      </c>
      <c r="B117" s="78" t="str">
        <f>IF(ISBLANK(A117),"","H"&amp;COUNTA($A$105:A117))</f>
        <v>H8</v>
      </c>
      <c r="C117" s="396" t="s">
        <v>148</v>
      </c>
      <c r="D117" s="72" t="s">
        <v>91</v>
      </c>
      <c r="E117" s="71" t="s">
        <v>24</v>
      </c>
      <c r="F117" s="217">
        <v>10000</v>
      </c>
      <c r="G117" s="217">
        <v>10000</v>
      </c>
      <c r="H117" s="217">
        <v>10000</v>
      </c>
      <c r="I117" s="217">
        <v>10000</v>
      </c>
    </row>
    <row r="118" spans="1:10" s="38" customFormat="1" x14ac:dyDescent="0.25">
      <c r="A118" s="78" t="s">
        <v>131</v>
      </c>
      <c r="B118" s="78" t="str">
        <f>IF(ISBLANK(A118),"","H"&amp;COUNTA($A$105:A118))</f>
        <v>H9</v>
      </c>
      <c r="C118" s="582" t="s">
        <v>149</v>
      </c>
      <c r="D118" s="72" t="s">
        <v>91</v>
      </c>
      <c r="E118" s="71" t="s">
        <v>24</v>
      </c>
      <c r="F118" s="217">
        <v>700</v>
      </c>
      <c r="G118" s="217">
        <v>700</v>
      </c>
      <c r="H118" s="217">
        <v>700</v>
      </c>
      <c r="I118" s="217">
        <v>700</v>
      </c>
      <c r="J118" s="38" t="s">
        <v>332</v>
      </c>
    </row>
    <row r="119" spans="1:10" s="38" customFormat="1" x14ac:dyDescent="0.25">
      <c r="A119" s="78" t="s">
        <v>131</v>
      </c>
      <c r="B119" s="78" t="str">
        <f>IF(ISBLANK(A119),"","H"&amp;COUNTA($A$105:A119))</f>
        <v>H10</v>
      </c>
      <c r="C119" s="582" t="s">
        <v>150</v>
      </c>
      <c r="D119" s="72" t="s">
        <v>91</v>
      </c>
      <c r="E119" s="71" t="s">
        <v>24</v>
      </c>
      <c r="F119" s="217">
        <v>1000</v>
      </c>
      <c r="G119" s="217">
        <f>F119</f>
        <v>1000</v>
      </c>
      <c r="H119" s="217">
        <f>G119</f>
        <v>1000</v>
      </c>
      <c r="I119" s="217">
        <f>H119</f>
        <v>1000</v>
      </c>
      <c r="J119" s="38" t="s">
        <v>332</v>
      </c>
    </row>
    <row r="120" spans="1:10" s="38" customFormat="1" x14ac:dyDescent="0.25">
      <c r="A120" s="78" t="s">
        <v>131</v>
      </c>
      <c r="B120" s="78" t="str">
        <f>IF(ISBLANK(A120),"","H"&amp;COUNTA($A$105:A120))</f>
        <v>H11</v>
      </c>
      <c r="C120" s="584" t="s">
        <v>151</v>
      </c>
      <c r="D120" s="72" t="s">
        <v>91</v>
      </c>
      <c r="E120" s="71" t="s">
        <v>24</v>
      </c>
      <c r="F120" s="217">
        <v>1100</v>
      </c>
      <c r="G120" s="217">
        <v>1100</v>
      </c>
      <c r="H120" s="217">
        <v>1100</v>
      </c>
      <c r="I120" s="217">
        <v>1100</v>
      </c>
      <c r="J120" s="38" t="s">
        <v>332</v>
      </c>
    </row>
    <row r="121" spans="1:10" s="38" customFormat="1" x14ac:dyDescent="0.25">
      <c r="A121" s="78" t="s">
        <v>131</v>
      </c>
      <c r="B121" s="78" t="str">
        <f>IF(ISBLANK(A121),"","H"&amp;COUNTA($A$105:A121))</f>
        <v>H12</v>
      </c>
      <c r="C121" s="584" t="s">
        <v>152</v>
      </c>
      <c r="D121" s="72" t="s">
        <v>91</v>
      </c>
      <c r="E121" s="71" t="s">
        <v>24</v>
      </c>
      <c r="F121" s="217">
        <v>1200</v>
      </c>
      <c r="G121" s="217">
        <v>1200</v>
      </c>
      <c r="H121" s="217">
        <v>1200</v>
      </c>
      <c r="I121" s="217">
        <v>1200</v>
      </c>
      <c r="J121" s="38" t="s">
        <v>332</v>
      </c>
    </row>
    <row r="122" spans="1:10" s="38" customFormat="1" ht="25.5" x14ac:dyDescent="0.25">
      <c r="A122" s="78" t="s">
        <v>131</v>
      </c>
      <c r="B122" s="78" t="str">
        <f>IF(ISBLANK(A122),"","H"&amp;COUNTA($A$105:A122))</f>
        <v>H13</v>
      </c>
      <c r="C122" s="582" t="s">
        <v>153</v>
      </c>
      <c r="D122" s="72" t="s">
        <v>91</v>
      </c>
      <c r="E122" s="71" t="s">
        <v>24</v>
      </c>
      <c r="F122" s="217">
        <v>-4000</v>
      </c>
      <c r="G122" s="217">
        <v>-4000</v>
      </c>
      <c r="H122" s="217">
        <v>-4000</v>
      </c>
      <c r="I122" s="217">
        <v>-4000</v>
      </c>
      <c r="J122" s="38" t="s">
        <v>332</v>
      </c>
    </row>
    <row r="123" spans="1:10" s="38" customFormat="1" x14ac:dyDescent="0.25">
      <c r="A123" s="78"/>
      <c r="B123" s="78" t="str">
        <f>IF(ISBLANK(A123),"","H"&amp;COUNTA($A$105:A123))</f>
        <v/>
      </c>
      <c r="C123" s="82" t="s">
        <v>156</v>
      </c>
      <c r="D123" s="72"/>
      <c r="E123" s="71"/>
      <c r="F123" s="4">
        <f>F111</f>
        <v>2023</v>
      </c>
      <c r="G123" s="4">
        <f>F123+1</f>
        <v>2024</v>
      </c>
      <c r="H123" s="4">
        <f>G123+1</f>
        <v>2025</v>
      </c>
      <c r="I123" s="4">
        <f>H123+1</f>
        <v>2026</v>
      </c>
    </row>
    <row r="124" spans="1:10" s="38" customFormat="1" ht="25.5" x14ac:dyDescent="0.25">
      <c r="A124" s="78" t="s">
        <v>131</v>
      </c>
      <c r="B124" s="78" t="str">
        <f>IF(ISBLANK(A124),"","H"&amp;COUNTA($A$105:A124))</f>
        <v>H14</v>
      </c>
      <c r="C124" s="245" t="s">
        <v>157</v>
      </c>
      <c r="D124" s="72" t="s">
        <v>83</v>
      </c>
      <c r="E124" s="71" t="s">
        <v>84</v>
      </c>
      <c r="F124" s="217">
        <v>1200</v>
      </c>
      <c r="G124" s="217">
        <v>1700</v>
      </c>
      <c r="H124" s="217">
        <v>2100</v>
      </c>
      <c r="I124" s="217">
        <v>2500</v>
      </c>
      <c r="J124" s="293" t="s">
        <v>333</v>
      </c>
    </row>
    <row r="125" spans="1:10" s="38" customFormat="1" x14ac:dyDescent="0.25">
      <c r="A125" s="78" t="s">
        <v>131</v>
      </c>
      <c r="B125" s="78" t="str">
        <f>IF(ISBLANK(A125),"","H"&amp;COUNTA($A$105:A125))</f>
        <v>H15</v>
      </c>
      <c r="C125" s="245" t="s">
        <v>159</v>
      </c>
      <c r="D125" s="72" t="s">
        <v>91</v>
      </c>
      <c r="E125" s="71" t="s">
        <v>24</v>
      </c>
      <c r="F125" s="217">
        <v>600</v>
      </c>
      <c r="G125" s="217">
        <f>F125</f>
        <v>600</v>
      </c>
      <c r="H125" s="217">
        <f>G125</f>
        <v>600</v>
      </c>
      <c r="I125" s="217">
        <f>H125</f>
        <v>600</v>
      </c>
      <c r="J125" s="144"/>
    </row>
    <row r="126" spans="1:10" s="38" customFormat="1" x14ac:dyDescent="0.25">
      <c r="A126" s="78" t="s">
        <v>131</v>
      </c>
      <c r="B126" s="78" t="str">
        <f>IF(ISBLANK(A126),"","H"&amp;COUNTA($A$105:A126))</f>
        <v>H16</v>
      </c>
      <c r="C126" s="245" t="s">
        <v>160</v>
      </c>
      <c r="D126" s="72" t="s">
        <v>91</v>
      </c>
      <c r="E126" s="71" t="s">
        <v>24</v>
      </c>
      <c r="F126" s="69">
        <f>1530-609</f>
        <v>921</v>
      </c>
      <c r="G126" s="69">
        <f t="shared" ref="G126:I126" si="0">1530-609</f>
        <v>921</v>
      </c>
      <c r="H126" s="69">
        <f t="shared" si="0"/>
        <v>921</v>
      </c>
      <c r="I126" s="69">
        <f t="shared" si="0"/>
        <v>921</v>
      </c>
      <c r="J126" s="38" t="s">
        <v>335</v>
      </c>
    </row>
    <row r="127" spans="1:10" s="38" customFormat="1" x14ac:dyDescent="0.25">
      <c r="A127" s="78" t="s">
        <v>131</v>
      </c>
      <c r="B127" s="78" t="str">
        <f>IF(ISBLANK(A127),"","H"&amp;COUNTA($A$105:A127))</f>
        <v>H17</v>
      </c>
      <c r="C127" s="581" t="s">
        <v>161</v>
      </c>
      <c r="D127" s="72" t="s">
        <v>91</v>
      </c>
      <c r="E127" s="71" t="s">
        <v>24</v>
      </c>
      <c r="F127" s="421">
        <v>1700</v>
      </c>
      <c r="G127" s="421">
        <v>1700</v>
      </c>
      <c r="H127" s="421">
        <v>1700</v>
      </c>
      <c r="I127" s="421">
        <v>1700</v>
      </c>
      <c r="J127" s="293" t="s">
        <v>336</v>
      </c>
    </row>
    <row r="128" spans="1:10" s="38" customFormat="1" x14ac:dyDescent="0.25">
      <c r="A128" s="78" t="s">
        <v>131</v>
      </c>
      <c r="B128" s="78" t="str">
        <f>IF(ISBLANK(A128),"","H"&amp;COUNTA($A$105:A128))</f>
        <v>H18</v>
      </c>
      <c r="C128" s="480" t="s">
        <v>162</v>
      </c>
      <c r="D128" s="72" t="s">
        <v>91</v>
      </c>
      <c r="E128" s="71" t="s">
        <v>24</v>
      </c>
      <c r="F128" s="432">
        <v>5000</v>
      </c>
      <c r="G128" s="432">
        <v>5000</v>
      </c>
      <c r="H128" s="432">
        <v>5000</v>
      </c>
      <c r="I128" s="432">
        <v>5000</v>
      </c>
      <c r="J128" s="293" t="s">
        <v>337</v>
      </c>
    </row>
    <row r="129" spans="1:13" s="38" customFormat="1" x14ac:dyDescent="0.25">
      <c r="A129" s="78" t="s">
        <v>131</v>
      </c>
      <c r="B129" s="78" t="str">
        <f>IF(ISBLANK(A129),"","H"&amp;COUNTA($A$105:A129))</f>
        <v>H19</v>
      </c>
      <c r="C129" s="480" t="s">
        <v>163</v>
      </c>
      <c r="D129" s="72" t="s">
        <v>91</v>
      </c>
      <c r="E129" s="71" t="s">
        <v>24</v>
      </c>
      <c r="F129" s="373">
        <v>3000</v>
      </c>
      <c r="G129" s="373">
        <v>3000</v>
      </c>
      <c r="H129" s="373">
        <v>3000</v>
      </c>
      <c r="I129" s="373">
        <v>3000</v>
      </c>
      <c r="J129" s="293"/>
    </row>
    <row r="130" spans="1:13" s="38" customFormat="1" x14ac:dyDescent="0.25">
      <c r="A130" s="78" t="s">
        <v>131</v>
      </c>
      <c r="B130" s="78" t="str">
        <f>IF(ISBLANK(A130),"","H"&amp;COUNTA($A$105:A130))</f>
        <v>H20</v>
      </c>
      <c r="C130" s="480" t="s">
        <v>164</v>
      </c>
      <c r="D130" s="72" t="s">
        <v>91</v>
      </c>
      <c r="E130" s="71" t="s">
        <v>24</v>
      </c>
      <c r="F130" s="373">
        <v>3000</v>
      </c>
      <c r="G130" s="373"/>
      <c r="H130" s="373"/>
      <c r="I130" s="373"/>
      <c r="J130" s="293" t="s">
        <v>338</v>
      </c>
    </row>
    <row r="131" spans="1:13" s="38" customFormat="1" x14ac:dyDescent="0.25">
      <c r="A131" s="78" t="s">
        <v>131</v>
      </c>
      <c r="B131" s="78" t="str">
        <f>IF(ISBLANK(A131),"","H"&amp;COUNTA($A$105:A131))</f>
        <v>H21</v>
      </c>
      <c r="C131" s="480" t="s">
        <v>165</v>
      </c>
      <c r="D131" s="72" t="s">
        <v>91</v>
      </c>
      <c r="E131" s="71" t="s">
        <v>24</v>
      </c>
      <c r="F131" s="373">
        <v>6100</v>
      </c>
      <c r="G131" s="373">
        <v>6100</v>
      </c>
      <c r="H131" s="373">
        <v>6100</v>
      </c>
      <c r="I131" s="373">
        <v>6100</v>
      </c>
      <c r="J131" s="293" t="s">
        <v>339</v>
      </c>
    </row>
    <row r="132" spans="1:13" s="38" customFormat="1" x14ac:dyDescent="0.25">
      <c r="A132" s="78"/>
      <c r="B132" s="78" t="str">
        <f>IF(ISBLANK(A132),"","H"&amp;COUNTA($A$105:A132))</f>
        <v/>
      </c>
      <c r="D132" s="83"/>
      <c r="E132" s="71"/>
      <c r="F132" s="4">
        <f>F123</f>
        <v>2023</v>
      </c>
      <c r="G132" s="4">
        <f>F132+1</f>
        <v>2024</v>
      </c>
      <c r="H132" s="4">
        <f>G132+1</f>
        <v>2025</v>
      </c>
      <c r="I132" s="4">
        <f>H132+1</f>
        <v>2026</v>
      </c>
    </row>
    <row r="133" spans="1:13" s="38" customFormat="1" x14ac:dyDescent="0.25">
      <c r="A133" s="78"/>
      <c r="B133" s="78"/>
      <c r="C133" s="82" t="s">
        <v>172</v>
      </c>
      <c r="D133" s="83"/>
      <c r="E133" s="71"/>
      <c r="F133" s="4"/>
      <c r="G133" s="4"/>
      <c r="H133" s="4"/>
      <c r="I133" s="4"/>
    </row>
    <row r="134" spans="1:13" s="38" customFormat="1" x14ac:dyDescent="0.25">
      <c r="A134" s="78" t="s">
        <v>131</v>
      </c>
      <c r="B134" s="78" t="str">
        <f>IF(ISBLANK(A134),"","H"&amp;COUNTA($A$105:A134))</f>
        <v>H22</v>
      </c>
      <c r="C134" s="245" t="s">
        <v>173</v>
      </c>
      <c r="D134" s="72" t="s">
        <v>83</v>
      </c>
      <c r="E134" s="71" t="s">
        <v>84</v>
      </c>
      <c r="F134" s="575">
        <v>-6879</v>
      </c>
      <c r="G134" s="575">
        <v>-5056</v>
      </c>
      <c r="H134" s="575">
        <v>705</v>
      </c>
      <c r="I134" s="575">
        <v>2528</v>
      </c>
      <c r="J134" s="293" t="s">
        <v>381</v>
      </c>
    </row>
    <row r="135" spans="1:13" s="38" customFormat="1" x14ac:dyDescent="0.25">
      <c r="A135" s="78" t="s">
        <v>131</v>
      </c>
      <c r="B135" s="78" t="str">
        <f>IF(ISBLANK(A135),"","H"&amp;COUNTA($A$105:A135))</f>
        <v>H23</v>
      </c>
      <c r="C135" s="245" t="s">
        <v>174</v>
      </c>
      <c r="D135" s="72" t="s">
        <v>83</v>
      </c>
      <c r="E135" s="71" t="s">
        <v>84</v>
      </c>
      <c r="F135" s="575">
        <v>39000</v>
      </c>
      <c r="G135" s="575">
        <v>20000</v>
      </c>
      <c r="H135" s="575">
        <v>5000</v>
      </c>
      <c r="I135" s="575">
        <v>5000</v>
      </c>
      <c r="J135" s="293" t="s">
        <v>333</v>
      </c>
    </row>
    <row r="136" spans="1:13" s="38" customFormat="1" x14ac:dyDescent="0.25">
      <c r="A136" s="78" t="s">
        <v>131</v>
      </c>
      <c r="B136" s="78" t="str">
        <f>IF(ISBLANK(A136),"","H"&amp;COUNTA($A$105:A136))</f>
        <v>H24</v>
      </c>
      <c r="C136" s="245" t="s">
        <v>175</v>
      </c>
      <c r="D136" s="72" t="s">
        <v>91</v>
      </c>
      <c r="E136" s="71" t="s">
        <v>24</v>
      </c>
      <c r="F136" s="398">
        <v>18000</v>
      </c>
      <c r="G136" s="398">
        <v>18000</v>
      </c>
      <c r="H136" s="398">
        <v>18000</v>
      </c>
      <c r="I136" s="398">
        <v>18000</v>
      </c>
      <c r="J136" s="293" t="s">
        <v>341</v>
      </c>
    </row>
    <row r="137" spans="1:13" s="38" customFormat="1" x14ac:dyDescent="0.25">
      <c r="A137" s="78" t="s">
        <v>131</v>
      </c>
      <c r="B137" s="78" t="str">
        <f>IF(ISBLANK(A137),"","H"&amp;COUNTA($A$105:A137))</f>
        <v>H25</v>
      </c>
      <c r="C137" s="569" t="s">
        <v>176</v>
      </c>
      <c r="D137" s="570" t="s">
        <v>91</v>
      </c>
      <c r="E137" s="573" t="s">
        <v>24</v>
      </c>
      <c r="F137" s="575">
        <v>1400</v>
      </c>
      <c r="G137" s="575">
        <v>1400</v>
      </c>
      <c r="H137" s="575"/>
      <c r="I137" s="575"/>
      <c r="J137" s="572" t="s">
        <v>342</v>
      </c>
      <c r="K137" s="572"/>
      <c r="L137" s="572"/>
    </row>
    <row r="138" spans="1:13" s="38" customFormat="1" x14ac:dyDescent="0.25">
      <c r="A138" s="78" t="s">
        <v>131</v>
      </c>
      <c r="B138" s="78" t="str">
        <f>IF(ISBLANK(A138),"","H"&amp;COUNTA($A$105:A138))</f>
        <v>H26</v>
      </c>
      <c r="C138" s="569" t="s">
        <v>177</v>
      </c>
      <c r="D138" s="570" t="s">
        <v>91</v>
      </c>
      <c r="E138" s="573" t="s">
        <v>24</v>
      </c>
      <c r="F138" s="575">
        <v>2700</v>
      </c>
      <c r="G138" s="575">
        <v>2700</v>
      </c>
      <c r="H138" s="575"/>
      <c r="I138" s="575"/>
      <c r="J138" s="572" t="s">
        <v>343</v>
      </c>
      <c r="K138" s="572"/>
      <c r="L138" s="572"/>
      <c r="M138" s="572"/>
    </row>
    <row r="139" spans="1:13" s="38" customFormat="1" x14ac:dyDescent="0.25">
      <c r="A139" s="78" t="s">
        <v>131</v>
      </c>
      <c r="B139" s="78" t="str">
        <f>IF(ISBLANK(A139),"","H"&amp;COUNTA($A$105:A139))</f>
        <v>H27</v>
      </c>
      <c r="C139" s="569" t="s">
        <v>178</v>
      </c>
      <c r="D139" s="570" t="s">
        <v>91</v>
      </c>
      <c r="E139" s="573" t="s">
        <v>24</v>
      </c>
      <c r="F139" s="574">
        <f>6400+1000-3200</f>
        <v>4200</v>
      </c>
      <c r="G139" s="574">
        <f>6400+1000-3200</f>
        <v>4200</v>
      </c>
      <c r="H139" s="574"/>
      <c r="I139" s="574"/>
      <c r="J139" s="572" t="s">
        <v>329</v>
      </c>
    </row>
    <row r="140" spans="1:13" s="38" customFormat="1" x14ac:dyDescent="0.25">
      <c r="A140" s="78"/>
      <c r="B140" s="78"/>
      <c r="C140" s="480"/>
      <c r="D140" s="72"/>
      <c r="E140" s="71"/>
      <c r="F140" s="546"/>
      <c r="G140" s="546"/>
      <c r="H140" s="546"/>
      <c r="I140" s="546"/>
    </row>
    <row r="141" spans="1:13" s="38" customFormat="1" x14ac:dyDescent="0.25">
      <c r="A141" s="78"/>
      <c r="B141" s="78" t="str">
        <f>IF(ISBLANK(A141),"","H"&amp;COUNTA($A$105:A141))</f>
        <v/>
      </c>
      <c r="C141" s="82" t="s">
        <v>179</v>
      </c>
      <c r="D141" s="83"/>
      <c r="E141" s="71"/>
      <c r="F141" s="4">
        <f>F132</f>
        <v>2023</v>
      </c>
      <c r="G141" s="4">
        <f>F141+1</f>
        <v>2024</v>
      </c>
      <c r="H141" s="4">
        <f>G141+1</f>
        <v>2025</v>
      </c>
      <c r="I141" s="4">
        <f>H141+1</f>
        <v>2026</v>
      </c>
    </row>
    <row r="142" spans="1:13" s="38" customFormat="1" x14ac:dyDescent="0.25">
      <c r="A142" s="78" t="s">
        <v>131</v>
      </c>
      <c r="B142" s="78" t="str">
        <f>IF(ISBLANK(A142),"","H"&amp;COUNTA($A$105:A142))</f>
        <v>H28</v>
      </c>
      <c r="C142" s="245" t="s">
        <v>180</v>
      </c>
      <c r="D142" s="72" t="s">
        <v>89</v>
      </c>
      <c r="E142" s="71" t="s">
        <v>84</v>
      </c>
      <c r="F142" s="70">
        <v>0</v>
      </c>
      <c r="G142" s="70">
        <v>1000</v>
      </c>
      <c r="H142" s="70">
        <v>12000</v>
      </c>
      <c r="I142" s="191">
        <v>12000</v>
      </c>
    </row>
    <row r="143" spans="1:13" s="38" customFormat="1" x14ac:dyDescent="0.25">
      <c r="A143" s="78" t="s">
        <v>131</v>
      </c>
      <c r="B143" s="78" t="str">
        <f>IF(ISBLANK(A143),"","H"&amp;COUNTA($A$105:A143))</f>
        <v>H29</v>
      </c>
      <c r="C143" s="245" t="s">
        <v>181</v>
      </c>
      <c r="D143" s="72" t="s">
        <v>89</v>
      </c>
      <c r="E143" s="71" t="s">
        <v>84</v>
      </c>
      <c r="F143" s="191">
        <v>0</v>
      </c>
      <c r="G143" s="191">
        <v>-4000</v>
      </c>
      <c r="H143" s="191">
        <v>-6000</v>
      </c>
      <c r="I143" s="191">
        <v>-6000</v>
      </c>
    </row>
    <row r="144" spans="1:13" s="38" customFormat="1" x14ac:dyDescent="0.25">
      <c r="A144" s="43"/>
      <c r="B144" s="43" t="s">
        <v>127</v>
      </c>
      <c r="C144" s="3" t="s">
        <v>182</v>
      </c>
      <c r="D144" s="52"/>
      <c r="E144" s="52"/>
      <c r="F144" s="56">
        <f>SUMIF($A:$A,"H&amp;V",F:F)</f>
        <v>112142</v>
      </c>
      <c r="G144" s="56">
        <f>SUMIF($A:$A,"H&amp;V",G:G)</f>
        <v>100365</v>
      </c>
      <c r="H144" s="56">
        <f>SUMIF($A:$A,"H&amp;V",H:H)</f>
        <v>94126</v>
      </c>
      <c r="I144" s="56">
        <f>SUMIF($A:$A,"H&amp;V",I:I)</f>
        <v>98849</v>
      </c>
    </row>
    <row r="145" spans="1:10" s="38" customFormat="1" x14ac:dyDescent="0.25">
      <c r="A145" s="47"/>
      <c r="B145" s="78"/>
      <c r="C145" s="11"/>
      <c r="D145" s="49"/>
      <c r="E145" s="49"/>
      <c r="F145" s="57"/>
      <c r="G145" s="57"/>
      <c r="H145" s="57"/>
      <c r="I145" s="57"/>
    </row>
    <row r="146" spans="1:10" s="38" customFormat="1" x14ac:dyDescent="0.25">
      <c r="A146" s="48"/>
      <c r="B146" s="78"/>
      <c r="C146" s="13" t="s">
        <v>183</v>
      </c>
      <c r="D146" s="50"/>
      <c r="E146" s="61"/>
      <c r="F146" s="58"/>
      <c r="G146" s="58"/>
      <c r="H146" s="58"/>
      <c r="I146" s="58"/>
    </row>
    <row r="147" spans="1:10" s="38" customFormat="1" x14ac:dyDescent="0.25">
      <c r="A147" s="341"/>
      <c r="B147" s="78"/>
      <c r="C147" s="82" t="s">
        <v>184</v>
      </c>
      <c r="D147" s="83"/>
      <c r="E147" s="71"/>
      <c r="F147" s="4">
        <f>F141</f>
        <v>2023</v>
      </c>
      <c r="G147" s="4">
        <f>F147+1</f>
        <v>2024</v>
      </c>
      <c r="H147" s="4">
        <f>G147+1</f>
        <v>2025</v>
      </c>
      <c r="I147" s="4">
        <f>H147+1</f>
        <v>2026</v>
      </c>
    </row>
    <row r="148" spans="1:10" s="38" customFormat="1" x14ac:dyDescent="0.25">
      <c r="A148" s="78"/>
      <c r="B148" s="78"/>
      <c r="C148" s="212"/>
      <c r="D148" s="79"/>
      <c r="E148" s="71"/>
      <c r="F148" s="255"/>
      <c r="G148" s="255"/>
      <c r="H148" s="255"/>
      <c r="I148" s="255"/>
    </row>
    <row r="149" spans="1:10" s="38" customFormat="1" x14ac:dyDescent="0.25">
      <c r="A149" s="78"/>
      <c r="B149" s="78" t="str">
        <f>IF(ISBLANK(A149),"","K"&amp;COUNTA($A$148:A149))</f>
        <v/>
      </c>
      <c r="C149" s="82" t="s">
        <v>185</v>
      </c>
      <c r="D149" s="79"/>
      <c r="E149" s="71"/>
      <c r="F149" s="191"/>
      <c r="G149" s="191"/>
      <c r="H149" s="191"/>
      <c r="I149" s="191"/>
    </row>
    <row r="150" spans="1:10" s="38" customFormat="1" x14ac:dyDescent="0.25">
      <c r="A150" s="78" t="s">
        <v>186</v>
      </c>
      <c r="B150" s="78" t="str">
        <f>IF(ISBLANK(A150),"","K"&amp;COUNTA($A$148:A150))</f>
        <v>K1</v>
      </c>
      <c r="C150" s="213" t="s">
        <v>187</v>
      </c>
      <c r="D150" s="72" t="s">
        <v>89</v>
      </c>
      <c r="E150" s="71" t="s">
        <v>84</v>
      </c>
      <c r="F150" s="70"/>
      <c r="G150" s="70">
        <v>-100</v>
      </c>
      <c r="H150" s="70">
        <v>-100</v>
      </c>
      <c r="I150" s="70">
        <v>-100</v>
      </c>
    </row>
    <row r="151" spans="1:10" s="38" customFormat="1" ht="25.5" x14ac:dyDescent="0.25">
      <c r="A151" s="78" t="s">
        <v>186</v>
      </c>
      <c r="B151" s="78" t="str">
        <f>IF(ISBLANK(A151),"","K"&amp;COUNTA($A$148:A151))</f>
        <v>K2</v>
      </c>
      <c r="C151" s="212" t="s">
        <v>188</v>
      </c>
      <c r="D151" s="72" t="s">
        <v>91</v>
      </c>
      <c r="E151" s="71" t="s">
        <v>24</v>
      </c>
      <c r="F151" s="191">
        <v>750</v>
      </c>
      <c r="G151" s="191">
        <v>750</v>
      </c>
      <c r="H151" s="191">
        <v>750</v>
      </c>
      <c r="I151" s="191">
        <v>750</v>
      </c>
    </row>
    <row r="152" spans="1:10" s="38" customFormat="1" ht="25.5" x14ac:dyDescent="0.2">
      <c r="A152" s="78" t="s">
        <v>186</v>
      </c>
      <c r="B152" s="78" t="str">
        <f>IF(ISBLANK(A152),"","K"&amp;COUNTA($A$148:A152))</f>
        <v>K3</v>
      </c>
      <c r="C152" s="623" t="s">
        <v>189</v>
      </c>
      <c r="D152" s="72" t="s">
        <v>91</v>
      </c>
      <c r="E152" s="71" t="s">
        <v>24</v>
      </c>
      <c r="F152" s="191">
        <v>-750</v>
      </c>
      <c r="G152" s="191">
        <v>-750</v>
      </c>
      <c r="H152" s="191"/>
      <c r="I152" s="191"/>
    </row>
    <row r="153" spans="1:10" s="38" customFormat="1" ht="25.5" x14ac:dyDescent="0.2">
      <c r="A153" s="78" t="s">
        <v>186</v>
      </c>
      <c r="B153" s="78" t="str">
        <f>IF(ISBLANK(A153),"","K"&amp;COUNTA($A$148:A153))</f>
        <v>K4</v>
      </c>
      <c r="C153" s="623" t="s">
        <v>190</v>
      </c>
      <c r="D153" s="72" t="s">
        <v>91</v>
      </c>
      <c r="E153" s="71" t="s">
        <v>24</v>
      </c>
      <c r="F153" s="191">
        <v>136</v>
      </c>
      <c r="G153" s="191">
        <v>136</v>
      </c>
      <c r="H153" s="191">
        <v>136</v>
      </c>
      <c r="I153" s="191">
        <v>136</v>
      </c>
      <c r="J153" s="38" t="s">
        <v>344</v>
      </c>
    </row>
    <row r="154" spans="1:10" s="38" customFormat="1" x14ac:dyDescent="0.25">
      <c r="A154" s="43"/>
      <c r="B154" s="43" t="s">
        <v>127</v>
      </c>
      <c r="C154" s="3" t="s">
        <v>203</v>
      </c>
      <c r="D154" s="52"/>
      <c r="E154" s="52"/>
      <c r="F154" s="56">
        <f>SUMIF($A:$A,"KuN",F:F)</f>
        <v>136</v>
      </c>
      <c r="G154" s="56">
        <f>SUMIF($A:$A,"KuN",G:G)</f>
        <v>36</v>
      </c>
      <c r="H154" s="56">
        <f>SUMIF($A:$A,"KuN",H:H)</f>
        <v>786</v>
      </c>
      <c r="I154" s="56">
        <f>SUMIF($A:$A,"KuN",I:I)</f>
        <v>786</v>
      </c>
    </row>
    <row r="155" spans="1:10" s="38" customFormat="1" x14ac:dyDescent="0.25">
      <c r="A155" s="47"/>
      <c r="B155" s="78"/>
      <c r="C155" s="11"/>
      <c r="D155" s="49"/>
      <c r="E155" s="49"/>
      <c r="F155" s="57"/>
      <c r="G155" s="57"/>
      <c r="H155" s="57"/>
      <c r="I155" s="57"/>
    </row>
    <row r="156" spans="1:10" s="38" customFormat="1" x14ac:dyDescent="0.25">
      <c r="A156" s="48"/>
      <c r="B156" s="78"/>
      <c r="C156" s="248" t="s">
        <v>204</v>
      </c>
      <c r="D156" s="83"/>
      <c r="E156" s="71"/>
      <c r="F156" s="4">
        <f>F147</f>
        <v>2023</v>
      </c>
      <c r="G156" s="4">
        <f>F156+1</f>
        <v>2024</v>
      </c>
      <c r="H156" s="4">
        <f>G156+1</f>
        <v>2025</v>
      </c>
      <c r="I156" s="4">
        <f>H156+1</f>
        <v>2026</v>
      </c>
    </row>
    <row r="157" spans="1:10" s="38" customFormat="1" x14ac:dyDescent="0.25">
      <c r="A157" s="78"/>
      <c r="B157" s="78"/>
      <c r="C157" s="344"/>
      <c r="D157" s="72"/>
      <c r="E157" s="71"/>
      <c r="F157" s="398"/>
      <c r="G157" s="398"/>
      <c r="H157" s="398"/>
      <c r="I157" s="398"/>
    </row>
    <row r="158" spans="1:10" s="38" customFormat="1" x14ac:dyDescent="0.25">
      <c r="A158" s="78"/>
      <c r="B158" s="78"/>
      <c r="C158" s="208" t="s">
        <v>205</v>
      </c>
      <c r="D158" s="83"/>
      <c r="E158" s="71"/>
      <c r="F158" s="4">
        <f>F156</f>
        <v>2023</v>
      </c>
      <c r="G158" s="4">
        <f>F158+1</f>
        <v>2024</v>
      </c>
      <c r="H158" s="4">
        <f>G158+1</f>
        <v>2025</v>
      </c>
      <c r="I158" s="4">
        <f>H158+1</f>
        <v>2026</v>
      </c>
    </row>
    <row r="159" spans="1:10" s="38" customFormat="1" ht="25.5" x14ac:dyDescent="0.25">
      <c r="A159" s="78" t="s">
        <v>206</v>
      </c>
      <c r="B159" s="78" t="str">
        <f>IF(ISBLANK(A159),"","T"&amp;COUNTA($A$157:A159))</f>
        <v>T1</v>
      </c>
      <c r="C159" s="212" t="s">
        <v>207</v>
      </c>
      <c r="D159" s="72" t="s">
        <v>83</v>
      </c>
      <c r="E159" s="71"/>
      <c r="F159" s="217"/>
      <c r="G159" s="217">
        <v>1000</v>
      </c>
      <c r="H159" s="217">
        <v>1000</v>
      </c>
      <c r="I159" s="217">
        <v>1000</v>
      </c>
      <c r="J159" s="144" t="s">
        <v>345</v>
      </c>
    </row>
    <row r="160" spans="1:10" s="38" customFormat="1" x14ac:dyDescent="0.25">
      <c r="A160" s="78" t="s">
        <v>206</v>
      </c>
      <c r="B160" s="78" t="str">
        <f>IF(ISBLANK(A160),"","T"&amp;COUNTA($A$157:A160))</f>
        <v>T2</v>
      </c>
      <c r="C160" s="212" t="s">
        <v>208</v>
      </c>
      <c r="D160" s="72" t="s">
        <v>91</v>
      </c>
      <c r="E160" s="71" t="s">
        <v>24</v>
      </c>
      <c r="F160" s="217">
        <v>150</v>
      </c>
      <c r="G160" s="217">
        <v>150</v>
      </c>
      <c r="H160" s="217">
        <v>150</v>
      </c>
      <c r="I160" s="217">
        <v>150</v>
      </c>
    </row>
    <row r="161" spans="1:10" s="38" customFormat="1" x14ac:dyDescent="0.25">
      <c r="A161" s="78"/>
      <c r="B161" s="78"/>
      <c r="C161" s="212"/>
      <c r="D161" s="72"/>
      <c r="E161" s="71"/>
      <c r="F161" s="398"/>
      <c r="G161" s="398"/>
      <c r="H161" s="398"/>
      <c r="I161" s="398"/>
    </row>
    <row r="162" spans="1:10" s="38" customFormat="1" x14ac:dyDescent="0.25">
      <c r="A162" s="78"/>
      <c r="B162" s="78" t="str">
        <f>IF(ISBLANK(A162),"","T"&amp;COUNTA($A$157:A162))</f>
        <v/>
      </c>
      <c r="C162" s="208" t="s">
        <v>209</v>
      </c>
      <c r="D162" s="72"/>
      <c r="E162" s="71"/>
      <c r="F162" s="4">
        <f>F158</f>
        <v>2023</v>
      </c>
      <c r="G162" s="4">
        <f>F162+1</f>
        <v>2024</v>
      </c>
      <c r="H162" s="4">
        <f>G162+1</f>
        <v>2025</v>
      </c>
      <c r="I162" s="4">
        <f>H162+1</f>
        <v>2026</v>
      </c>
    </row>
    <row r="163" spans="1:10" s="38" customFormat="1" x14ac:dyDescent="0.25">
      <c r="A163" s="78" t="s">
        <v>206</v>
      </c>
      <c r="B163" s="78" t="str">
        <f>IF(ISBLANK(A163),"","T"&amp;COUNTA($A$157:A163))</f>
        <v>T3</v>
      </c>
      <c r="C163" s="344" t="s">
        <v>210</v>
      </c>
      <c r="D163" s="72" t="s">
        <v>91</v>
      </c>
      <c r="E163" s="231" t="s">
        <v>24</v>
      </c>
      <c r="F163" s="217">
        <v>15000</v>
      </c>
      <c r="G163" s="217">
        <v>6000</v>
      </c>
      <c r="H163" s="217"/>
      <c r="I163" s="217"/>
      <c r="J163" s="38" t="s">
        <v>346</v>
      </c>
    </row>
    <row r="164" spans="1:10" s="38" customFormat="1" x14ac:dyDescent="0.25">
      <c r="A164" s="78" t="s">
        <v>206</v>
      </c>
      <c r="B164" s="78" t="str">
        <f>IF(ISBLANK(A164),"","T"&amp;COUNTA($A$157:A164))</f>
        <v>T4</v>
      </c>
      <c r="C164" s="344" t="s">
        <v>211</v>
      </c>
      <c r="D164" s="72" t="s">
        <v>91</v>
      </c>
      <c r="E164" s="71" t="s">
        <v>24</v>
      </c>
      <c r="F164" s="217">
        <v>450</v>
      </c>
      <c r="G164" s="217"/>
      <c r="H164" s="217"/>
      <c r="I164" s="217"/>
    </row>
    <row r="165" spans="1:10" s="38" customFormat="1" x14ac:dyDescent="0.25">
      <c r="A165" s="78"/>
      <c r="B165" s="78"/>
      <c r="C165" s="344"/>
      <c r="D165" s="72"/>
      <c r="E165" s="71"/>
      <c r="F165" s="217"/>
      <c r="G165" s="217"/>
      <c r="H165" s="217"/>
      <c r="I165" s="217"/>
    </row>
    <row r="166" spans="1:10" s="38" customFormat="1" x14ac:dyDescent="0.25">
      <c r="A166" s="78"/>
      <c r="B166" s="78" t="str">
        <f>IF(ISBLANK(A166),"","T"&amp;COUNTA($A$157:A166))</f>
        <v/>
      </c>
      <c r="C166" s="208" t="s">
        <v>212</v>
      </c>
      <c r="D166" s="72"/>
      <c r="E166" s="71"/>
      <c r="F166" s="4">
        <f>+F162</f>
        <v>2023</v>
      </c>
      <c r="G166" s="4">
        <f>F166+1</f>
        <v>2024</v>
      </c>
      <c r="H166" s="4">
        <f>G166+1</f>
        <v>2025</v>
      </c>
      <c r="I166" s="4">
        <f>H166+1</f>
        <v>2026</v>
      </c>
    </row>
    <row r="167" spans="1:10" s="38" customFormat="1" x14ac:dyDescent="0.25">
      <c r="A167" s="78"/>
      <c r="B167" s="78"/>
      <c r="C167" s="344"/>
      <c r="D167" s="72"/>
      <c r="E167" s="609"/>
      <c r="F167" s="217"/>
      <c r="G167" s="217"/>
      <c r="H167" s="217"/>
      <c r="I167" s="217"/>
      <c r="J167" s="144"/>
    </row>
    <row r="168" spans="1:10" s="38" customFormat="1" x14ac:dyDescent="0.25">
      <c r="A168" s="78"/>
      <c r="B168" s="78" t="str">
        <f>IF(ISBLANK(A168),"","T"&amp;COUNTA($A$157:A168))</f>
        <v/>
      </c>
      <c r="C168" s="208" t="s">
        <v>213</v>
      </c>
      <c r="D168" s="72"/>
      <c r="E168" s="71"/>
      <c r="F168" s="4">
        <f>F162</f>
        <v>2023</v>
      </c>
      <c r="G168" s="4">
        <f>F168+1</f>
        <v>2024</v>
      </c>
      <c r="H168" s="4">
        <f>G168+1</f>
        <v>2025</v>
      </c>
      <c r="I168" s="4">
        <f>H168+1</f>
        <v>2026</v>
      </c>
    </row>
    <row r="169" spans="1:10" s="38" customFormat="1" ht="25.5" x14ac:dyDescent="0.25">
      <c r="A169" s="45" t="s">
        <v>206</v>
      </c>
      <c r="B169" s="78" t="str">
        <f>IF(ISBLANK(A169),"","T"&amp;COUNTA($A$157:A169))</f>
        <v>T5</v>
      </c>
      <c r="C169" s="212" t="s">
        <v>214</v>
      </c>
      <c r="D169" s="72" t="s">
        <v>83</v>
      </c>
      <c r="E169" s="71" t="s">
        <v>84</v>
      </c>
      <c r="F169" s="546">
        <v>75</v>
      </c>
      <c r="G169" s="546">
        <v>75</v>
      </c>
      <c r="H169" s="546">
        <v>75</v>
      </c>
      <c r="I169" s="546">
        <v>75</v>
      </c>
      <c r="J169" s="144" t="s">
        <v>347</v>
      </c>
    </row>
    <row r="170" spans="1:10" s="38" customFormat="1" x14ac:dyDescent="0.25">
      <c r="A170" s="45" t="s">
        <v>206</v>
      </c>
      <c r="B170" s="78" t="str">
        <f>IF(ISBLANK(A170),"","T"&amp;COUNTA($A$157:A170))</f>
        <v>T6</v>
      </c>
      <c r="C170" s="212" t="s">
        <v>215</v>
      </c>
      <c r="D170" s="72" t="s">
        <v>83</v>
      </c>
      <c r="E170" s="71" t="s">
        <v>84</v>
      </c>
      <c r="F170" s="546"/>
      <c r="G170" s="546">
        <v>-300</v>
      </c>
      <c r="H170" s="546">
        <v>-300</v>
      </c>
      <c r="I170" s="546">
        <v>-300</v>
      </c>
      <c r="J170" s="144"/>
    </row>
    <row r="171" spans="1:10" s="38" customFormat="1" ht="26.25" customHeight="1" x14ac:dyDescent="0.25">
      <c r="A171" s="45" t="s">
        <v>206</v>
      </c>
      <c r="B171" s="78" t="str">
        <f>IF(ISBLANK(A171),"","T"&amp;COUNTA($A$157:A171))</f>
        <v>T7</v>
      </c>
      <c r="C171" s="212" t="s">
        <v>216</v>
      </c>
      <c r="D171" s="72" t="s">
        <v>83</v>
      </c>
      <c r="E171" s="71" t="s">
        <v>84</v>
      </c>
      <c r="F171" s="546"/>
      <c r="G171" s="546">
        <v>-500</v>
      </c>
      <c r="H171" s="546">
        <v>-500</v>
      </c>
      <c r="I171" s="546">
        <v>-500</v>
      </c>
      <c r="J171" s="144"/>
    </row>
    <row r="172" spans="1:10" s="38" customFormat="1" ht="30" x14ac:dyDescent="0.25">
      <c r="A172" s="45" t="s">
        <v>206</v>
      </c>
      <c r="B172" s="78" t="str">
        <f>IF(ISBLANK(A172),"","T"&amp;COUNTA($A$157:A172))</f>
        <v>T8</v>
      </c>
      <c r="C172" s="212" t="s">
        <v>217</v>
      </c>
      <c r="D172" s="72" t="s">
        <v>83</v>
      </c>
      <c r="E172" s="71" t="s">
        <v>24</v>
      </c>
      <c r="F172" s="546">
        <v>-1437</v>
      </c>
      <c r="G172" s="546">
        <v>-1437</v>
      </c>
      <c r="H172" s="546">
        <v>-1437</v>
      </c>
      <c r="I172" s="546">
        <v>-1437</v>
      </c>
      <c r="J172" s="295" t="s">
        <v>348</v>
      </c>
    </row>
    <row r="173" spans="1:10" s="38" customFormat="1" x14ac:dyDescent="0.25">
      <c r="A173" s="45" t="s">
        <v>206</v>
      </c>
      <c r="B173" s="78" t="str">
        <f>IF(ISBLANK(A173),"","T"&amp;COUNTA($A$157:A173))</f>
        <v>T9</v>
      </c>
      <c r="C173" s="212" t="s">
        <v>218</v>
      </c>
      <c r="D173" s="72" t="s">
        <v>83</v>
      </c>
      <c r="E173" s="71" t="s">
        <v>24</v>
      </c>
      <c r="F173" s="546">
        <v>1300</v>
      </c>
      <c r="G173" s="546">
        <v>1300</v>
      </c>
      <c r="H173" s="546">
        <v>1300</v>
      </c>
      <c r="I173" s="546">
        <v>1300</v>
      </c>
      <c r="J173" s="38" t="s">
        <v>349</v>
      </c>
    </row>
    <row r="174" spans="1:10" s="38" customFormat="1" x14ac:dyDescent="0.25">
      <c r="A174" s="45"/>
      <c r="B174" s="78" t="str">
        <f>IF(ISBLANK(A174),"","T"&amp;COUNTA($A$157:A174))</f>
        <v/>
      </c>
      <c r="C174" s="208" t="s">
        <v>224</v>
      </c>
      <c r="D174" s="72"/>
      <c r="E174" s="71"/>
      <c r="F174" s="4">
        <f>+F168</f>
        <v>2023</v>
      </c>
      <c r="G174" s="4">
        <f>F174+1</f>
        <v>2024</v>
      </c>
      <c r="H174" s="4">
        <f>G174+1</f>
        <v>2025</v>
      </c>
      <c r="I174" s="4">
        <f>H174+1</f>
        <v>2026</v>
      </c>
    </row>
    <row r="175" spans="1:10" s="38" customFormat="1" ht="30" x14ac:dyDescent="0.25">
      <c r="A175" s="45" t="s">
        <v>206</v>
      </c>
      <c r="B175" s="78" t="str">
        <f>IF(ISBLANK(A175),"","T"&amp;COUNTA($A$157:A175))</f>
        <v>T10</v>
      </c>
      <c r="C175" s="212" t="s">
        <v>225</v>
      </c>
      <c r="D175" s="72" t="s">
        <v>91</v>
      </c>
      <c r="E175" s="71" t="s">
        <v>24</v>
      </c>
      <c r="F175" s="546">
        <v>1300</v>
      </c>
      <c r="G175" s="546">
        <v>1300</v>
      </c>
      <c r="H175" s="546">
        <v>600</v>
      </c>
      <c r="I175" s="546">
        <v>500</v>
      </c>
      <c r="J175" s="295" t="s">
        <v>350</v>
      </c>
    </row>
    <row r="176" spans="1:10" s="38" customFormat="1" ht="45" x14ac:dyDescent="0.25">
      <c r="A176" s="45" t="s">
        <v>206</v>
      </c>
      <c r="B176" s="78" t="str">
        <f>IF(ISBLANK(A176),"","T"&amp;COUNTA($A$157:A176))</f>
        <v>T11</v>
      </c>
      <c r="C176" s="212" t="s">
        <v>226</v>
      </c>
      <c r="D176" s="72" t="s">
        <v>91</v>
      </c>
      <c r="E176" s="71" t="s">
        <v>24</v>
      </c>
      <c r="F176" s="546">
        <v>250</v>
      </c>
      <c r="G176" s="546">
        <v>250</v>
      </c>
      <c r="H176" s="546">
        <v>250</v>
      </c>
      <c r="I176" s="546">
        <v>250</v>
      </c>
      <c r="J176" s="295" t="s">
        <v>351</v>
      </c>
    </row>
    <row r="177" spans="1:10" s="38" customFormat="1" ht="45" x14ac:dyDescent="0.25">
      <c r="A177" s="45" t="s">
        <v>206</v>
      </c>
      <c r="B177" s="78" t="str">
        <f>IF(ISBLANK(A177),"","T"&amp;COUNTA($A$157:A177))</f>
        <v>T12</v>
      </c>
      <c r="C177" s="212" t="s">
        <v>227</v>
      </c>
      <c r="D177" s="72" t="s">
        <v>91</v>
      </c>
      <c r="E177" s="71" t="s">
        <v>24</v>
      </c>
      <c r="F177" s="546">
        <v>150</v>
      </c>
      <c r="G177" s="546">
        <v>150</v>
      </c>
      <c r="H177" s="546">
        <v>150</v>
      </c>
      <c r="I177" s="546">
        <v>150</v>
      </c>
      <c r="J177" s="295" t="s">
        <v>351</v>
      </c>
    </row>
    <row r="178" spans="1:10" s="38" customFormat="1" x14ac:dyDescent="0.25">
      <c r="A178" s="45"/>
      <c r="B178" s="78" t="str">
        <f>IF(ISBLANK(A178),"","T"&amp;COUNTA($A$157:A178))</f>
        <v/>
      </c>
      <c r="C178" s="208" t="s">
        <v>228</v>
      </c>
      <c r="D178" s="72"/>
      <c r="E178" s="71"/>
      <c r="F178" s="4">
        <f>+F174</f>
        <v>2023</v>
      </c>
      <c r="G178" s="4">
        <f>F178+1</f>
        <v>2024</v>
      </c>
      <c r="H178" s="4">
        <f>G178+1</f>
        <v>2025</v>
      </c>
      <c r="I178" s="4">
        <f>H178+1</f>
        <v>2026</v>
      </c>
    </row>
    <row r="179" spans="1:10" s="38" customFormat="1" x14ac:dyDescent="0.25">
      <c r="A179" s="45" t="s">
        <v>206</v>
      </c>
      <c r="B179" s="78" t="str">
        <f>IF(ISBLANK(A179),"","T"&amp;COUNTA($A$157:A179))</f>
        <v>T13</v>
      </c>
      <c r="C179" s="385" t="s">
        <v>229</v>
      </c>
      <c r="D179" s="214" t="s">
        <v>91</v>
      </c>
      <c r="E179" s="111" t="s">
        <v>24</v>
      </c>
      <c r="F179" s="547">
        <v>1000</v>
      </c>
      <c r="G179" s="547">
        <v>1000</v>
      </c>
      <c r="H179" s="547">
        <v>1000</v>
      </c>
      <c r="I179" s="547">
        <v>1000</v>
      </c>
    </row>
    <row r="180" spans="1:10" s="38" customFormat="1" x14ac:dyDescent="0.25">
      <c r="A180" s="45"/>
      <c r="B180" s="78"/>
      <c r="C180" s="212"/>
      <c r="D180" s="214"/>
      <c r="E180" s="111"/>
      <c r="F180" s="217"/>
      <c r="G180" s="217"/>
      <c r="H180" s="217"/>
      <c r="I180" s="217"/>
    </row>
    <row r="181" spans="1:10" s="38" customFormat="1" x14ac:dyDescent="0.25">
      <c r="A181" s="43"/>
      <c r="B181" s="43" t="s">
        <v>127</v>
      </c>
      <c r="C181" s="3" t="s">
        <v>230</v>
      </c>
      <c r="D181" s="52"/>
      <c r="E181" s="52"/>
      <c r="F181" s="56">
        <f>SUMIF($A:$A,"byte",F:F)</f>
        <v>18238</v>
      </c>
      <c r="G181" s="56">
        <f>SUMIF($A:$A,"byte",G:G)</f>
        <v>8988</v>
      </c>
      <c r="H181" s="56">
        <f>SUMIF($A:$A,"byte",H:H)</f>
        <v>2288</v>
      </c>
      <c r="I181" s="56">
        <f>SUMIF($A:$A,"byte",I:I)</f>
        <v>2188</v>
      </c>
    </row>
    <row r="182" spans="1:10" s="38" customFormat="1" x14ac:dyDescent="0.25">
      <c r="A182"/>
      <c r="B182" s="78"/>
      <c r="C182"/>
      <c r="D182"/>
      <c r="E182"/>
      <c r="F182"/>
      <c r="G182"/>
      <c r="H182"/>
      <c r="I182"/>
    </row>
    <row r="183" spans="1:10" s="38" customFormat="1" x14ac:dyDescent="0.25">
      <c r="A183" s="78"/>
      <c r="B183" s="78"/>
      <c r="C183" s="208" t="s">
        <v>231</v>
      </c>
      <c r="D183" s="72"/>
      <c r="E183" s="71"/>
      <c r="F183" s="4">
        <f>F168</f>
        <v>2023</v>
      </c>
      <c r="G183" s="4">
        <f>F183+1</f>
        <v>2024</v>
      </c>
      <c r="H183" s="4">
        <f>G183+1</f>
        <v>2025</v>
      </c>
      <c r="I183" s="4">
        <f>H183+1</f>
        <v>2026</v>
      </c>
    </row>
    <row r="184" spans="1:10" s="38" customFormat="1" x14ac:dyDescent="0.25">
      <c r="A184" s="78" t="s">
        <v>232</v>
      </c>
      <c r="B184" s="78" t="str">
        <f>IF(ISBLANK(A184),"","O"&amp;COUNTA($A$184:A184))</f>
        <v>O1</v>
      </c>
      <c r="C184" s="84" t="s">
        <v>233</v>
      </c>
      <c r="D184" s="72" t="s">
        <v>89</v>
      </c>
      <c r="E184" s="71" t="s">
        <v>84</v>
      </c>
      <c r="F184" s="70"/>
      <c r="G184" s="70">
        <v>5000</v>
      </c>
      <c r="H184" s="70">
        <v>10000</v>
      </c>
      <c r="I184" s="70">
        <v>10000</v>
      </c>
    </row>
    <row r="185" spans="1:10" s="38" customFormat="1" x14ac:dyDescent="0.25">
      <c r="A185" s="78" t="s">
        <v>232</v>
      </c>
      <c r="B185" s="78" t="str">
        <f>IF(ISBLANK(A185),"","O"&amp;COUNTA($A$184:A185))</f>
        <v>O2</v>
      </c>
      <c r="C185" s="84" t="s">
        <v>234</v>
      </c>
      <c r="D185" s="72" t="s">
        <v>89</v>
      </c>
      <c r="E185" s="71" t="s">
        <v>84</v>
      </c>
      <c r="F185" s="70"/>
      <c r="G185" s="70">
        <v>-6400</v>
      </c>
      <c r="H185" s="70">
        <v>-6400</v>
      </c>
      <c r="I185" s="70">
        <v>-6400</v>
      </c>
    </row>
    <row r="186" spans="1:10" s="38" customFormat="1" x14ac:dyDescent="0.25">
      <c r="A186" s="78" t="s">
        <v>232</v>
      </c>
      <c r="B186" s="78" t="str">
        <f>IF(ISBLANK(A186),"","O"&amp;COUNTA($A$184:A186))</f>
        <v>O3</v>
      </c>
      <c r="C186" s="84" t="s">
        <v>235</v>
      </c>
      <c r="D186" s="72" t="s">
        <v>91</v>
      </c>
      <c r="E186" s="414" t="s">
        <v>24</v>
      </c>
      <c r="F186" s="70">
        <v>700</v>
      </c>
      <c r="G186" s="70">
        <v>700</v>
      </c>
      <c r="H186" s="70">
        <v>700</v>
      </c>
      <c r="I186" s="70">
        <v>700</v>
      </c>
    </row>
    <row r="187" spans="1:10" s="38" customFormat="1" ht="25.5" x14ac:dyDescent="0.25">
      <c r="A187" s="78" t="s">
        <v>232</v>
      </c>
      <c r="B187" s="78" t="str">
        <f>IF(ISBLANK(A187),"","O"&amp;COUNTA($A$184:A187))</f>
        <v>O4</v>
      </c>
      <c r="C187" s="84" t="s">
        <v>236</v>
      </c>
      <c r="D187" s="72" t="s">
        <v>91</v>
      </c>
      <c r="E187" s="414" t="s">
        <v>24</v>
      </c>
      <c r="F187" s="70">
        <v>-700</v>
      </c>
      <c r="G187" s="70"/>
      <c r="H187" s="70"/>
      <c r="I187" s="70"/>
    </row>
    <row r="188" spans="1:10" s="38" customFormat="1" x14ac:dyDescent="0.25">
      <c r="A188" s="78" t="s">
        <v>232</v>
      </c>
      <c r="B188" s="78" t="str">
        <f>IF(ISBLANK(A188),"","O"&amp;COUNTA($A$184:A188))</f>
        <v>O5</v>
      </c>
      <c r="C188" s="84" t="s">
        <v>237</v>
      </c>
      <c r="D188" s="72" t="s">
        <v>91</v>
      </c>
      <c r="E188" s="71" t="s">
        <v>24</v>
      </c>
      <c r="F188" s="70">
        <v>1200</v>
      </c>
      <c r="G188" s="70">
        <v>1200</v>
      </c>
      <c r="H188" s="70">
        <v>1200</v>
      </c>
      <c r="I188" s="70">
        <v>1200</v>
      </c>
    </row>
    <row r="189" spans="1:10" s="38" customFormat="1" x14ac:dyDescent="0.25">
      <c r="A189" s="78" t="s">
        <v>232</v>
      </c>
      <c r="B189" s="78" t="str">
        <f>IF(ISBLANK(A189),"","O"&amp;COUNTA($A$184:A189))</f>
        <v>O6</v>
      </c>
      <c r="C189" s="344" t="s">
        <v>238</v>
      </c>
      <c r="D189" s="72" t="s">
        <v>91</v>
      </c>
      <c r="E189" s="71" t="s">
        <v>24</v>
      </c>
      <c r="F189" s="254">
        <v>1000</v>
      </c>
      <c r="G189" s="254">
        <v>1000</v>
      </c>
      <c r="H189" s="254"/>
      <c r="I189" s="254"/>
      <c r="J189" s="38" t="s">
        <v>352</v>
      </c>
    </row>
    <row r="190" spans="1:10" s="38" customFormat="1" x14ac:dyDescent="0.25">
      <c r="A190" s="78" t="s">
        <v>232</v>
      </c>
      <c r="B190" s="78" t="str">
        <f>IF(ISBLANK(A190),"","O"&amp;COUNTA($A$184:A190))</f>
        <v>O7</v>
      </c>
      <c r="C190" s="344" t="s">
        <v>239</v>
      </c>
      <c r="D190" s="72" t="s">
        <v>91</v>
      </c>
      <c r="E190" s="71" t="s">
        <v>24</v>
      </c>
      <c r="F190" s="254">
        <v>-1000</v>
      </c>
      <c r="G190" s="254">
        <v>-1000</v>
      </c>
      <c r="H190" s="254"/>
      <c r="I190" s="254"/>
      <c r="J190" s="38" t="s">
        <v>353</v>
      </c>
    </row>
    <row r="191" spans="1:10" s="38" customFormat="1" x14ac:dyDescent="0.25">
      <c r="A191" s="43"/>
      <c r="B191" s="43" t="s">
        <v>127</v>
      </c>
      <c r="C191" s="3" t="s">
        <v>240</v>
      </c>
      <c r="D191" s="52"/>
      <c r="E191" s="52"/>
      <c r="F191" s="56">
        <f>SUMIF($A:$A,"ORG",F:F)</f>
        <v>1200</v>
      </c>
      <c r="G191" s="56">
        <f>SUMIF($A:$A,"ORG",G:G)</f>
        <v>500</v>
      </c>
      <c r="H191" s="56">
        <f>SUMIF($A:$A,"ORG",H:H)</f>
        <v>5500</v>
      </c>
      <c r="I191" s="56">
        <f>SUMIF($A:$A,"ORG",I:I)</f>
        <v>5500</v>
      </c>
    </row>
    <row r="192" spans="1:10" s="38" customFormat="1" x14ac:dyDescent="0.25">
      <c r="A192" s="47"/>
      <c r="B192" s="78"/>
      <c r="C192" s="11"/>
      <c r="D192" s="49"/>
      <c r="E192" s="49"/>
      <c r="F192" s="57"/>
      <c r="G192" s="57"/>
      <c r="H192" s="57"/>
      <c r="I192" s="57"/>
    </row>
    <row r="193" spans="1:10" s="38" customFormat="1" x14ac:dyDescent="0.25">
      <c r="A193" s="48"/>
      <c r="B193" s="78"/>
      <c r="C193" s="13" t="s">
        <v>241</v>
      </c>
      <c r="D193" s="50"/>
      <c r="E193" s="61"/>
      <c r="F193" s="4">
        <f>F183</f>
        <v>2023</v>
      </c>
      <c r="G193" s="4">
        <f>F193+1</f>
        <v>2024</v>
      </c>
      <c r="H193" s="4">
        <f>G193+1</f>
        <v>2025</v>
      </c>
      <c r="I193" s="4">
        <f>H193+1</f>
        <v>2026</v>
      </c>
    </row>
    <row r="194" spans="1:10" s="38" customFormat="1" x14ac:dyDescent="0.25">
      <c r="A194" s="45" t="s">
        <v>242</v>
      </c>
      <c r="B194" s="78" t="str">
        <f>IF(ISBLANK(A194),"","Ø"&amp;COUNTA($A$194:A194))</f>
        <v>Ø1</v>
      </c>
      <c r="C194" s="346" t="s">
        <v>243</v>
      </c>
      <c r="D194" s="72" t="s">
        <v>91</v>
      </c>
      <c r="E194" s="71" t="s">
        <v>24</v>
      </c>
      <c r="F194" s="70">
        <v>1400</v>
      </c>
      <c r="G194" s="70">
        <v>1400</v>
      </c>
      <c r="H194" s="70">
        <v>1400</v>
      </c>
      <c r="I194" s="70">
        <v>1400</v>
      </c>
    </row>
    <row r="195" spans="1:10" s="38" customFormat="1" x14ac:dyDescent="0.25">
      <c r="A195" s="45" t="s">
        <v>242</v>
      </c>
      <c r="B195" s="78" t="str">
        <f>IF(ISBLANK(A195),"","Ø"&amp;COUNTA($A$194:A195))</f>
        <v>Ø2</v>
      </c>
      <c r="C195" s="346" t="s">
        <v>244</v>
      </c>
      <c r="D195" s="72" t="s">
        <v>91</v>
      </c>
      <c r="E195" s="71" t="s">
        <v>24</v>
      </c>
      <c r="F195" s="70">
        <v>-1400</v>
      </c>
      <c r="G195" s="70">
        <v>-1400</v>
      </c>
      <c r="H195" s="70"/>
      <c r="I195" s="70"/>
    </row>
    <row r="196" spans="1:10" s="38" customFormat="1" x14ac:dyDescent="0.25">
      <c r="A196" s="45" t="s">
        <v>242</v>
      </c>
      <c r="B196" s="78" t="str">
        <f>IF(ISBLANK(A196),"","Ø"&amp;COUNTA($A$194:A196))</f>
        <v>Ø3</v>
      </c>
      <c r="C196" s="347" t="s">
        <v>245</v>
      </c>
      <c r="D196" s="72" t="s">
        <v>91</v>
      </c>
      <c r="E196" s="71" t="s">
        <v>24</v>
      </c>
      <c r="F196" s="421">
        <f>1600-1600</f>
        <v>0</v>
      </c>
      <c r="G196" s="70">
        <v>1600</v>
      </c>
      <c r="H196" s="70">
        <v>1600</v>
      </c>
      <c r="I196" s="70">
        <v>1600</v>
      </c>
      <c r="J196" s="38" t="s">
        <v>354</v>
      </c>
    </row>
    <row r="197" spans="1:10" s="38" customFormat="1" x14ac:dyDescent="0.25">
      <c r="A197" s="45" t="s">
        <v>242</v>
      </c>
      <c r="B197" s="78" t="str">
        <f>IF(ISBLANK(A197),"","Ø"&amp;COUNTA($A$194:A197))</f>
        <v>Ø4</v>
      </c>
      <c r="C197" s="347" t="s">
        <v>382</v>
      </c>
      <c r="D197" s="72" t="s">
        <v>91</v>
      </c>
      <c r="E197" s="71">
        <v>1</v>
      </c>
      <c r="F197" s="70"/>
      <c r="G197" s="70"/>
      <c r="H197" s="70"/>
      <c r="I197" s="70"/>
      <c r="J197" s="38" t="s">
        <v>383</v>
      </c>
    </row>
    <row r="198" spans="1:10" s="38" customFormat="1" x14ac:dyDescent="0.25">
      <c r="A198" s="45" t="s">
        <v>242</v>
      </c>
      <c r="B198" s="78" t="str">
        <f>IF(ISBLANK(A198),"","Ø"&amp;COUNTA($A$194:A198))</f>
        <v>Ø5</v>
      </c>
      <c r="C198" s="347" t="s">
        <v>246</v>
      </c>
      <c r="D198" s="72" t="s">
        <v>91</v>
      </c>
      <c r="E198" s="71" t="s">
        <v>24</v>
      </c>
      <c r="F198" s="70">
        <v>800</v>
      </c>
      <c r="G198" s="70">
        <v>800</v>
      </c>
      <c r="H198" s="70">
        <v>800</v>
      </c>
      <c r="I198" s="70">
        <v>800</v>
      </c>
      <c r="J198" s="38" t="s">
        <v>354</v>
      </c>
    </row>
    <row r="199" spans="1:10" s="38" customFormat="1" ht="30" x14ac:dyDescent="0.25">
      <c r="A199" s="45" t="s">
        <v>242</v>
      </c>
      <c r="B199" s="78" t="str">
        <f>IF(ISBLANK(A199),"","Ø"&amp;COUNTA($A$194:A199))</f>
        <v>Ø6</v>
      </c>
      <c r="C199" s="347" t="s">
        <v>247</v>
      </c>
      <c r="D199" s="72" t="s">
        <v>91</v>
      </c>
      <c r="E199" s="71" t="s">
        <v>24</v>
      </c>
      <c r="F199" s="254">
        <v>-800</v>
      </c>
      <c r="G199" s="254"/>
      <c r="H199" s="254"/>
      <c r="I199" s="254"/>
    </row>
    <row r="200" spans="1:10" s="38" customFormat="1" x14ac:dyDescent="0.25">
      <c r="A200" s="43"/>
      <c r="B200" s="43" t="s">
        <v>127</v>
      </c>
      <c r="C200" s="3" t="s">
        <v>248</v>
      </c>
      <c r="D200" s="52"/>
      <c r="E200" s="52"/>
      <c r="F200" s="56">
        <f>SUMIF($A:$A,"ØK",F:F)</f>
        <v>0</v>
      </c>
      <c r="G200" s="56">
        <f>SUMIF($A:$A,"ØK",G:G)</f>
        <v>2400</v>
      </c>
      <c r="H200" s="56">
        <f>SUMIF($A:$A,"ØK",H:H)</f>
        <v>3800</v>
      </c>
      <c r="I200" s="56">
        <f>SUMIF($A:$A,"ØK",I:I)</f>
        <v>3800</v>
      </c>
    </row>
    <row r="201" spans="1:10" s="38" customFormat="1" x14ac:dyDescent="0.25">
      <c r="A201" s="47"/>
      <c r="B201" s="78"/>
      <c r="C201" s="11"/>
      <c r="D201" s="49"/>
      <c r="E201" s="49"/>
      <c r="F201" s="57"/>
      <c r="G201" s="57"/>
      <c r="H201" s="57"/>
      <c r="I201" s="57"/>
    </row>
    <row r="202" spans="1:10" s="38" customFormat="1" ht="30" x14ac:dyDescent="0.25">
      <c r="A202" s="48"/>
      <c r="B202" s="78"/>
      <c r="C202" s="13" t="s">
        <v>249</v>
      </c>
      <c r="D202" s="50"/>
      <c r="E202" s="61"/>
      <c r="F202" s="58"/>
      <c r="G202" s="58"/>
      <c r="H202" s="58"/>
      <c r="I202" s="58"/>
    </row>
    <row r="203" spans="1:10" s="38" customFormat="1" x14ac:dyDescent="0.25">
      <c r="A203" s="249"/>
      <c r="B203" s="78"/>
      <c r="C203" s="82" t="s">
        <v>250</v>
      </c>
      <c r="D203" s="83"/>
      <c r="E203" s="71"/>
      <c r="F203" s="4">
        <f>F193</f>
        <v>2023</v>
      </c>
      <c r="G203" s="4">
        <f>F203+1</f>
        <v>2024</v>
      </c>
      <c r="H203" s="4">
        <f>G203+1</f>
        <v>2025</v>
      </c>
      <c r="I203" s="4">
        <f>H203+1</f>
        <v>2026</v>
      </c>
    </row>
    <row r="204" spans="1:10" s="38" customFormat="1" x14ac:dyDescent="0.25">
      <c r="A204" s="72" t="s">
        <v>251</v>
      </c>
      <c r="B204" s="78" t="str">
        <f>IF(ISBLANK(A204),"","F"&amp;COUNTA($A$204:A204))</f>
        <v>F1</v>
      </c>
      <c r="C204" s="245" t="s">
        <v>252</v>
      </c>
      <c r="D204" s="79" t="s">
        <v>91</v>
      </c>
      <c r="E204" s="71" t="s">
        <v>24</v>
      </c>
      <c r="F204" s="191">
        <v>150</v>
      </c>
      <c r="G204" s="191">
        <v>150</v>
      </c>
      <c r="H204" s="191">
        <v>150</v>
      </c>
      <c r="I204" s="191">
        <v>150</v>
      </c>
    </row>
    <row r="205" spans="1:10" s="38" customFormat="1" x14ac:dyDescent="0.25">
      <c r="A205" s="72"/>
      <c r="B205" s="78" t="str">
        <f>IF(ISBLANK(A205),"","F"&amp;COUNTA($A$204:A205))</f>
        <v/>
      </c>
      <c r="C205" s="82" t="s">
        <v>257</v>
      </c>
      <c r="D205" s="83"/>
      <c r="E205" s="71"/>
      <c r="F205" s="300">
        <f>F203</f>
        <v>2023</v>
      </c>
      <c r="G205" s="300">
        <f>F205+1</f>
        <v>2024</v>
      </c>
      <c r="H205" s="300">
        <f>G205+1</f>
        <v>2025</v>
      </c>
      <c r="I205" s="300">
        <f>H205+1</f>
        <v>2026</v>
      </c>
    </row>
    <row r="206" spans="1:10" s="38" customFormat="1" x14ac:dyDescent="0.25">
      <c r="A206" s="72" t="s">
        <v>251</v>
      </c>
      <c r="B206" s="78" t="str">
        <f>IF(ISBLANK(A206),"","F"&amp;COUNTA($A$204:A206))</f>
        <v>F2</v>
      </c>
      <c r="C206" s="84" t="s">
        <v>384</v>
      </c>
      <c r="D206" s="72" t="s">
        <v>89</v>
      </c>
      <c r="E206" s="71" t="s">
        <v>84</v>
      </c>
      <c r="F206" s="612">
        <v>2500</v>
      </c>
      <c r="G206" s="612">
        <v>2500</v>
      </c>
      <c r="H206" s="612">
        <v>2500</v>
      </c>
      <c r="I206" s="612">
        <v>2500</v>
      </c>
      <c r="J206" s="144" t="s">
        <v>385</v>
      </c>
    </row>
    <row r="207" spans="1:10" s="38" customFormat="1" x14ac:dyDescent="0.25">
      <c r="A207" s="72" t="s">
        <v>251</v>
      </c>
      <c r="B207" s="78" t="str">
        <f>IF(ISBLANK(A207),"","F"&amp;COUNTA($A$204:A207))</f>
        <v>F3</v>
      </c>
      <c r="C207" s="84" t="s">
        <v>386</v>
      </c>
      <c r="D207" s="72" t="s">
        <v>89</v>
      </c>
      <c r="E207" s="71" t="s">
        <v>84</v>
      </c>
      <c r="F207" s="612">
        <v>-2000</v>
      </c>
      <c r="G207" s="612">
        <v>-600</v>
      </c>
      <c r="H207" s="612">
        <v>-600</v>
      </c>
      <c r="I207" s="612">
        <v>-600</v>
      </c>
      <c r="J207" s="611" t="s">
        <v>387</v>
      </c>
    </row>
    <row r="208" spans="1:10" s="38" customFormat="1" x14ac:dyDescent="0.25">
      <c r="A208" s="72" t="s">
        <v>251</v>
      </c>
      <c r="B208" s="78" t="str">
        <f>IF(ISBLANK(A208),"","F"&amp;COUNTA($A$204:A208))</f>
        <v>F4</v>
      </c>
      <c r="C208" s="84" t="s">
        <v>260</v>
      </c>
      <c r="D208" s="72" t="s">
        <v>83</v>
      </c>
      <c r="E208" s="71" t="s">
        <v>24</v>
      </c>
      <c r="F208" s="282">
        <v>132000</v>
      </c>
      <c r="G208" s="282">
        <v>132000</v>
      </c>
      <c r="H208" s="282">
        <v>132000</v>
      </c>
      <c r="I208" s="282">
        <v>132000</v>
      </c>
      <c r="J208" s="38" t="s">
        <v>388</v>
      </c>
    </row>
    <row r="209" spans="1:11" s="38" customFormat="1" x14ac:dyDescent="0.25">
      <c r="A209" s="72" t="s">
        <v>251</v>
      </c>
      <c r="B209" s="78" t="str">
        <f>IF(ISBLANK(A209),"","F"&amp;COUNTA($A$204:A209))</f>
        <v>F5</v>
      </c>
      <c r="C209" s="84" t="s">
        <v>261</v>
      </c>
      <c r="D209" s="72" t="s">
        <v>91</v>
      </c>
      <c r="E209" s="71" t="s">
        <v>24</v>
      </c>
      <c r="F209" s="282">
        <v>20000</v>
      </c>
      <c r="G209" s="282">
        <v>20000</v>
      </c>
      <c r="H209" s="282">
        <v>20000</v>
      </c>
      <c r="I209" s="282">
        <v>20000</v>
      </c>
    </row>
    <row r="210" spans="1:11" s="38" customFormat="1" ht="25.5" x14ac:dyDescent="0.25">
      <c r="A210" s="72" t="s">
        <v>251</v>
      </c>
      <c r="B210" s="78" t="str">
        <f>IF(ISBLANK(A210),"","F"&amp;COUNTA($A$204:A210))</f>
        <v>F6</v>
      </c>
      <c r="C210" s="84" t="s">
        <v>262</v>
      </c>
      <c r="D210" s="72" t="s">
        <v>89</v>
      </c>
      <c r="E210" s="71" t="s">
        <v>84</v>
      </c>
      <c r="F210" s="528"/>
      <c r="G210" s="528">
        <v>-575</v>
      </c>
      <c r="H210" s="528">
        <v>-575</v>
      </c>
      <c r="I210" s="528">
        <v>-575</v>
      </c>
    </row>
    <row r="211" spans="1:11" s="38" customFormat="1" ht="25.5" x14ac:dyDescent="0.25">
      <c r="A211" s="72" t="s">
        <v>251</v>
      </c>
      <c r="B211" s="78" t="str">
        <f>IF(ISBLANK(A211),"","F"&amp;COUNTA($A$204:A211))</f>
        <v>F7</v>
      </c>
      <c r="C211" s="84" t="s">
        <v>263</v>
      </c>
      <c r="D211" s="72" t="s">
        <v>89</v>
      </c>
      <c r="E211" s="71" t="s">
        <v>84</v>
      </c>
      <c r="F211" s="255"/>
      <c r="G211" s="255"/>
      <c r="H211" s="255"/>
      <c r="I211" s="255">
        <v>-450</v>
      </c>
    </row>
    <row r="212" spans="1:11" s="38" customFormat="1" x14ac:dyDescent="0.25">
      <c r="A212" s="72" t="s">
        <v>251</v>
      </c>
      <c r="B212" s="78" t="str">
        <f>IF(ISBLANK(A212),"","F"&amp;COUNTA($A$204:A212))</f>
        <v>F8</v>
      </c>
      <c r="C212" s="604" t="s">
        <v>265</v>
      </c>
      <c r="D212" s="72" t="s">
        <v>91</v>
      </c>
      <c r="E212" s="231" t="s">
        <v>24</v>
      </c>
      <c r="F212" s="613">
        <v>700</v>
      </c>
      <c r="G212" s="613">
        <v>700</v>
      </c>
      <c r="H212" s="613">
        <v>800</v>
      </c>
      <c r="I212" s="613">
        <v>800</v>
      </c>
      <c r="J212" s="611" t="s">
        <v>359</v>
      </c>
    </row>
    <row r="213" spans="1:11" s="38" customFormat="1" x14ac:dyDescent="0.25">
      <c r="A213" s="72" t="s">
        <v>251</v>
      </c>
      <c r="B213" s="78" t="str">
        <f>IF(ISBLANK(A213),"","F"&amp;COUNTA($A$204:A213))</f>
        <v>F9</v>
      </c>
      <c r="C213" s="604" t="s">
        <v>389</v>
      </c>
      <c r="D213" s="72" t="s">
        <v>91</v>
      </c>
      <c r="E213" s="71" t="s">
        <v>24</v>
      </c>
      <c r="F213" s="613">
        <v>1000</v>
      </c>
      <c r="G213" s="613">
        <v>1000</v>
      </c>
      <c r="H213" s="613">
        <v>1000</v>
      </c>
      <c r="I213" s="613">
        <v>1000</v>
      </c>
      <c r="J213" s="611" t="s">
        <v>387</v>
      </c>
      <c r="K213" s="38" t="s">
        <v>360</v>
      </c>
    </row>
    <row r="214" spans="1:11" s="38" customFormat="1" x14ac:dyDescent="0.25">
      <c r="A214" s="72" t="s">
        <v>251</v>
      </c>
      <c r="B214" s="78" t="str">
        <f>IF(ISBLANK(A214),"","F"&amp;COUNTA($A$204:A214))</f>
        <v>F10</v>
      </c>
      <c r="C214" s="604" t="s">
        <v>390</v>
      </c>
      <c r="D214" s="72" t="s">
        <v>91</v>
      </c>
      <c r="E214" s="71" t="s">
        <v>24</v>
      </c>
      <c r="F214" s="613">
        <v>365</v>
      </c>
      <c r="G214" s="613">
        <v>365</v>
      </c>
      <c r="H214" s="613">
        <v>365</v>
      </c>
      <c r="I214" s="613">
        <v>365</v>
      </c>
      <c r="J214" s="144" t="s">
        <v>361</v>
      </c>
    </row>
    <row r="215" spans="1:11" s="38" customFormat="1" x14ac:dyDescent="0.25">
      <c r="A215" s="72" t="s">
        <v>251</v>
      </c>
      <c r="B215" s="78" t="str">
        <f>IF(ISBLANK(A215),"","F"&amp;COUNTA($A$204:A215))</f>
        <v>F11</v>
      </c>
      <c r="C215" s="604" t="s">
        <v>391</v>
      </c>
      <c r="D215" s="72" t="s">
        <v>91</v>
      </c>
      <c r="E215" s="71" t="s">
        <v>24</v>
      </c>
      <c r="F215" s="613">
        <v>50</v>
      </c>
      <c r="G215" s="613">
        <v>50</v>
      </c>
      <c r="H215" s="613">
        <v>50</v>
      </c>
      <c r="I215" s="613">
        <v>50</v>
      </c>
      <c r="J215" s="144" t="s">
        <v>362</v>
      </c>
    </row>
    <row r="216" spans="1:11" s="38" customFormat="1" x14ac:dyDescent="0.25">
      <c r="A216" s="72" t="s">
        <v>251</v>
      </c>
      <c r="B216" s="78" t="str">
        <f>IF(ISBLANK(A216),"","F"&amp;COUNTA($A$204:A216))</f>
        <v>F12</v>
      </c>
      <c r="C216" s="604" t="s">
        <v>392</v>
      </c>
      <c r="D216" s="72" t="s">
        <v>91</v>
      </c>
      <c r="E216" s="71" t="s">
        <v>24</v>
      </c>
      <c r="F216" s="613">
        <v>62</v>
      </c>
      <c r="G216" s="613">
        <v>62</v>
      </c>
      <c r="H216" s="613">
        <v>62</v>
      </c>
      <c r="I216" s="613">
        <v>62</v>
      </c>
      <c r="J216" s="611" t="s">
        <v>363</v>
      </c>
    </row>
    <row r="217" spans="1:11" s="38" customFormat="1" x14ac:dyDescent="0.25">
      <c r="A217" s="72" t="s">
        <v>251</v>
      </c>
      <c r="B217" s="78" t="str">
        <f>IF(ISBLANK(A217),"","F"&amp;COUNTA($A$204:A217))</f>
        <v>F13</v>
      </c>
      <c r="C217" s="604" t="s">
        <v>270</v>
      </c>
      <c r="D217" s="72" t="s">
        <v>91</v>
      </c>
      <c r="E217" s="71" t="s">
        <v>24</v>
      </c>
      <c r="F217" s="255">
        <v>500</v>
      </c>
      <c r="G217" s="606"/>
      <c r="H217" s="606"/>
      <c r="I217" s="606"/>
      <c r="J217" s="611" t="s">
        <v>364</v>
      </c>
    </row>
    <row r="218" spans="1:11" s="38" customFormat="1" x14ac:dyDescent="0.25">
      <c r="A218" s="72" t="s">
        <v>251</v>
      </c>
      <c r="B218" s="78" t="str">
        <f>IF(ISBLANK(A218),"","F"&amp;COUNTA($A$204:A218))</f>
        <v>F14</v>
      </c>
      <c r="C218" s="604" t="s">
        <v>272</v>
      </c>
      <c r="D218" s="72" t="s">
        <v>91</v>
      </c>
      <c r="E218" s="71" t="s">
        <v>24</v>
      </c>
      <c r="F218" s="255">
        <v>-500</v>
      </c>
      <c r="G218" s="606"/>
      <c r="H218" s="606"/>
      <c r="I218" s="606"/>
      <c r="J218" s="611" t="s">
        <v>365</v>
      </c>
    </row>
    <row r="219" spans="1:11" s="38" customFormat="1" x14ac:dyDescent="0.25">
      <c r="A219" s="72" t="s">
        <v>251</v>
      </c>
      <c r="B219" s="78" t="str">
        <f>IF(ISBLANK(A219),"","F"&amp;COUNTA($A$204:A219))</f>
        <v>F15</v>
      </c>
      <c r="C219" s="604" t="s">
        <v>275</v>
      </c>
      <c r="D219" s="72" t="s">
        <v>91</v>
      </c>
      <c r="E219" s="71" t="s">
        <v>24</v>
      </c>
      <c r="F219" s="564">
        <v>773</v>
      </c>
      <c r="G219" s="606"/>
      <c r="H219" s="606"/>
      <c r="I219" s="606"/>
      <c r="J219" s="611"/>
    </row>
    <row r="220" spans="1:11" s="38" customFormat="1" x14ac:dyDescent="0.25">
      <c r="A220" s="72" t="s">
        <v>251</v>
      </c>
      <c r="B220" s="78" t="str">
        <f>IF(ISBLANK(A220),"","F"&amp;COUNTA($A$204:A220))</f>
        <v>F16</v>
      </c>
      <c r="C220" s="604" t="s">
        <v>276</v>
      </c>
      <c r="D220" s="72" t="s">
        <v>91</v>
      </c>
      <c r="E220" s="71" t="s">
        <v>24</v>
      </c>
      <c r="F220" s="622">
        <v>550</v>
      </c>
      <c r="G220" s="615">
        <v>550</v>
      </c>
      <c r="H220" s="615">
        <v>550</v>
      </c>
      <c r="I220" s="615">
        <v>550</v>
      </c>
      <c r="J220" s="144" t="s">
        <v>393</v>
      </c>
    </row>
    <row r="221" spans="1:11" s="38" customFormat="1" x14ac:dyDescent="0.25">
      <c r="A221" s="72" t="s">
        <v>251</v>
      </c>
      <c r="B221" s="78" t="str">
        <f>IF(ISBLANK(A221),"","F"&amp;COUNTA($A$204:A221))</f>
        <v>F17</v>
      </c>
      <c r="C221" s="604" t="s">
        <v>277</v>
      </c>
      <c r="D221" s="72" t="s">
        <v>91</v>
      </c>
      <c r="E221" s="71" t="s">
        <v>24</v>
      </c>
      <c r="F221" s="580">
        <v>550</v>
      </c>
      <c r="G221" s="580">
        <v>550</v>
      </c>
      <c r="H221" s="580">
        <v>550</v>
      </c>
      <c r="I221" s="580">
        <v>550</v>
      </c>
      <c r="J221" s="144"/>
    </row>
    <row r="222" spans="1:11" s="38" customFormat="1" x14ac:dyDescent="0.25">
      <c r="A222" s="72" t="s">
        <v>251</v>
      </c>
      <c r="B222" s="78" t="str">
        <f>IF(ISBLANK(A222),"","F"&amp;COUNTA($A$204:A222))</f>
        <v>F18</v>
      </c>
      <c r="C222" s="604" t="s">
        <v>278</v>
      </c>
      <c r="D222" s="72" t="s">
        <v>91</v>
      </c>
      <c r="E222" s="71" t="s">
        <v>24</v>
      </c>
      <c r="F222" s="622"/>
      <c r="G222" s="615"/>
      <c r="H222" s="615"/>
      <c r="I222" s="615"/>
      <c r="J222" s="144" t="s">
        <v>394</v>
      </c>
    </row>
    <row r="223" spans="1:11" s="38" customFormat="1" x14ac:dyDescent="0.25">
      <c r="A223" s="72" t="s">
        <v>251</v>
      </c>
      <c r="B223" s="78" t="str">
        <f>IF(ISBLANK(A223),"","F"&amp;COUNTA($A$204:A223))</f>
        <v>F19</v>
      </c>
      <c r="C223" s="604" t="s">
        <v>395</v>
      </c>
      <c r="D223" s="72" t="s">
        <v>91</v>
      </c>
      <c r="E223" s="71" t="s">
        <v>24</v>
      </c>
      <c r="F223" s="622"/>
      <c r="G223" s="615"/>
      <c r="H223" s="615"/>
      <c r="I223" s="615"/>
      <c r="J223" s="144" t="s">
        <v>394</v>
      </c>
    </row>
    <row r="224" spans="1:11" s="38" customFormat="1" x14ac:dyDescent="0.25">
      <c r="A224" s="72" t="s">
        <v>251</v>
      </c>
      <c r="B224" s="78" t="str">
        <f>IF(ISBLANK(A224),"","F"&amp;COUNTA($A$204:A224))</f>
        <v>F20</v>
      </c>
      <c r="C224" s="604" t="s">
        <v>396</v>
      </c>
      <c r="D224" s="72" t="s">
        <v>91</v>
      </c>
      <c r="E224" s="231" t="s">
        <v>24</v>
      </c>
      <c r="F224" s="624">
        <v>4000</v>
      </c>
      <c r="G224" s="613"/>
      <c r="H224" s="613"/>
      <c r="I224" s="613"/>
      <c r="J224" s="144" t="s">
        <v>397</v>
      </c>
    </row>
    <row r="225" spans="1:10" s="38" customFormat="1" x14ac:dyDescent="0.25">
      <c r="A225" s="72" t="s">
        <v>251</v>
      </c>
      <c r="B225" s="78" t="str">
        <f>IF(ISBLANK(A225),"","F"&amp;COUNTA($A$204:A225))</f>
        <v>F21</v>
      </c>
      <c r="C225" s="604"/>
      <c r="D225" s="72" t="s">
        <v>91</v>
      </c>
      <c r="E225" s="71" t="s">
        <v>24</v>
      </c>
      <c r="F225" s="622"/>
      <c r="G225" s="615"/>
      <c r="H225" s="615"/>
      <c r="I225" s="615"/>
      <c r="J225" s="144"/>
    </row>
    <row r="226" spans="1:10" s="38" customFormat="1" x14ac:dyDescent="0.25">
      <c r="A226" s="72" t="s">
        <v>251</v>
      </c>
      <c r="B226" s="78" t="str">
        <f>IF(ISBLANK(A226),"","F"&amp;COUNTA($A$204:A226))</f>
        <v>F22</v>
      </c>
      <c r="C226" s="604"/>
      <c r="D226" s="72" t="s">
        <v>91</v>
      </c>
      <c r="E226" s="71" t="s">
        <v>24</v>
      </c>
      <c r="F226" s="622"/>
      <c r="G226" s="615"/>
      <c r="H226" s="615"/>
      <c r="I226" s="615"/>
      <c r="J226" s="144"/>
    </row>
    <row r="227" spans="1:10" s="38" customFormat="1" x14ac:dyDescent="0.25">
      <c r="A227" s="72"/>
      <c r="B227" s="78" t="str">
        <f>IF(ISBLANK(A227),"","F"&amp;COUNTA($A$204:A227))</f>
        <v/>
      </c>
      <c r="C227" s="82" t="s">
        <v>282</v>
      </c>
      <c r="D227" s="72"/>
      <c r="E227" s="71"/>
      <c r="F227" s="255"/>
      <c r="G227" s="255"/>
      <c r="H227" s="255"/>
      <c r="I227" s="255"/>
    </row>
    <row r="228" spans="1:10" s="38" customFormat="1" x14ac:dyDescent="0.25">
      <c r="A228" s="72" t="s">
        <v>251</v>
      </c>
      <c r="B228" s="78" t="str">
        <f>IF(ISBLANK(A228),"","F"&amp;COUNTA($A$204:A228))</f>
        <v>F23</v>
      </c>
      <c r="C228" s="84" t="s">
        <v>283</v>
      </c>
      <c r="D228" s="72" t="s">
        <v>91</v>
      </c>
      <c r="E228" s="71" t="s">
        <v>24</v>
      </c>
      <c r="F228" s="255">
        <v>2082</v>
      </c>
      <c r="G228" s="255">
        <v>3750</v>
      </c>
      <c r="H228" s="255">
        <v>4536</v>
      </c>
      <c r="I228" s="255">
        <v>6335</v>
      </c>
    </row>
    <row r="229" spans="1:10" s="38" customFormat="1" x14ac:dyDescent="0.25">
      <c r="A229" s="72" t="s">
        <v>251</v>
      </c>
      <c r="B229" s="78" t="str">
        <f>IF(ISBLANK(A229),"","F"&amp;COUNTA($A$204:A229))</f>
        <v>F24</v>
      </c>
      <c r="C229" s="84" t="s">
        <v>284</v>
      </c>
      <c r="D229" s="72" t="s">
        <v>91</v>
      </c>
      <c r="E229" s="71" t="s">
        <v>24</v>
      </c>
      <c r="F229" s="255">
        <v>517</v>
      </c>
      <c r="G229" s="255">
        <v>517</v>
      </c>
      <c r="H229" s="255">
        <v>568</v>
      </c>
      <c r="I229" s="255">
        <v>1542</v>
      </c>
    </row>
    <row r="230" spans="1:10" s="38" customFormat="1" x14ac:dyDescent="0.25">
      <c r="A230" s="72" t="s">
        <v>251</v>
      </c>
      <c r="B230" s="78" t="str">
        <f>IF(ISBLANK(A230),"","F"&amp;COUNTA($A$204:A230))</f>
        <v>F25</v>
      </c>
      <c r="C230" s="84" t="s">
        <v>285</v>
      </c>
      <c r="D230" s="72" t="s">
        <v>91</v>
      </c>
      <c r="E230" s="71" t="s">
        <v>24</v>
      </c>
      <c r="F230" s="255">
        <f>10854+1200</f>
        <v>12054</v>
      </c>
      <c r="G230" s="255">
        <f>10854+1200</f>
        <v>12054</v>
      </c>
      <c r="H230" s="255">
        <f>10854+1200</f>
        <v>12054</v>
      </c>
      <c r="I230" s="255">
        <f>10854+1200</f>
        <v>12054</v>
      </c>
      <c r="J230" s="38" t="s">
        <v>370</v>
      </c>
    </row>
    <row r="231" spans="1:10" s="38" customFormat="1" x14ac:dyDescent="0.25">
      <c r="A231" s="72" t="s">
        <v>251</v>
      </c>
      <c r="B231" s="78" t="str">
        <f>IF(ISBLANK(A231),"","F"&amp;COUNTA($A$204:A231))</f>
        <v>F26</v>
      </c>
      <c r="C231" s="84" t="s">
        <v>286</v>
      </c>
      <c r="D231" s="72" t="s">
        <v>91</v>
      </c>
      <c r="E231" s="71" t="s">
        <v>24</v>
      </c>
      <c r="F231" s="255">
        <v>35000</v>
      </c>
      <c r="G231" s="255">
        <v>14000</v>
      </c>
      <c r="H231" s="255">
        <v>1000</v>
      </c>
      <c r="I231" s="255">
        <v>1000</v>
      </c>
      <c r="J231" s="144"/>
    </row>
    <row r="232" spans="1:10" s="38" customFormat="1" x14ac:dyDescent="0.25">
      <c r="A232" s="72" t="s">
        <v>251</v>
      </c>
      <c r="B232" s="78" t="str">
        <f>IF(ISBLANK(A232),"","F"&amp;COUNTA($A$204:A232))</f>
        <v>F27</v>
      </c>
      <c r="C232" s="84" t="s">
        <v>287</v>
      </c>
      <c r="D232" s="72" t="s">
        <v>91</v>
      </c>
      <c r="E232" s="71" t="s">
        <v>24</v>
      </c>
      <c r="F232" s="255">
        <v>35000</v>
      </c>
      <c r="G232" s="255">
        <v>35000</v>
      </c>
      <c r="H232" s="255">
        <v>35000</v>
      </c>
      <c r="I232" s="255">
        <v>35000</v>
      </c>
      <c r="J232" s="38" t="s">
        <v>371</v>
      </c>
    </row>
    <row r="233" spans="1:10" s="38" customFormat="1" x14ac:dyDescent="0.25">
      <c r="A233" s="72" t="s">
        <v>251</v>
      </c>
      <c r="B233" s="78" t="str">
        <f>IF(ISBLANK(A233),"","F"&amp;COUNTA($A$204:A233))</f>
        <v>F28</v>
      </c>
      <c r="C233" s="84"/>
      <c r="D233" s="72"/>
      <c r="E233" s="71"/>
      <c r="F233" s="255"/>
      <c r="G233" s="255"/>
      <c r="H233" s="255"/>
      <c r="I233" s="255"/>
    </row>
    <row r="234" spans="1:10" s="38" customFormat="1" ht="18" customHeight="1" x14ac:dyDescent="0.25">
      <c r="A234" s="72"/>
      <c r="B234" s="78" t="str">
        <f>IF(ISBLANK(A234),"","F"&amp;COUNTA($A$204:A234))</f>
        <v/>
      </c>
      <c r="C234" s="82" t="s">
        <v>288</v>
      </c>
      <c r="D234" s="83"/>
      <c r="E234" s="71"/>
      <c r="F234" s="4">
        <f>F205</f>
        <v>2023</v>
      </c>
      <c r="G234" s="4">
        <f>F234+1</f>
        <v>2024</v>
      </c>
      <c r="H234" s="4">
        <f>G234+1</f>
        <v>2025</v>
      </c>
      <c r="I234" s="4">
        <f>H234+1</f>
        <v>2026</v>
      </c>
    </row>
    <row r="235" spans="1:10" s="38" customFormat="1" x14ac:dyDescent="0.25">
      <c r="A235" s="72" t="s">
        <v>251</v>
      </c>
      <c r="B235" s="78" t="str">
        <f>IF(ISBLANK(A235),"","F"&amp;COUNTA($A$204:A235))</f>
        <v>F29</v>
      </c>
      <c r="C235" s="38" t="s">
        <v>289</v>
      </c>
      <c r="D235" s="72" t="s">
        <v>89</v>
      </c>
      <c r="E235" s="71" t="s">
        <v>84</v>
      </c>
      <c r="F235" s="373">
        <v>2430</v>
      </c>
      <c r="G235" s="564">
        <v>0</v>
      </c>
      <c r="H235" s="564">
        <v>2430</v>
      </c>
      <c r="I235" s="564">
        <v>0</v>
      </c>
    </row>
    <row r="236" spans="1:10" s="38" customFormat="1" x14ac:dyDescent="0.25">
      <c r="A236" s="72" t="s">
        <v>251</v>
      </c>
      <c r="B236" s="78" t="str">
        <f>IF(ISBLANK(A236),"","F"&amp;COUNTA($A$204:A236))</f>
        <v>F30</v>
      </c>
      <c r="C236" s="295" t="s">
        <v>290</v>
      </c>
      <c r="D236" s="72" t="s">
        <v>89</v>
      </c>
      <c r="E236" s="71" t="s">
        <v>84</v>
      </c>
      <c r="F236" s="373">
        <v>400</v>
      </c>
      <c r="G236" s="564">
        <v>0</v>
      </c>
      <c r="H236" s="564">
        <v>400</v>
      </c>
      <c r="I236" s="564">
        <v>0</v>
      </c>
    </row>
    <row r="237" spans="1:10" s="38" customFormat="1" ht="30" x14ac:dyDescent="0.25">
      <c r="A237" s="72" t="s">
        <v>251</v>
      </c>
      <c r="B237" s="78" t="str">
        <f>IF(ISBLANK(A237),"","F"&amp;COUNTA($A$204:A237))</f>
        <v>F31</v>
      </c>
      <c r="C237" s="295" t="s">
        <v>291</v>
      </c>
      <c r="D237" s="72" t="s">
        <v>89</v>
      </c>
      <c r="E237" s="71" t="s">
        <v>84</v>
      </c>
      <c r="F237" s="373">
        <v>300</v>
      </c>
      <c r="G237" s="564">
        <v>0</v>
      </c>
      <c r="H237" s="564">
        <v>0</v>
      </c>
      <c r="I237" s="564">
        <v>0</v>
      </c>
    </row>
    <row r="238" spans="1:10" s="38" customFormat="1" x14ac:dyDescent="0.25">
      <c r="A238" s="72" t="s">
        <v>251</v>
      </c>
      <c r="B238" s="78" t="str">
        <f>IF(ISBLANK(A238),"","F"&amp;COUNTA($A$204:A238))</f>
        <v>F32</v>
      </c>
      <c r="C238" s="295" t="s">
        <v>292</v>
      </c>
      <c r="D238" s="72" t="s">
        <v>89</v>
      </c>
      <c r="E238" s="71" t="s">
        <v>84</v>
      </c>
      <c r="F238" s="373">
        <v>200</v>
      </c>
      <c r="G238" s="564">
        <v>0</v>
      </c>
      <c r="H238" s="564">
        <v>0</v>
      </c>
      <c r="I238" s="564">
        <v>0</v>
      </c>
    </row>
    <row r="239" spans="1:10" s="38" customFormat="1" x14ac:dyDescent="0.25">
      <c r="A239" s="72" t="s">
        <v>251</v>
      </c>
      <c r="B239" s="78" t="str">
        <f>IF(ISBLANK(A239),"","F"&amp;COUNTA($A$204:A239))</f>
        <v>F33</v>
      </c>
      <c r="C239" s="295" t="s">
        <v>293</v>
      </c>
      <c r="D239" s="72" t="s">
        <v>89</v>
      </c>
      <c r="E239" s="71" t="s">
        <v>84</v>
      </c>
      <c r="F239" s="373">
        <v>-2000</v>
      </c>
      <c r="G239" s="564">
        <v>-2000</v>
      </c>
      <c r="H239" s="564">
        <v>-2000</v>
      </c>
      <c r="I239" s="564">
        <v>-2000</v>
      </c>
    </row>
    <row r="240" spans="1:10" s="38" customFormat="1" ht="30" x14ac:dyDescent="0.25">
      <c r="A240" s="72" t="s">
        <v>251</v>
      </c>
      <c r="B240" s="78" t="str">
        <f>IF(ISBLANK(A240),"","F"&amp;COUNTA($A$204:A240))</f>
        <v>F34</v>
      </c>
      <c r="C240" s="295" t="s">
        <v>398</v>
      </c>
      <c r="D240" s="72" t="s">
        <v>89</v>
      </c>
      <c r="E240" s="71" t="s">
        <v>84</v>
      </c>
      <c r="F240" s="373">
        <v>400</v>
      </c>
      <c r="G240" s="564">
        <v>0</v>
      </c>
      <c r="H240" s="564">
        <v>400</v>
      </c>
      <c r="I240" s="564">
        <v>0</v>
      </c>
    </row>
    <row r="241" spans="1:10" s="38" customFormat="1" x14ac:dyDescent="0.25">
      <c r="A241" s="72" t="s">
        <v>251</v>
      </c>
      <c r="B241" s="78" t="str">
        <f>IF(ISBLANK(A241),"","F"&amp;COUNTA($A$204:A241))</f>
        <v>F35</v>
      </c>
      <c r="C241" s="295" t="s">
        <v>297</v>
      </c>
      <c r="D241" s="72" t="s">
        <v>89</v>
      </c>
      <c r="E241" s="71" t="s">
        <v>84</v>
      </c>
      <c r="F241" s="373"/>
      <c r="G241" s="564">
        <v>1000</v>
      </c>
      <c r="H241" s="564"/>
      <c r="I241" s="564"/>
    </row>
    <row r="242" spans="1:10" s="38" customFormat="1" x14ac:dyDescent="0.25">
      <c r="A242" s="72" t="s">
        <v>251</v>
      </c>
      <c r="B242" s="78" t="str">
        <f>IF(ISBLANK(A242),"","F"&amp;COUNTA($A$204:A242))</f>
        <v>F36</v>
      </c>
      <c r="C242" s="295" t="s">
        <v>298</v>
      </c>
      <c r="D242" s="72" t="s">
        <v>91</v>
      </c>
      <c r="E242" s="71" t="s">
        <v>24</v>
      </c>
      <c r="F242" s="373">
        <v>225</v>
      </c>
      <c r="G242" s="217">
        <v>225</v>
      </c>
      <c r="H242" s="217">
        <v>225</v>
      </c>
      <c r="I242" s="217">
        <v>225</v>
      </c>
      <c r="J242" s="38" t="s">
        <v>372</v>
      </c>
    </row>
    <row r="243" spans="1:10" s="38" customFormat="1" x14ac:dyDescent="0.25">
      <c r="A243" s="72" t="s">
        <v>251</v>
      </c>
      <c r="B243" s="78" t="str">
        <f>IF(ISBLANK(A243),"","F"&amp;COUNTA($A$204:A243))</f>
        <v>F37</v>
      </c>
      <c r="C243" s="38" t="s">
        <v>299</v>
      </c>
      <c r="D243" s="72" t="s">
        <v>91</v>
      </c>
      <c r="E243" s="71" t="s">
        <v>24</v>
      </c>
      <c r="F243" s="271">
        <v>200</v>
      </c>
      <c r="G243" s="281"/>
      <c r="H243" s="281"/>
      <c r="I243" s="281"/>
    </row>
    <row r="244" spans="1:10" s="38" customFormat="1" x14ac:dyDescent="0.25">
      <c r="A244" s="72" t="s">
        <v>251</v>
      </c>
      <c r="B244" s="78" t="str">
        <f>IF(ISBLANK(A244),"","F"&amp;COUNTA($A$204:A244))</f>
        <v>F38</v>
      </c>
      <c r="C244" s="38" t="s">
        <v>299</v>
      </c>
      <c r="D244" s="72" t="s">
        <v>91</v>
      </c>
      <c r="E244" s="71" t="s">
        <v>24</v>
      </c>
      <c r="F244" s="191">
        <v>-200</v>
      </c>
      <c r="G244" s="191"/>
      <c r="H244" s="191"/>
      <c r="I244" s="191"/>
      <c r="J244" s="144" t="s">
        <v>399</v>
      </c>
    </row>
    <row r="245" spans="1:10" s="38" customFormat="1" ht="30" x14ac:dyDescent="0.25">
      <c r="A245" s="43"/>
      <c r="B245" s="43" t="s">
        <v>127</v>
      </c>
      <c r="C245" s="3" t="s">
        <v>304</v>
      </c>
      <c r="D245" s="52"/>
      <c r="E245" s="52"/>
      <c r="F245" s="56">
        <f>SUMIF($A:$A,"KOM.FELLES",F:F)</f>
        <v>247308</v>
      </c>
      <c r="G245" s="56">
        <f>SUMIF($A:$A,"KOM.FELLES",G:G)</f>
        <v>221298</v>
      </c>
      <c r="H245" s="56">
        <f>SUMIF($A:$A,"KOM.FELLES",H:H)</f>
        <v>211465</v>
      </c>
      <c r="I245" s="56">
        <f>SUMIF($A:$A,"KOM.FELLES",I:I)</f>
        <v>210558</v>
      </c>
    </row>
    <row r="251" spans="1:10" x14ac:dyDescent="0.25">
      <c r="F251" s="182"/>
      <c r="G251" s="182"/>
      <c r="H251" s="182"/>
      <c r="I251" s="182"/>
    </row>
    <row r="252" spans="1:10" x14ac:dyDescent="0.25">
      <c r="D252" s="256"/>
      <c r="E252" s="256"/>
      <c r="F252" s="256"/>
      <c r="G252" s="256"/>
      <c r="H252" s="256"/>
      <c r="I252" s="256"/>
    </row>
    <row r="253" spans="1:10" x14ac:dyDescent="0.25">
      <c r="F253" s="256"/>
      <c r="G253" s="256"/>
      <c r="H253" s="256"/>
      <c r="I253" s="256"/>
    </row>
    <row r="254" spans="1:10" x14ac:dyDescent="0.25">
      <c r="F254" s="256"/>
      <c r="G254" s="256"/>
      <c r="H254" s="256"/>
      <c r="I254" s="256"/>
    </row>
    <row r="255" spans="1:10" x14ac:dyDescent="0.25">
      <c r="F255" s="256"/>
      <c r="G255" s="256"/>
      <c r="H255" s="256"/>
      <c r="I255" s="256"/>
    </row>
    <row r="256" spans="1:10" x14ac:dyDescent="0.25">
      <c r="F256" s="256"/>
      <c r="G256" s="256"/>
      <c r="H256" s="256"/>
      <c r="I256" s="256"/>
    </row>
    <row r="257" spans="6:9" x14ac:dyDescent="0.25">
      <c r="F257" s="256"/>
      <c r="G257" s="256"/>
      <c r="H257" s="256"/>
      <c r="I257" s="256"/>
    </row>
    <row r="258" spans="6:9" x14ac:dyDescent="0.25">
      <c r="F258" s="256"/>
      <c r="G258" s="256"/>
      <c r="H258" s="256"/>
      <c r="I258" s="256"/>
    </row>
    <row r="259" spans="6:9" x14ac:dyDescent="0.25">
      <c r="F259" s="256"/>
      <c r="G259" s="256"/>
      <c r="H259" s="256"/>
      <c r="I259" s="256"/>
    </row>
  </sheetData>
  <conditionalFormatting sqref="F20:I20">
    <cfRule type="cellIs" dxfId="19" priority="2" operator="notEqual">
      <formula>0</formula>
    </cfRule>
  </conditionalFormatting>
  <conditionalFormatting sqref="I20">
    <cfRule type="cellIs" dxfId="18" priority="1" operator="notEqual">
      <formula>0</formula>
    </cfRule>
  </conditionalFormatting>
  <dataValidations count="1">
    <dataValidation type="list" allowBlank="1" showInputMessage="1" showErrorMessage="1" sqref="D178 D180" xr:uid="{68380ED4-1159-4008-AA6F-6CCB19702350}">
      <formula1>#REF!</formula1>
    </dataValidation>
  </dataValidations>
  <pageMargins left="0.7" right="0.7" top="0.75" bottom="0.75" header="0.3" footer="0.3"/>
  <pageSetup paperSize="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AEF5CA3-518F-493D-95E0-39437F80F107}">
          <x14:formula1>
            <xm:f>Div!$B$3:$B$6</xm:f>
          </x14:formula1>
          <xm:sqref>E87 E202:E203 E132:E133 E183 E65:E70 E193 E146:E147 E149 E205 E234 E156 E158 E111 E141 E102:E103</xm:sqref>
        </x14:dataValidation>
        <x14:dataValidation type="list" allowBlank="1" showInputMessage="1" showErrorMessage="1" xr:uid="{04909759-EC4B-4380-9222-C3266DA14B26}">
          <x14:formula1>
            <xm:f>Div!$C$3:$C$58</xm:f>
          </x14:formula1>
          <xm:sqref>E31:E64 D149 D245:E245 D91:E91 D132:D133 D144:D147 D191:D193 D200:D203 D205 D234 D154:D156 D158 D111 D141 D181:D183 E150:E155 E204 D87 D101:D103 D65:D70 E88:E90 E148 E184:E192 E157:E182 E92:E101 E104:E131 E235:E244 E194:E201 E71:E86 E134:E145 E206:E233</xm:sqref>
        </x14:dataValidation>
        <x14:dataValidation type="list" allowBlank="1" showInputMessage="1" showErrorMessage="1" xr:uid="{EC0D2756-A324-4BB8-A370-2CE84F1C6ED3}">
          <x14:formula1>
            <xm:f>Div!$B$3:$B$8</xm:f>
          </x14:formula1>
          <xm:sqref>D148 D31:D64 D204 D88:D90 D150:D153 D179 D92:D100 D157:D177 D184:D190 D104:D131 D235:D244 D194:D199 D71:D86 D134:D143 D206:D233</xm:sqref>
        </x14:dataValidation>
        <x14:dataValidation type="list" allowBlank="1" showInputMessage="1" showErrorMessage="1" xr:uid="{F886ED89-E4B5-4FCF-AE54-2311EDBEB546}">
          <x14:formula1>
            <xm:f>Div!$A$3:$A$11</xm:f>
          </x14:formula1>
          <xm:sqref>A31:A70 A101:A245</xm:sqref>
        </x14:dataValidation>
        <x14:dataValidation type="list" allowBlank="1" showInputMessage="1" showErrorMessage="1" xr:uid="{BDD23EC1-3CF9-4945-A052-30408FC24C58}">
          <x14:formula1>
            <xm:f>Div!$A$3:$A$13</xm:f>
          </x14:formula1>
          <xm:sqref>A71:A100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1987D-9F6F-4E9E-915A-3D5518A74A9E}">
  <sheetPr>
    <tabColor rgb="FFFF0000"/>
  </sheetPr>
  <dimension ref="A1:V256"/>
  <sheetViews>
    <sheetView topLeftCell="A42" zoomScaleNormal="100" workbookViewId="0">
      <selection activeCell="G55" sqref="G55"/>
    </sheetView>
  </sheetViews>
  <sheetFormatPr baseColWidth="10" defaultColWidth="11.42578125" defaultRowHeight="15" x14ac:dyDescent="0.25"/>
  <cols>
    <col min="1" max="1" width="7.140625" customWidth="1"/>
    <col min="2" max="2" width="5.5703125" style="563" bestFit="1" customWidth="1"/>
    <col min="3" max="3" width="46.42578125" customWidth="1"/>
    <col min="4" max="4" width="12.140625" bestFit="1" customWidth="1"/>
    <col min="5" max="5" width="7.5703125" bestFit="1" customWidth="1"/>
    <col min="7" max="9" width="12.140625" bestFit="1" customWidth="1"/>
    <col min="10" max="10" width="55.42578125" customWidth="1"/>
    <col min="11" max="11" width="18.140625" customWidth="1"/>
  </cols>
  <sheetData>
    <row r="1" spans="1:10" s="28" customFormat="1" ht="23.25" x14ac:dyDescent="0.25">
      <c r="A1" s="294" t="s">
        <v>0</v>
      </c>
      <c r="B1" s="553"/>
      <c r="C1" s="296"/>
      <c r="D1" s="525"/>
      <c r="E1" s="93"/>
      <c r="F1" s="294"/>
      <c r="G1" s="294"/>
      <c r="H1" s="294"/>
      <c r="I1" s="294"/>
    </row>
    <row r="2" spans="1:10" s="28" customFormat="1" x14ac:dyDescent="0.25">
      <c r="A2" s="38"/>
      <c r="B2" s="553"/>
      <c r="C2" s="295"/>
      <c r="D2" s="93"/>
      <c r="E2" s="93"/>
      <c r="F2" s="38"/>
      <c r="G2" s="38"/>
      <c r="H2" s="38"/>
      <c r="I2" s="38"/>
    </row>
    <row r="3" spans="1:10" s="38" customFormat="1" x14ac:dyDescent="0.25">
      <c r="A3" s="297"/>
      <c r="B3" s="554"/>
      <c r="C3" s="298"/>
      <c r="D3" s="299"/>
      <c r="E3" s="299"/>
      <c r="F3" s="300">
        <v>2020</v>
      </c>
      <c r="G3" s="300">
        <v>46210</v>
      </c>
      <c r="H3" s="300">
        <v>2022</v>
      </c>
      <c r="I3" s="300"/>
    </row>
    <row r="4" spans="1:10" s="38" customFormat="1" x14ac:dyDescent="0.25">
      <c r="A4" s="301" t="s">
        <v>1</v>
      </c>
      <c r="B4" s="555"/>
      <c r="C4" s="303"/>
      <c r="D4" s="304"/>
      <c r="E4" s="304"/>
      <c r="F4" s="566">
        <v>4902782</v>
      </c>
      <c r="G4" s="566">
        <f>F4</f>
        <v>4902782</v>
      </c>
      <c r="H4" s="566">
        <f>G4</f>
        <v>4902782</v>
      </c>
      <c r="I4" s="566">
        <f>H4</f>
        <v>4902782</v>
      </c>
    </row>
    <row r="5" spans="1:10" s="38" customFormat="1" x14ac:dyDescent="0.25">
      <c r="A5" s="38" t="str">
        <f>C65</f>
        <v>SUM SENTRALE INNTEKTER OG FINANSPOSTER</v>
      </c>
      <c r="B5" s="553"/>
      <c r="C5" s="123"/>
      <c r="D5" s="93"/>
      <c r="E5" s="93"/>
      <c r="F5" s="2">
        <f>F65</f>
        <v>-5249283</v>
      </c>
      <c r="G5" s="2">
        <f>G65</f>
        <v>-5269338</v>
      </c>
      <c r="H5" s="2">
        <f>H65</f>
        <v>-5227215</v>
      </c>
      <c r="I5" s="2">
        <f>I65</f>
        <v>-5232650</v>
      </c>
      <c r="J5" s="95"/>
    </row>
    <row r="6" spans="1:10" s="38" customFormat="1" x14ac:dyDescent="0.25">
      <c r="A6" s="307" t="s">
        <v>2</v>
      </c>
      <c r="B6" s="556"/>
      <c r="C6" s="309"/>
      <c r="D6" s="310"/>
      <c r="E6" s="310"/>
      <c r="F6" s="311">
        <f>SUM(F4:F5)</f>
        <v>-346501</v>
      </c>
      <c r="G6" s="311">
        <f>SUM(G4:G5)</f>
        <v>-366556</v>
      </c>
      <c r="H6" s="311">
        <f>SUM(H4:H5)</f>
        <v>-324433</v>
      </c>
      <c r="I6" s="311">
        <f>SUM(I4:I5)</f>
        <v>-329868</v>
      </c>
    </row>
    <row r="7" spans="1:10" s="38" customFormat="1" x14ac:dyDescent="0.25">
      <c r="A7" s="312"/>
      <c r="B7" s="555"/>
      <c r="C7" s="302"/>
      <c r="D7" s="304"/>
      <c r="E7" s="304"/>
      <c r="F7" s="313"/>
      <c r="G7" s="313"/>
      <c r="H7" s="313"/>
      <c r="I7" s="313"/>
    </row>
    <row r="8" spans="1:10" s="38" customFormat="1" x14ac:dyDescent="0.25">
      <c r="A8" s="314" t="s">
        <v>3</v>
      </c>
      <c r="B8" s="341"/>
      <c r="C8" s="207"/>
      <c r="D8" s="315"/>
      <c r="E8" s="315"/>
      <c r="F8" s="39">
        <f>SUMIF($D:$D,"ØP 22-25",F:F)</f>
        <v>9930</v>
      </c>
      <c r="G8" s="39">
        <f>SUMIF($D:$D,"ØP 22-25",G:G)</f>
        <v>12073</v>
      </c>
      <c r="H8" s="39">
        <f>SUMIF($D:$D,"ØP 22-25",H:H)</f>
        <v>30203</v>
      </c>
      <c r="I8" s="39">
        <f>SUMIF($D:$D,"ØP 22-25",I:I)</f>
        <v>29023</v>
      </c>
    </row>
    <row r="9" spans="1:10" s="38" customFormat="1" x14ac:dyDescent="0.25">
      <c r="A9" s="316" t="s">
        <v>4</v>
      </c>
      <c r="B9" s="557"/>
      <c r="C9" s="317"/>
      <c r="D9" s="318"/>
      <c r="E9" s="318"/>
      <c r="F9" s="267">
        <f>SUMIF($D:$D,"ØP 22-25 REKALK",F:F)</f>
        <v>175408</v>
      </c>
      <c r="G9" s="267">
        <f>SUMIF($D:$D,"ØP 22-25 REKALK",G:G)</f>
        <v>168021</v>
      </c>
      <c r="H9" s="267">
        <f>SUMIF($D:$D,"ØP 22-25 REKALK",H:H)</f>
        <v>159860</v>
      </c>
      <c r="I9" s="267">
        <f>SUMIF($D:$D,"ØP 22-25 REKALK",I:I)</f>
        <v>161245</v>
      </c>
    </row>
    <row r="10" spans="1:10" s="38" customFormat="1" x14ac:dyDescent="0.25">
      <c r="A10" s="319" t="s">
        <v>5</v>
      </c>
      <c r="B10" s="558"/>
      <c r="C10" s="320"/>
      <c r="D10" s="321"/>
      <c r="E10" s="321"/>
      <c r="F10" s="322">
        <f>F6+F8+F9</f>
        <v>-161163</v>
      </c>
      <c r="G10" s="322">
        <f>G6+G8+G9</f>
        <v>-186462</v>
      </c>
      <c r="H10" s="322">
        <f>H6+H8+H9</f>
        <v>-134370</v>
      </c>
      <c r="I10" s="322">
        <f>I6+I8+I9</f>
        <v>-139600</v>
      </c>
    </row>
    <row r="11" spans="1:10" s="28" customFormat="1" x14ac:dyDescent="0.25">
      <c r="A11" s="38"/>
      <c r="B11" s="553"/>
      <c r="C11" s="295"/>
      <c r="D11" s="93"/>
      <c r="E11" s="93"/>
      <c r="F11" s="2"/>
      <c r="G11" s="2"/>
      <c r="H11" s="2"/>
      <c r="I11" s="2"/>
    </row>
    <row r="12" spans="1:10" s="28" customFormat="1" x14ac:dyDescent="0.25">
      <c r="A12" s="312" t="s">
        <v>6</v>
      </c>
      <c r="B12" s="553"/>
      <c r="C12" s="295"/>
      <c r="D12" s="93"/>
      <c r="E12" s="93"/>
      <c r="F12" s="2">
        <f>SUMIFS(F:F,$D:$D,"NYTT",$E:$E,"INNSP")</f>
        <v>0</v>
      </c>
      <c r="G12" s="2">
        <f>SUMIFS(G:G,$D:$D,"NYTT",$E:$E,"INNSP")</f>
        <v>0</v>
      </c>
      <c r="H12" s="2">
        <f>SUMIFS(H:H,$D:$D,"NYTT",$E:$E,"INNSP")</f>
        <v>0</v>
      </c>
      <c r="I12" s="2">
        <f>SUMIFS(I:I,$D:$D,"NYTT",$E:$E,"INNSP")</f>
        <v>0</v>
      </c>
    </row>
    <row r="13" spans="1:10" s="38" customFormat="1" x14ac:dyDescent="0.25">
      <c r="A13" s="316" t="s">
        <v>7</v>
      </c>
      <c r="B13" s="557"/>
      <c r="C13" s="317"/>
      <c r="D13" s="318"/>
      <c r="E13" s="318"/>
      <c r="F13" s="267">
        <f>SUMIFS(F:F,$D:$D,"NYTT",$E:$E,"MÅ")</f>
        <v>240017</v>
      </c>
      <c r="G13" s="267">
        <f>SUMIFS(G:G,$D:$D,"NYTT",$E:$E,"MÅ")</f>
        <v>243935</v>
      </c>
      <c r="H13" s="267">
        <f>SUMIFS(H:H,$D:$D,"NYTT",$E:$E,"MÅ")</f>
        <v>219422</v>
      </c>
      <c r="I13" s="267">
        <f>SUMIFS(I:I,$D:$D,"NYTT",$E:$E,"MÅ")</f>
        <v>222095</v>
      </c>
    </row>
    <row r="14" spans="1:10" s="38" customFormat="1" x14ac:dyDescent="0.25">
      <c r="A14" s="307" t="s">
        <v>8</v>
      </c>
      <c r="B14" s="559"/>
      <c r="C14" s="309"/>
      <c r="D14" s="323"/>
      <c r="E14" s="323"/>
      <c r="F14" s="324">
        <f>F6+F8+F9+F12+F13</f>
        <v>78854</v>
      </c>
      <c r="G14" s="324">
        <f>G6+G8+G9+G12+G13</f>
        <v>57473</v>
      </c>
      <c r="H14" s="324">
        <f>H6+H8+H9+H12+H13</f>
        <v>85052</v>
      </c>
      <c r="I14" s="324">
        <f>I6+I8+I9+I12+I13</f>
        <v>82495</v>
      </c>
    </row>
    <row r="15" spans="1:10" s="38" customFormat="1" x14ac:dyDescent="0.25">
      <c r="A15" s="312"/>
      <c r="B15" s="555"/>
      <c r="C15" s="302"/>
      <c r="D15" s="304"/>
      <c r="E15" s="304"/>
      <c r="F15" s="491"/>
      <c r="G15" s="313"/>
      <c r="H15" s="313"/>
      <c r="I15" s="313"/>
    </row>
    <row r="16" spans="1:10" s="38" customFormat="1" x14ac:dyDescent="0.25">
      <c r="A16" s="312" t="s">
        <v>9</v>
      </c>
      <c r="B16" s="555"/>
      <c r="C16" s="302"/>
      <c r="D16" s="304"/>
      <c r="E16" s="304"/>
      <c r="F16" s="267">
        <f>SUMIFS(F:F,$D:$D,"Endring",$E:$E,"endring")</f>
        <v>0</v>
      </c>
      <c r="G16" s="267">
        <f>SUMIFS(G:G,$D:$D,"Endring",$E:$E,"endring")</f>
        <v>0</v>
      </c>
      <c r="H16" s="267">
        <f>SUMIFS(H:H,$D:$D,"Endring",$E:$E,"endring")</f>
        <v>0</v>
      </c>
      <c r="I16" s="267">
        <f>SUMIFS(I:I,$D:$D,"Endring",$E:$E,"endring")</f>
        <v>0</v>
      </c>
    </row>
    <row r="17" spans="1:16" s="38" customFormat="1" x14ac:dyDescent="0.25">
      <c r="A17" s="312"/>
      <c r="B17" s="555"/>
      <c r="C17" s="302"/>
      <c r="D17" s="304"/>
      <c r="E17" s="304"/>
      <c r="F17" s="491"/>
      <c r="G17" s="313"/>
      <c r="H17" s="313"/>
      <c r="I17" s="313"/>
    </row>
    <row r="18" spans="1:16" s="38" customFormat="1" x14ac:dyDescent="0.25">
      <c r="A18" s="314" t="s">
        <v>10</v>
      </c>
      <c r="B18" s="341"/>
      <c r="C18" s="207"/>
      <c r="D18" s="315"/>
      <c r="E18" s="315"/>
      <c r="F18" s="39">
        <f>SUMIF($D:$D,"NYTT",F:F)-F19-F13-F12</f>
        <v>35031</v>
      </c>
      <c r="G18" s="39">
        <f>SUMIF($D:$D,"NYTT",G:G)-G19-G13-G12</f>
        <v>35031</v>
      </c>
      <c r="H18" s="39">
        <f>SUMIF($D:$D,"NYTT",H:H)-H19-H13-H12</f>
        <v>8131</v>
      </c>
      <c r="I18" s="39">
        <f>SUMIF($D:$D,"NYTT",I:I)-I19-I13-I12</f>
        <v>8131</v>
      </c>
    </row>
    <row r="19" spans="1:16" s="38" customFormat="1" x14ac:dyDescent="0.25">
      <c r="A19" s="325" t="s">
        <v>11</v>
      </c>
      <c r="B19" s="341"/>
      <c r="C19" s="326"/>
      <c r="D19" s="315"/>
      <c r="E19" s="315"/>
      <c r="F19" s="327">
        <f>SUMIFS(F:F,$D:$D,"NYTT",$E:$E,"IKKE PRI")</f>
        <v>0</v>
      </c>
      <c r="G19" s="327">
        <f>SUMIFS(G:G,$D:$D,"NYTT",$E:$E,"IKKE PRI")</f>
        <v>0</v>
      </c>
      <c r="H19" s="327">
        <f>SUMIFS(H:H,$D:$D,"NYTT",$E:$E,"IKKE PRI")</f>
        <v>0</v>
      </c>
      <c r="I19" s="327">
        <f>SUMIFS(I:I,$D:$D,"NYTT",$E:$E,"IKKE PRI")</f>
        <v>0</v>
      </c>
    </row>
    <row r="20" spans="1:16" s="38" customFormat="1" x14ac:dyDescent="0.25">
      <c r="A20" s="325"/>
      <c r="B20" s="341"/>
      <c r="C20" s="326"/>
      <c r="D20" s="315"/>
      <c r="E20" s="315"/>
      <c r="F20" s="292">
        <f>(F8+F9+F13+F18+F19+F12+F16)-SUMIF($B:$B,"X",F:F)</f>
        <v>0</v>
      </c>
      <c r="G20" s="292">
        <f>(G8+G9+G13+G18+G19+G12+G16)-SUMIF($B:$B,"X",G:G)</f>
        <v>0</v>
      </c>
      <c r="H20" s="292">
        <f>(H8+H9+H13+H18+H19+H12+H16)-SUMIF($B:$B,"X",H:H)</f>
        <v>0</v>
      </c>
      <c r="I20" s="292">
        <f>(I8+I9+I13+I18+I19+I12+I16)-SUMIF($B:$B,"X",I:I)</f>
        <v>0</v>
      </c>
    </row>
    <row r="21" spans="1:16" s="38" customFormat="1" x14ac:dyDescent="0.25">
      <c r="A21" s="328"/>
      <c r="B21" s="329"/>
      <c r="C21" s="298"/>
      <c r="D21" s="330"/>
      <c r="E21" s="330"/>
      <c r="F21" s="331"/>
      <c r="G21" s="331"/>
      <c r="H21" s="331"/>
      <c r="I21" s="331"/>
    </row>
    <row r="22" spans="1:16" s="38" customFormat="1" x14ac:dyDescent="0.25">
      <c r="A22" s="332"/>
      <c r="B22" s="553"/>
      <c r="C22" s="333"/>
      <c r="D22" s="93"/>
      <c r="E22" s="93"/>
      <c r="F22" s="334">
        <f>F8+F9+F13+F12</f>
        <v>425355</v>
      </c>
      <c r="G22" s="334">
        <f>G8+G9+G13+G12</f>
        <v>424029</v>
      </c>
      <c r="H22" s="334">
        <f>H8+H9+H13+H12</f>
        <v>409485</v>
      </c>
      <c r="I22" s="334">
        <f>I8+I9+I13+I12</f>
        <v>412363</v>
      </c>
    </row>
    <row r="23" spans="1:16" s="38" customFormat="1" x14ac:dyDescent="0.25">
      <c r="A23" s="332"/>
      <c r="B23" s="553"/>
      <c r="C23" s="333"/>
      <c r="D23" s="93"/>
      <c r="E23" s="93"/>
      <c r="F23" s="334"/>
      <c r="G23" s="334"/>
      <c r="H23" s="334"/>
      <c r="I23" s="334"/>
    </row>
    <row r="24" spans="1:16" s="38" customFormat="1" hidden="1" x14ac:dyDescent="0.25">
      <c r="A24" s="192" t="s">
        <v>12</v>
      </c>
      <c r="B24" s="560"/>
      <c r="C24" s="236"/>
      <c r="D24" s="237"/>
      <c r="E24" s="237"/>
      <c r="F24" s="193"/>
      <c r="G24" s="193"/>
      <c r="H24" s="193"/>
      <c r="I24" s="193"/>
    </row>
    <row r="25" spans="1:16" s="125" customFormat="1" hidden="1" x14ac:dyDescent="0.25">
      <c r="A25" s="194" t="s">
        <v>13</v>
      </c>
      <c r="B25" s="561"/>
      <c r="C25" s="195"/>
      <c r="D25" s="239"/>
      <c r="E25" s="239"/>
      <c r="F25" s="196" t="e">
        <f>SUMIF(#REF!,"FOND",F:F)</f>
        <v>#REF!</v>
      </c>
      <c r="G25" s="196" t="e">
        <f>SUMIF(#REF!,"FOND",G:G)</f>
        <v>#REF!</v>
      </c>
      <c r="H25" s="196" t="e">
        <f>SUMIF(#REF!,"FOND",H:H)</f>
        <v>#REF!</v>
      </c>
      <c r="I25" s="196" t="e">
        <f>SUMIF(#REF!,"FOND",I:I)</f>
        <v>#REF!</v>
      </c>
      <c r="J25" s="38"/>
    </row>
    <row r="26" spans="1:16" s="38" customFormat="1" hidden="1" x14ac:dyDescent="0.25">
      <c r="A26" s="197" t="s">
        <v>14</v>
      </c>
      <c r="B26" s="560"/>
      <c r="C26" s="236"/>
      <c r="D26" s="237"/>
      <c r="E26" s="237"/>
      <c r="F26" s="198" t="e">
        <f>SUBTOTAL(9,F24:F25)</f>
        <v>#REF!</v>
      </c>
      <c r="G26" s="198" t="e">
        <f>SUBTOTAL(9,G24:G25)</f>
        <v>#REF!</v>
      </c>
      <c r="H26" s="198" t="e">
        <f>SUBTOTAL(9,H24:H25)</f>
        <v>#REF!</v>
      </c>
      <c r="I26" s="198" t="e">
        <f>SUBTOTAL(9,I24:I25)</f>
        <v>#REF!</v>
      </c>
    </row>
    <row r="27" spans="1:16" s="38" customFormat="1" x14ac:dyDescent="0.25">
      <c r="A27" s="28"/>
      <c r="B27" s="562"/>
      <c r="C27" s="11"/>
      <c r="D27" s="242"/>
      <c r="E27" s="242"/>
      <c r="F27" s="336">
        <f>(F8+F9+F13+F18+F19+F12)-SUMIF($B:$B,"X",F:F)</f>
        <v>0</v>
      </c>
      <c r="G27" s="336">
        <f>(G8+G9+G13+G18+G19+G12)-SUMIF($B:$B,"X",G:G)</f>
        <v>0</v>
      </c>
      <c r="H27" s="336">
        <f>(H8+H9+H13+H18+H19+H12)-SUMIF($B:$B,"X",H:H)</f>
        <v>0</v>
      </c>
      <c r="I27" s="336">
        <f>(I8+I9+I13+I18+I19+I12)-SUMIF($B:$B,"X",I:I)</f>
        <v>0</v>
      </c>
    </row>
    <row r="28" spans="1:16" s="38" customFormat="1" x14ac:dyDescent="0.25">
      <c r="A28" s="4" t="s">
        <v>15</v>
      </c>
      <c r="B28" s="5" t="s">
        <v>16</v>
      </c>
      <c r="C28" s="3" t="s">
        <v>17</v>
      </c>
      <c r="D28" s="8" t="s">
        <v>18</v>
      </c>
      <c r="E28" s="46" t="s">
        <v>19</v>
      </c>
      <c r="F28" s="4">
        <v>2023</v>
      </c>
      <c r="G28" s="4">
        <v>2024</v>
      </c>
      <c r="H28" s="4">
        <v>2025</v>
      </c>
      <c r="I28" s="4">
        <v>2026</v>
      </c>
      <c r="J28" s="4" t="s">
        <v>20</v>
      </c>
    </row>
    <row r="29" spans="1:16" s="38" customFormat="1" x14ac:dyDescent="0.25">
      <c r="A29" s="234"/>
      <c r="B29" s="562"/>
      <c r="C29" s="17"/>
      <c r="D29" s="51"/>
      <c r="E29" s="549"/>
      <c r="F29" s="550"/>
      <c r="G29" s="550"/>
      <c r="H29" s="550"/>
      <c r="I29" s="235"/>
    </row>
    <row r="30" spans="1:16" s="38" customFormat="1" x14ac:dyDescent="0.25">
      <c r="A30" s="15"/>
      <c r="B30" s="44"/>
      <c r="C30" s="16" t="s">
        <v>21</v>
      </c>
      <c r="D30" s="41"/>
      <c r="E30" s="551"/>
      <c r="F30" s="552"/>
      <c r="G30" s="552"/>
      <c r="H30" s="552"/>
      <c r="I30" s="85"/>
    </row>
    <row r="31" spans="1:16" s="38" customFormat="1" ht="22.5" x14ac:dyDescent="0.25">
      <c r="A31" s="78" t="s">
        <v>22</v>
      </c>
      <c r="B31" s="78" t="str">
        <f>IF(ISBLANK(A31),"","I"&amp;COUNTA($A$31:A31))</f>
        <v>I1</v>
      </c>
      <c r="C31" s="526" t="s">
        <v>23</v>
      </c>
      <c r="D31" s="79" t="s">
        <v>22</v>
      </c>
      <c r="E31" s="79" t="s">
        <v>24</v>
      </c>
      <c r="F31" s="481">
        <v>-3016000</v>
      </c>
      <c r="G31" s="481">
        <v>-3050000</v>
      </c>
      <c r="H31" s="481">
        <v>-3079000</v>
      </c>
      <c r="I31" s="481">
        <v>-3104000</v>
      </c>
      <c r="J31" s="38" t="s">
        <v>25</v>
      </c>
      <c r="M31" s="1">
        <v>2023</v>
      </c>
      <c r="N31" s="1">
        <v>2024</v>
      </c>
      <c r="O31" s="1">
        <v>2025</v>
      </c>
      <c r="P31" s="1">
        <v>2026</v>
      </c>
    </row>
    <row r="32" spans="1:16" s="38" customFormat="1" ht="22.5" x14ac:dyDescent="0.25">
      <c r="A32" s="78" t="s">
        <v>22</v>
      </c>
      <c r="B32" s="78" t="str">
        <f>IF(ISBLANK(A32),"","I"&amp;COUNTA($A$31:A32))</f>
        <v>I2</v>
      </c>
      <c r="C32" s="526" t="s">
        <v>29</v>
      </c>
      <c r="D32" s="79" t="s">
        <v>22</v>
      </c>
      <c r="E32" s="79" t="s">
        <v>24</v>
      </c>
      <c r="F32" s="481">
        <v>-2261000</v>
      </c>
      <c r="G32" s="481">
        <v>-2294000</v>
      </c>
      <c r="H32" s="481">
        <v>-2315000</v>
      </c>
      <c r="I32" s="481">
        <v>-2334000</v>
      </c>
      <c r="J32" s="38" t="s">
        <v>25</v>
      </c>
      <c r="K32" s="38" t="s">
        <v>309</v>
      </c>
      <c r="M32" s="620">
        <v>2.2999999999999998</v>
      </c>
      <c r="N32" s="620">
        <v>1.4</v>
      </c>
      <c r="O32" s="620">
        <v>0.85</v>
      </c>
      <c r="P32" s="620">
        <v>0.66</v>
      </c>
    </row>
    <row r="33" spans="1:18" s="38" customFormat="1" ht="22.5" x14ac:dyDescent="0.25">
      <c r="A33" s="78" t="s">
        <v>22</v>
      </c>
      <c r="B33" s="78" t="str">
        <f>IF(ISBLANK(A33),"","I"&amp;COUNTA($A$31:A33))</f>
        <v>I3</v>
      </c>
      <c r="C33" s="526" t="s">
        <v>32</v>
      </c>
      <c r="D33" s="79" t="s">
        <v>22</v>
      </c>
      <c r="E33" s="79" t="s">
        <v>24</v>
      </c>
      <c r="F33" s="595">
        <v>-60000</v>
      </c>
      <c r="G33" s="595">
        <v>-60000</v>
      </c>
      <c r="H33" s="595">
        <v>-60000</v>
      </c>
      <c r="I33" s="595">
        <v>-60000</v>
      </c>
      <c r="J33" s="38" t="s">
        <v>374</v>
      </c>
    </row>
    <row r="34" spans="1:18" s="38" customFormat="1" ht="22.5" x14ac:dyDescent="0.25">
      <c r="A34" s="78" t="s">
        <v>22</v>
      </c>
      <c r="B34" s="78" t="str">
        <f>IF(ISBLANK(A34),"","I"&amp;COUNTA($A$31:A34))</f>
        <v>I4</v>
      </c>
      <c r="C34" s="526" t="s">
        <v>34</v>
      </c>
      <c r="D34" s="79" t="s">
        <v>22</v>
      </c>
      <c r="E34" s="79" t="s">
        <v>24</v>
      </c>
      <c r="F34" s="595">
        <v>-250000</v>
      </c>
      <c r="G34" s="595">
        <v>-150000</v>
      </c>
      <c r="H34" s="595">
        <v>-80000</v>
      </c>
      <c r="I34" s="595">
        <v>-64000</v>
      </c>
      <c r="J34" s="38" t="s">
        <v>35</v>
      </c>
      <c r="K34" s="38" t="s">
        <v>310</v>
      </c>
      <c r="M34" s="595">
        <v>225000</v>
      </c>
      <c r="N34" s="595">
        <v>180000</v>
      </c>
      <c r="O34" s="595">
        <v>180000</v>
      </c>
      <c r="P34" s="595">
        <v>180000</v>
      </c>
    </row>
    <row r="35" spans="1:18" s="38" customFormat="1" ht="22.5" x14ac:dyDescent="0.25">
      <c r="A35" s="78" t="s">
        <v>22</v>
      </c>
      <c r="B35" s="78" t="str">
        <f>IF(ISBLANK(A35),"","I"&amp;COUNTA($A$31:A35))</f>
        <v>I5</v>
      </c>
      <c r="C35" s="593" t="s">
        <v>400</v>
      </c>
      <c r="D35" s="594" t="s">
        <v>22</v>
      </c>
      <c r="E35" s="594" t="s">
        <v>24</v>
      </c>
      <c r="F35" s="595">
        <v>50000</v>
      </c>
      <c r="G35" s="595">
        <v>20000</v>
      </c>
      <c r="H35" s="595">
        <v>1000</v>
      </c>
      <c r="I35" s="595">
        <v>1000</v>
      </c>
      <c r="J35" s="38" t="s">
        <v>35</v>
      </c>
      <c r="K35" s="38" t="s">
        <v>317</v>
      </c>
      <c r="M35" s="617">
        <v>58854</v>
      </c>
      <c r="N35" s="617">
        <v>37473</v>
      </c>
      <c r="O35" s="617">
        <v>65052</v>
      </c>
      <c r="P35" s="617">
        <v>62495</v>
      </c>
    </row>
    <row r="36" spans="1:18" s="38" customFormat="1" ht="22.5" x14ac:dyDescent="0.25">
      <c r="A36" s="78" t="s">
        <v>22</v>
      </c>
      <c r="B36" s="78" t="str">
        <f>IF(ISBLANK(A36),"","I"&amp;COUNTA($A$31:A36))</f>
        <v>I6</v>
      </c>
      <c r="C36" s="526" t="s">
        <v>311</v>
      </c>
      <c r="D36" s="79" t="s">
        <v>22</v>
      </c>
      <c r="E36" s="79" t="s">
        <v>24</v>
      </c>
      <c r="F36" s="595">
        <v>35000</v>
      </c>
      <c r="G36" s="595">
        <v>20000</v>
      </c>
      <c r="H36" s="595">
        <v>10000</v>
      </c>
      <c r="I36" s="595">
        <v>10000</v>
      </c>
      <c r="J36" s="38" t="s">
        <v>35</v>
      </c>
      <c r="K36" s="38" t="s">
        <v>312</v>
      </c>
      <c r="L36" s="38" t="s">
        <v>313</v>
      </c>
      <c r="M36" s="617">
        <v>20000</v>
      </c>
      <c r="N36" s="617">
        <v>20000</v>
      </c>
      <c r="O36" s="617">
        <v>20000</v>
      </c>
      <c r="P36" s="617">
        <v>20000</v>
      </c>
    </row>
    <row r="37" spans="1:18" s="38" customFormat="1" ht="22.5" x14ac:dyDescent="0.25">
      <c r="A37" s="78" t="s">
        <v>22</v>
      </c>
      <c r="B37" s="78" t="str">
        <f>IF(ISBLANK(A37),"","I"&amp;COUNTA($A$31:A37))</f>
        <v>I7</v>
      </c>
      <c r="C37" s="526" t="s">
        <v>36</v>
      </c>
      <c r="D37" s="79" t="s">
        <v>22</v>
      </c>
      <c r="E37" s="79" t="s">
        <v>24</v>
      </c>
      <c r="F37" s="481">
        <v>-11000</v>
      </c>
      <c r="G37" s="481">
        <v>-11000</v>
      </c>
      <c r="H37" s="481">
        <v>-11000</v>
      </c>
      <c r="I37" s="481">
        <v>-11000</v>
      </c>
      <c r="J37" s="38" t="s">
        <v>37</v>
      </c>
      <c r="K37" s="38" t="s">
        <v>314</v>
      </c>
      <c r="M37" s="619">
        <f>M34-M35-M36</f>
        <v>146146</v>
      </c>
      <c r="N37" s="619">
        <f>N34-N35-N36</f>
        <v>122527</v>
      </c>
      <c r="O37" s="619">
        <f>O34-O35-O36</f>
        <v>94948</v>
      </c>
      <c r="P37" s="619">
        <f>P34-P35-P36</f>
        <v>97505</v>
      </c>
    </row>
    <row r="38" spans="1:18" s="38" customFormat="1" ht="22.5" x14ac:dyDescent="0.25">
      <c r="A38" s="78" t="s">
        <v>22</v>
      </c>
      <c r="B38" s="78" t="str">
        <f>IF(ISBLANK(A38),"","I"&amp;COUNTA($A$31:A38))</f>
        <v>I8</v>
      </c>
      <c r="C38" s="526" t="s">
        <v>38</v>
      </c>
      <c r="D38" s="79" t="s">
        <v>22</v>
      </c>
      <c r="E38" s="79" t="s">
        <v>24</v>
      </c>
      <c r="F38" s="481">
        <v>11000</v>
      </c>
      <c r="G38" s="481">
        <v>11000</v>
      </c>
      <c r="H38" s="481">
        <v>11000</v>
      </c>
      <c r="I38" s="481">
        <v>11000</v>
      </c>
      <c r="J38" s="38" t="s">
        <v>37</v>
      </c>
      <c r="K38" s="38" t="s">
        <v>315</v>
      </c>
      <c r="M38" s="617">
        <v>6500000</v>
      </c>
      <c r="N38" s="617">
        <v>6500000</v>
      </c>
      <c r="O38" s="617">
        <v>6500000</v>
      </c>
      <c r="P38" s="617">
        <v>6500000</v>
      </c>
    </row>
    <row r="39" spans="1:18" s="38" customFormat="1" ht="25.5" x14ac:dyDescent="0.25">
      <c r="A39" s="78" t="s">
        <v>22</v>
      </c>
      <c r="B39" s="78" t="str">
        <f>IF(ISBLANK(A39),"","I"&amp;COUNTA($A$31:A39))</f>
        <v>I9</v>
      </c>
      <c r="C39" s="526" t="s">
        <v>39</v>
      </c>
      <c r="D39" s="79" t="s">
        <v>22</v>
      </c>
      <c r="E39" s="79" t="s">
        <v>24</v>
      </c>
      <c r="F39" s="481">
        <v>-12100</v>
      </c>
      <c r="G39" s="481">
        <v>-11300</v>
      </c>
      <c r="H39" s="481">
        <v>-10200</v>
      </c>
      <c r="I39" s="481">
        <v>-9500</v>
      </c>
      <c r="J39" s="38" t="s">
        <v>401</v>
      </c>
      <c r="K39" s="38" t="s">
        <v>316</v>
      </c>
      <c r="M39" s="618">
        <f>M37/M38</f>
        <v>2.2484000000000001E-2</v>
      </c>
      <c r="N39" s="618">
        <f>N37/N38</f>
        <v>1.8850307692307694E-2</v>
      </c>
      <c r="O39" s="618">
        <f>O37/O38</f>
        <v>1.4607384615384616E-2</v>
      </c>
      <c r="P39" s="618">
        <f>P37/P38</f>
        <v>1.5000769230769231E-2</v>
      </c>
    </row>
    <row r="40" spans="1:18" s="38" customFormat="1" ht="22.5" x14ac:dyDescent="0.25">
      <c r="A40" s="78" t="s">
        <v>22</v>
      </c>
      <c r="B40" s="78" t="str">
        <f>IF(ISBLANK(A40),"","I"&amp;COUNTA($A$31:A40))</f>
        <v>I10</v>
      </c>
      <c r="C40" s="578" t="s">
        <v>41</v>
      </c>
      <c r="D40" s="579" t="s">
        <v>22</v>
      </c>
      <c r="E40" s="579" t="s">
        <v>24</v>
      </c>
      <c r="F40" s="592">
        <v>-116222</v>
      </c>
      <c r="G40" s="592">
        <v>-95707</v>
      </c>
      <c r="H40" s="592">
        <v>-71318</v>
      </c>
      <c r="I40" s="481">
        <v>-66738</v>
      </c>
      <c r="J40" s="580" t="s">
        <v>402</v>
      </c>
    </row>
    <row r="41" spans="1:18" s="38" customFormat="1" ht="22.5" x14ac:dyDescent="0.25">
      <c r="A41" s="78" t="s">
        <v>22</v>
      </c>
      <c r="B41" s="78" t="str">
        <f>IF(ISBLANK(A41),"","I"&amp;COUNTA($A$31:A41))</f>
        <v>I11</v>
      </c>
      <c r="C41" s="526" t="s">
        <v>43</v>
      </c>
      <c r="D41" s="79" t="s">
        <v>22</v>
      </c>
      <c r="E41" s="79" t="s">
        <v>24</v>
      </c>
      <c r="F41" s="481">
        <v>166000</v>
      </c>
      <c r="G41" s="481">
        <v>174000</v>
      </c>
      <c r="H41" s="481">
        <v>183000</v>
      </c>
      <c r="I41" s="481">
        <v>200000</v>
      </c>
      <c r="J41" s="38" t="s">
        <v>403</v>
      </c>
    </row>
    <row r="42" spans="1:18" s="38" customFormat="1" ht="22.5" x14ac:dyDescent="0.25">
      <c r="A42" s="590" t="s">
        <v>22</v>
      </c>
      <c r="B42" s="78" t="str">
        <f>IF(ISBLANK(A42),"","I"&amp;COUNTA($A$31:A42))</f>
        <v>I12</v>
      </c>
      <c r="C42" s="587" t="s">
        <v>306</v>
      </c>
      <c r="D42" s="588" t="s">
        <v>22</v>
      </c>
      <c r="E42" s="588" t="s">
        <v>24</v>
      </c>
      <c r="F42" s="589"/>
      <c r="G42" s="589"/>
      <c r="H42" s="589"/>
      <c r="I42" s="589"/>
      <c r="J42" s="591" t="s">
        <v>307</v>
      </c>
      <c r="O42" s="95"/>
      <c r="P42" s="95"/>
      <c r="Q42" s="95"/>
      <c r="R42" s="95"/>
    </row>
    <row r="43" spans="1:18" s="38" customFormat="1" ht="22.5" x14ac:dyDescent="0.25">
      <c r="A43" s="78" t="s">
        <v>22</v>
      </c>
      <c r="B43" s="78" t="str">
        <f>IF(ISBLANK(A43),"","I"&amp;COUNTA($A$31:A43))</f>
        <v>I13</v>
      </c>
      <c r="C43" s="526" t="s">
        <v>47</v>
      </c>
      <c r="D43" s="79" t="s">
        <v>22</v>
      </c>
      <c r="E43" s="79" t="s">
        <v>24</v>
      </c>
      <c r="F43" s="481">
        <v>295000</v>
      </c>
      <c r="G43" s="481">
        <v>311000</v>
      </c>
      <c r="H43" s="481">
        <v>335000</v>
      </c>
      <c r="I43" s="481">
        <v>347000</v>
      </c>
      <c r="J43" s="38" t="s">
        <v>403</v>
      </c>
      <c r="M43" s="1">
        <v>2023</v>
      </c>
      <c r="N43" s="1">
        <v>2024</v>
      </c>
      <c r="O43" s="1">
        <v>2025</v>
      </c>
      <c r="P43" s="1">
        <v>2026</v>
      </c>
    </row>
    <row r="44" spans="1:18" s="38" customFormat="1" ht="22.5" x14ac:dyDescent="0.25">
      <c r="A44" s="590" t="s">
        <v>22</v>
      </c>
      <c r="B44" s="78" t="str">
        <f>IF(ISBLANK(A44),"","I"&amp;COUNTA($A$31:A44))</f>
        <v>I14</v>
      </c>
      <c r="C44" s="587" t="s">
        <v>308</v>
      </c>
      <c r="D44" s="588" t="s">
        <v>22</v>
      </c>
      <c r="E44" s="588" t="s">
        <v>24</v>
      </c>
      <c r="F44" s="589"/>
      <c r="G44" s="589"/>
      <c r="H44" s="589"/>
      <c r="I44" s="589"/>
      <c r="J44" s="591" t="s">
        <v>307</v>
      </c>
      <c r="K44" s="38" t="s">
        <v>309</v>
      </c>
      <c r="M44" s="38">
        <v>0.6</v>
      </c>
      <c r="N44" s="38">
        <v>0.6</v>
      </c>
      <c r="O44" s="38">
        <v>0.6</v>
      </c>
      <c r="P44" s="38">
        <v>0.6</v>
      </c>
    </row>
    <row r="45" spans="1:18" s="38" customFormat="1" ht="22.5" x14ac:dyDescent="0.25">
      <c r="A45" s="78" t="s">
        <v>22</v>
      </c>
      <c r="B45" s="78" t="str">
        <f>IF(ISBLANK(A45),"","I"&amp;COUNTA($A$31:A45))</f>
        <v>I15</v>
      </c>
      <c r="C45" s="526" t="s">
        <v>50</v>
      </c>
      <c r="D45" s="79" t="s">
        <v>22</v>
      </c>
      <c r="E45" s="79" t="s">
        <v>24</v>
      </c>
      <c r="F45" s="481">
        <v>-60000</v>
      </c>
      <c r="G45" s="481">
        <v>-60000</v>
      </c>
      <c r="H45" s="481">
        <v>-57000</v>
      </c>
      <c r="I45" s="481">
        <v>-57000</v>
      </c>
      <c r="J45" s="38" t="s">
        <v>404</v>
      </c>
      <c r="K45" s="38" t="s">
        <v>310</v>
      </c>
      <c r="M45" s="595">
        <v>225000</v>
      </c>
      <c r="N45" s="595">
        <v>180000</v>
      </c>
      <c r="O45" s="595">
        <v>180000</v>
      </c>
      <c r="P45" s="595">
        <v>180000</v>
      </c>
    </row>
    <row r="46" spans="1:18" s="38" customFormat="1" ht="22.5" x14ac:dyDescent="0.25">
      <c r="A46" s="78" t="s">
        <v>22</v>
      </c>
      <c r="B46" s="78" t="str">
        <f>IF(ISBLANK(A46),"","I"&amp;COUNTA($A$31:A46))</f>
        <v>I16</v>
      </c>
      <c r="C46" s="526" t="s">
        <v>51</v>
      </c>
      <c r="D46" s="79" t="s">
        <v>22</v>
      </c>
      <c r="E46" s="79" t="s">
        <v>24</v>
      </c>
      <c r="F46" s="481">
        <v>-84800</v>
      </c>
      <c r="G46" s="481">
        <v>-88700</v>
      </c>
      <c r="H46" s="481">
        <v>-88200</v>
      </c>
      <c r="I46" s="481">
        <v>-91500</v>
      </c>
      <c r="J46" s="38" t="s">
        <v>404</v>
      </c>
      <c r="K46" s="38" t="s">
        <v>317</v>
      </c>
      <c r="M46" s="617">
        <v>58854</v>
      </c>
      <c r="N46" s="617">
        <v>37473</v>
      </c>
      <c r="O46" s="617">
        <v>65052</v>
      </c>
      <c r="P46" s="617">
        <v>62495</v>
      </c>
    </row>
    <row r="47" spans="1:18" s="38" customFormat="1" ht="22.5" x14ac:dyDescent="0.25">
      <c r="A47" s="78" t="s">
        <v>22</v>
      </c>
      <c r="B47" s="78" t="str">
        <f>IF(ISBLANK(A47),"","I"&amp;COUNTA($A$31:A47))</f>
        <v>I17</v>
      </c>
      <c r="C47" s="526" t="s">
        <v>52</v>
      </c>
      <c r="D47" s="79" t="s">
        <v>22</v>
      </c>
      <c r="E47" s="79" t="s">
        <v>24</v>
      </c>
      <c r="F47" s="481">
        <v>84800</v>
      </c>
      <c r="G47" s="481">
        <v>88700</v>
      </c>
      <c r="H47" s="481">
        <v>88200</v>
      </c>
      <c r="I47" s="481">
        <v>91500</v>
      </c>
      <c r="J47" s="38" t="s">
        <v>404</v>
      </c>
      <c r="K47" s="38" t="s">
        <v>312</v>
      </c>
      <c r="L47" s="38" t="s">
        <v>313</v>
      </c>
      <c r="M47" s="617">
        <v>20000</v>
      </c>
      <c r="N47" s="617">
        <v>20000</v>
      </c>
      <c r="O47" s="617">
        <v>20000</v>
      </c>
      <c r="P47" s="617">
        <v>20000</v>
      </c>
    </row>
    <row r="48" spans="1:18" s="38" customFormat="1" ht="22.5" x14ac:dyDescent="0.25">
      <c r="A48" s="78" t="s">
        <v>22</v>
      </c>
      <c r="B48" s="78" t="str">
        <f>IF(ISBLANK(A48),"","I"&amp;COUNTA($A$31:A48))</f>
        <v>I18</v>
      </c>
      <c r="C48" s="526" t="s">
        <v>53</v>
      </c>
      <c r="D48" s="79" t="s">
        <v>22</v>
      </c>
      <c r="E48" s="79" t="s">
        <v>24</v>
      </c>
      <c r="F48" s="481">
        <v>-16700</v>
      </c>
      <c r="G48" s="481">
        <v>-15600</v>
      </c>
      <c r="H48" s="481">
        <v>-14000</v>
      </c>
      <c r="I48" s="481">
        <v>-12900</v>
      </c>
      <c r="J48" s="38" t="s">
        <v>404</v>
      </c>
      <c r="K48" s="38" t="s">
        <v>318</v>
      </c>
      <c r="M48" s="339">
        <v>-132000</v>
      </c>
      <c r="N48" s="339">
        <v>-62000</v>
      </c>
      <c r="O48" s="339">
        <v>-18000</v>
      </c>
      <c r="P48" s="339">
        <v>0</v>
      </c>
    </row>
    <row r="49" spans="1:22" s="38" customFormat="1" ht="22.5" x14ac:dyDescent="0.25">
      <c r="A49" s="78" t="s">
        <v>22</v>
      </c>
      <c r="B49" s="78" t="str">
        <f>IF(ISBLANK(A49),"","I"&amp;COUNTA($A$31:A49))</f>
        <v>I19</v>
      </c>
      <c r="C49" s="526" t="s">
        <v>54</v>
      </c>
      <c r="D49" s="79" t="s">
        <v>22</v>
      </c>
      <c r="E49" s="79" t="s">
        <v>24</v>
      </c>
      <c r="F49" s="481">
        <v>-136700</v>
      </c>
      <c r="G49" s="481">
        <v>-140600</v>
      </c>
      <c r="H49" s="481">
        <v>-144500</v>
      </c>
      <c r="I49" s="481">
        <v>-148400</v>
      </c>
      <c r="J49" s="38" t="s">
        <v>405</v>
      </c>
      <c r="K49" s="38" t="s">
        <v>314</v>
      </c>
      <c r="M49" s="619">
        <f>M45-M46-M47+M48</f>
        <v>14146</v>
      </c>
      <c r="N49" s="619">
        <f>N45-N46-N47+N48</f>
        <v>60527</v>
      </c>
      <c r="O49" s="619">
        <f>O45-O46-O47+O48</f>
        <v>76948</v>
      </c>
      <c r="P49" s="619">
        <f>P45-P46-P47+P48</f>
        <v>97505</v>
      </c>
    </row>
    <row r="50" spans="1:22" s="38" customFormat="1" ht="22.5" x14ac:dyDescent="0.25">
      <c r="A50" s="78" t="s">
        <v>22</v>
      </c>
      <c r="B50" s="78" t="str">
        <f>IF(ISBLANK(A50),"","I"&amp;COUNTA($A$31:A50))</f>
        <v>I20</v>
      </c>
      <c r="C50" s="526" t="s">
        <v>55</v>
      </c>
      <c r="D50" s="79" t="s">
        <v>22</v>
      </c>
      <c r="E50" s="79" t="s">
        <v>24</v>
      </c>
      <c r="F50" s="481">
        <v>-1339</v>
      </c>
      <c r="G50" s="481">
        <v>-1607</v>
      </c>
      <c r="H50" s="481">
        <v>-1607</v>
      </c>
      <c r="I50" s="481">
        <v>-1607</v>
      </c>
      <c r="J50" s="144" t="s">
        <v>377</v>
      </c>
      <c r="K50" s="38" t="s">
        <v>319</v>
      </c>
      <c r="M50" s="617">
        <v>6500000</v>
      </c>
      <c r="N50" s="617">
        <v>6500000</v>
      </c>
      <c r="O50" s="617">
        <v>6500000</v>
      </c>
      <c r="P50" s="617">
        <v>6500000</v>
      </c>
    </row>
    <row r="51" spans="1:22" s="38" customFormat="1" ht="22.5" x14ac:dyDescent="0.25">
      <c r="A51" s="78" t="s">
        <v>22</v>
      </c>
      <c r="B51" s="78" t="str">
        <f>IF(ISBLANK(A51),"","I"&amp;COUNTA($A$31:A51))</f>
        <v>I21</v>
      </c>
      <c r="C51" s="526" t="s">
        <v>57</v>
      </c>
      <c r="D51" s="79" t="s">
        <v>22</v>
      </c>
      <c r="E51" s="79" t="s">
        <v>24</v>
      </c>
      <c r="F51" s="481">
        <v>-2000</v>
      </c>
      <c r="G51" s="481">
        <v>-2000</v>
      </c>
      <c r="H51" s="481">
        <v>-2000</v>
      </c>
      <c r="I51" s="481">
        <v>-2000</v>
      </c>
      <c r="J51" s="144" t="s">
        <v>58</v>
      </c>
      <c r="K51" s="38" t="s">
        <v>320</v>
      </c>
      <c r="M51" s="618">
        <f>M49/M50</f>
        <v>2.1763076923076922E-3</v>
      </c>
      <c r="N51" s="618">
        <f>N49/N50</f>
        <v>9.3118461538461532E-3</v>
      </c>
      <c r="O51" s="618">
        <f>O49/O50</f>
        <v>1.1838153846153845E-2</v>
      </c>
      <c r="P51" s="618">
        <f>P49/P50</f>
        <v>1.5000769230769231E-2</v>
      </c>
    </row>
    <row r="52" spans="1:22" s="38" customFormat="1" ht="22.5" x14ac:dyDescent="0.25">
      <c r="A52" s="78" t="s">
        <v>22</v>
      </c>
      <c r="B52" s="78" t="str">
        <f>IF(ISBLANK(A52),"","I"&amp;COUNTA($A$31:A52))</f>
        <v>I22</v>
      </c>
      <c r="C52" s="526" t="s">
        <v>59</v>
      </c>
      <c r="D52" s="79" t="s">
        <v>22</v>
      </c>
      <c r="E52" s="79" t="s">
        <v>24</v>
      </c>
      <c r="F52" s="481">
        <v>-5300</v>
      </c>
      <c r="G52" s="481">
        <v>-5000</v>
      </c>
      <c r="H52" s="481">
        <v>-4600</v>
      </c>
      <c r="I52" s="481">
        <v>-4300</v>
      </c>
      <c r="J52" s="38" t="s">
        <v>404</v>
      </c>
    </row>
    <row r="53" spans="1:22" s="38" customFormat="1" ht="22.5" x14ac:dyDescent="0.25">
      <c r="A53" s="78" t="s">
        <v>22</v>
      </c>
      <c r="B53" s="78" t="str">
        <f>IF(ISBLANK(A53),"","I"&amp;COUNTA($A$31:A53))</f>
        <v>I23</v>
      </c>
      <c r="C53" s="526" t="s">
        <v>60</v>
      </c>
      <c r="D53" s="79" t="s">
        <v>22</v>
      </c>
      <c r="E53" s="79" t="s">
        <v>24</v>
      </c>
      <c r="F53" s="481"/>
      <c r="G53" s="481"/>
      <c r="H53" s="481"/>
      <c r="I53" s="481"/>
      <c r="J53" s="144" t="s">
        <v>61</v>
      </c>
    </row>
    <row r="54" spans="1:22" s="38" customFormat="1" ht="25.5" customHeight="1" x14ac:dyDescent="0.25">
      <c r="A54" s="78" t="s">
        <v>22</v>
      </c>
      <c r="B54" s="78" t="str">
        <f>IF(ISBLANK(A54),"","I"&amp;COUNTA($A$31:A54))</f>
        <v>I24</v>
      </c>
      <c r="C54" s="526" t="s">
        <v>62</v>
      </c>
      <c r="D54" s="79" t="s">
        <v>22</v>
      </c>
      <c r="E54" s="79" t="s">
        <v>24</v>
      </c>
      <c r="F54" s="481">
        <v>-500</v>
      </c>
      <c r="G54" s="481">
        <v>-500</v>
      </c>
      <c r="H54" s="481">
        <v>-500</v>
      </c>
      <c r="I54" s="481">
        <v>-500</v>
      </c>
      <c r="J54" s="144" t="s">
        <v>63</v>
      </c>
    </row>
    <row r="55" spans="1:22" s="38" customFormat="1" ht="22.5" x14ac:dyDescent="0.25">
      <c r="A55" s="78" t="s">
        <v>22</v>
      </c>
      <c r="B55" s="78" t="str">
        <f>IF(ISBLANK(A55),"","I"&amp;COUNTA($A$31:A55))</f>
        <v>I25</v>
      </c>
      <c r="C55" s="526" t="s">
        <v>64</v>
      </c>
      <c r="D55" s="79" t="s">
        <v>22</v>
      </c>
      <c r="E55" s="79" t="s">
        <v>24</v>
      </c>
      <c r="F55" s="595">
        <v>225000</v>
      </c>
      <c r="G55" s="595">
        <v>180000</v>
      </c>
      <c r="H55" s="595">
        <v>180000</v>
      </c>
      <c r="I55" s="595">
        <v>180000</v>
      </c>
      <c r="J55" s="38" t="s">
        <v>378</v>
      </c>
    </row>
    <row r="56" spans="1:22" s="38" customFormat="1" ht="22.5" x14ac:dyDescent="0.25">
      <c r="A56" s="78" t="s">
        <v>22</v>
      </c>
      <c r="B56" s="78" t="str">
        <f>IF(ISBLANK(A56),"","I"&amp;COUNTA($A$31:A56))</f>
        <v>I26</v>
      </c>
      <c r="C56" s="98" t="s">
        <v>68</v>
      </c>
      <c r="D56" s="79" t="s">
        <v>22</v>
      </c>
      <c r="E56" s="79" t="s">
        <v>24</v>
      </c>
      <c r="F56" s="481"/>
      <c r="G56" s="481"/>
      <c r="H56" s="481"/>
      <c r="I56" s="481"/>
    </row>
    <row r="57" spans="1:22" s="38" customFormat="1" ht="22.5" x14ac:dyDescent="0.25">
      <c r="A57" s="78" t="s">
        <v>22</v>
      </c>
      <c r="B57" s="78" t="str">
        <f>IF(ISBLANK(A57),"","I"&amp;COUNTA($A$31:A57))</f>
        <v>I27</v>
      </c>
      <c r="C57" s="526" t="s">
        <v>69</v>
      </c>
      <c r="D57" s="79" t="s">
        <v>22</v>
      </c>
      <c r="E57" s="79" t="s">
        <v>24</v>
      </c>
      <c r="F57" s="481">
        <v>340000</v>
      </c>
      <c r="G57" s="481">
        <v>350000</v>
      </c>
      <c r="H57" s="481">
        <v>360000</v>
      </c>
      <c r="I57" s="481">
        <v>370000</v>
      </c>
      <c r="J57" s="38" t="s">
        <v>70</v>
      </c>
      <c r="S57" s="339">
        <f>M37+F96+F154+F189+F192+F197+F201+F222+F241</f>
        <v>129796</v>
      </c>
      <c r="T57" s="339">
        <f>N37-6500</f>
        <v>116027</v>
      </c>
      <c r="U57" s="339">
        <f>O37</f>
        <v>94948</v>
      </c>
      <c r="V57" s="339">
        <f>P37</f>
        <v>97505</v>
      </c>
    </row>
    <row r="58" spans="1:22" s="38" customFormat="1" ht="22.5" x14ac:dyDescent="0.25">
      <c r="A58" s="45" t="s">
        <v>22</v>
      </c>
      <c r="B58" s="78" t="str">
        <f>IF(ISBLANK(A58),"","I"&amp;COUNTA($A$31:A58))</f>
        <v>I28</v>
      </c>
      <c r="C58" s="526" t="s">
        <v>71</v>
      </c>
      <c r="D58" s="79" t="s">
        <v>22</v>
      </c>
      <c r="E58" s="79" t="s">
        <v>24</v>
      </c>
      <c r="F58" s="481">
        <v>-340000</v>
      </c>
      <c r="G58" s="481">
        <v>-350000</v>
      </c>
      <c r="H58" s="481">
        <v>-360000</v>
      </c>
      <c r="I58" s="481">
        <v>-370000</v>
      </c>
      <c r="J58" s="38" t="s">
        <v>70</v>
      </c>
      <c r="S58" s="621">
        <f>S57/M38</f>
        <v>1.9968615384615383E-2</v>
      </c>
      <c r="T58" s="621">
        <f>T57/N38</f>
        <v>1.7850307692307693E-2</v>
      </c>
      <c r="U58" s="621">
        <f>U57/O38</f>
        <v>1.4607384615384616E-2</v>
      </c>
      <c r="V58" s="621">
        <f>V57/P38</f>
        <v>1.5000769230769231E-2</v>
      </c>
    </row>
    <row r="59" spans="1:22" s="38" customFormat="1" ht="22.5" x14ac:dyDescent="0.25">
      <c r="A59" s="45" t="s">
        <v>22</v>
      </c>
      <c r="B59" s="78" t="str">
        <f>IF(ISBLANK(A59),"","I"&amp;COUNTA($A$31:A59))</f>
        <v>I29</v>
      </c>
      <c r="C59" s="526" t="s">
        <v>72</v>
      </c>
      <c r="D59" s="79" t="s">
        <v>22</v>
      </c>
      <c r="E59" s="79" t="s">
        <v>24</v>
      </c>
      <c r="F59" s="481">
        <v>-27043</v>
      </c>
      <c r="G59" s="481">
        <v>-27162</v>
      </c>
      <c r="H59" s="481">
        <v>-28274</v>
      </c>
      <c r="I59" s="481">
        <v>-30191</v>
      </c>
      <c r="J59" s="293" t="s">
        <v>73</v>
      </c>
    </row>
    <row r="60" spans="1:22" s="38" customFormat="1" ht="22.5" x14ac:dyDescent="0.25">
      <c r="A60" s="45" t="s">
        <v>22</v>
      </c>
      <c r="B60" s="78" t="str">
        <f>IF(ISBLANK(A60),"","I"&amp;COUNTA($A$31:A60))</f>
        <v>I30</v>
      </c>
      <c r="C60" s="526" t="s">
        <v>74</v>
      </c>
      <c r="D60" s="79" t="s">
        <v>22</v>
      </c>
      <c r="E60" s="79" t="s">
        <v>24</v>
      </c>
      <c r="F60" s="481">
        <v>-54620</v>
      </c>
      <c r="G60" s="481">
        <v>-59551</v>
      </c>
      <c r="H60" s="481">
        <v>-65379</v>
      </c>
      <c r="I60" s="481">
        <v>-71940</v>
      </c>
      <c r="J60" s="293" t="s">
        <v>73</v>
      </c>
    </row>
    <row r="61" spans="1:22" s="38" customFormat="1" ht="22.5" x14ac:dyDescent="0.25">
      <c r="A61" s="45" t="s">
        <v>22</v>
      </c>
      <c r="B61" s="78" t="str">
        <f>IF(ISBLANK(A61),"","I"&amp;COUNTA($A$31:A61))</f>
        <v>I31</v>
      </c>
      <c r="C61" s="98" t="s">
        <v>75</v>
      </c>
      <c r="D61" s="79" t="s">
        <v>22</v>
      </c>
      <c r="E61" s="79" t="s">
        <v>24</v>
      </c>
      <c r="F61" s="481">
        <v>-759</v>
      </c>
      <c r="G61" s="481">
        <v>-1311</v>
      </c>
      <c r="H61" s="481">
        <v>-2837</v>
      </c>
      <c r="I61" s="481">
        <v>-3574</v>
      </c>
      <c r="J61" s="293" t="s">
        <v>73</v>
      </c>
    </row>
    <row r="62" spans="1:22" s="38" customFormat="1" ht="22.5" x14ac:dyDescent="0.25">
      <c r="A62" s="78" t="s">
        <v>22</v>
      </c>
      <c r="B62" s="78" t="str">
        <f>IF(ISBLANK(A62),"","I"&amp;COUNTA($A$31:A62))</f>
        <v>I32</v>
      </c>
      <c r="C62" s="98"/>
      <c r="D62" s="79" t="s">
        <v>22</v>
      </c>
      <c r="E62" s="79" t="s">
        <v>24</v>
      </c>
      <c r="F62" s="90"/>
      <c r="G62" s="90"/>
      <c r="H62" s="90"/>
      <c r="I62" s="90"/>
    </row>
    <row r="63" spans="1:22" s="38" customFormat="1" ht="22.5" x14ac:dyDescent="0.25">
      <c r="A63" s="78" t="s">
        <v>22</v>
      </c>
      <c r="B63" s="78" t="str">
        <f>IF(ISBLANK(A63),"","I"&amp;COUNTA($A$31:A63))</f>
        <v>I33</v>
      </c>
      <c r="C63" s="98"/>
      <c r="D63" s="79" t="s">
        <v>22</v>
      </c>
      <c r="E63" s="79" t="s">
        <v>24</v>
      </c>
      <c r="F63" s="90"/>
      <c r="G63" s="90"/>
      <c r="H63" s="90"/>
      <c r="I63" s="90"/>
    </row>
    <row r="64" spans="1:22" s="38" customFormat="1" x14ac:dyDescent="0.25">
      <c r="A64" s="244"/>
      <c r="B64" s="244"/>
      <c r="C64" s="245"/>
      <c r="D64" s="214"/>
      <c r="E64" s="111"/>
      <c r="F64" s="110"/>
      <c r="G64" s="110"/>
      <c r="H64" s="110"/>
      <c r="I64" s="110"/>
    </row>
    <row r="65" spans="1:10" s="38" customFormat="1" x14ac:dyDescent="0.25">
      <c r="A65" s="43"/>
      <c r="B65" s="43"/>
      <c r="C65" s="3" t="s">
        <v>76</v>
      </c>
      <c r="D65" s="63"/>
      <c r="E65" s="63"/>
      <c r="F65" s="9">
        <f>SUMIF($A:$A,"SENT.INNT",F:F)</f>
        <v>-5249283</v>
      </c>
      <c r="G65" s="9">
        <f>SUMIF($A:$A,"SENT.INNT",G:G)</f>
        <v>-5269338</v>
      </c>
      <c r="H65" s="9">
        <f>SUMIF($A:$A,"SENT.INNT",H:H)</f>
        <v>-5227215</v>
      </c>
      <c r="I65" s="9">
        <f>SUMIF($A:$A,"SENT.INNT",I:I)</f>
        <v>-5232650</v>
      </c>
    </row>
    <row r="66" spans="1:10" s="38" customFormat="1" x14ac:dyDescent="0.25">
      <c r="A66" s="46"/>
      <c r="B66" s="46"/>
      <c r="C66" s="3" t="s">
        <v>77</v>
      </c>
      <c r="D66" s="52"/>
      <c r="E66" s="52"/>
      <c r="F66" s="9">
        <f>F4</f>
        <v>4902782</v>
      </c>
      <c r="G66" s="9">
        <f>G4</f>
        <v>4902782</v>
      </c>
      <c r="H66" s="9">
        <f>H4</f>
        <v>4902782</v>
      </c>
      <c r="I66" s="9">
        <f>I4</f>
        <v>4902782</v>
      </c>
    </row>
    <row r="67" spans="1:10" s="38" customFormat="1" x14ac:dyDescent="0.25">
      <c r="A67" s="43"/>
      <c r="B67" s="43"/>
      <c r="C67" s="3" t="s">
        <v>78</v>
      </c>
      <c r="D67" s="52"/>
      <c r="E67" s="52"/>
      <c r="F67" s="9">
        <f>F65+F66</f>
        <v>-346501</v>
      </c>
      <c r="G67" s="9">
        <f>G65+G66</f>
        <v>-366556</v>
      </c>
      <c r="H67" s="9">
        <f>H65+H66</f>
        <v>-324433</v>
      </c>
      <c r="I67" s="9">
        <f>I65+I66</f>
        <v>-329868</v>
      </c>
    </row>
    <row r="68" spans="1:10" s="38" customFormat="1" x14ac:dyDescent="0.25">
      <c r="A68" s="47"/>
      <c r="B68" s="47"/>
      <c r="C68" s="11"/>
      <c r="D68" s="49"/>
      <c r="E68" s="49"/>
      <c r="F68" s="12"/>
      <c r="G68" s="12"/>
      <c r="H68" s="12"/>
      <c r="I68" s="12"/>
    </row>
    <row r="69" spans="1:10" s="1" customFormat="1" x14ac:dyDescent="0.25">
      <c r="A69" s="48"/>
      <c r="B69" s="48"/>
      <c r="C69" s="13" t="s">
        <v>79</v>
      </c>
      <c r="D69" s="50"/>
      <c r="E69" s="50"/>
      <c r="F69" s="14"/>
      <c r="G69" s="14"/>
      <c r="H69" s="14"/>
      <c r="I69" s="14"/>
    </row>
    <row r="70" spans="1:10" s="38" customFormat="1" x14ac:dyDescent="0.25">
      <c r="A70" s="72"/>
      <c r="B70" s="341"/>
      <c r="C70" s="246" t="s">
        <v>80</v>
      </c>
      <c r="D70" s="83"/>
      <c r="E70" s="83"/>
      <c r="F70" s="4">
        <v>2023</v>
      </c>
      <c r="G70" s="4">
        <v>2024</v>
      </c>
      <c r="H70" s="4">
        <f>G70+1</f>
        <v>2025</v>
      </c>
      <c r="I70" s="4">
        <f>H70+1</f>
        <v>2026</v>
      </c>
    </row>
    <row r="71" spans="1:10" s="38" customFormat="1" ht="14.25" customHeight="1" x14ac:dyDescent="0.25">
      <c r="A71" s="78" t="s">
        <v>81</v>
      </c>
      <c r="B71" s="78" t="str">
        <f>IF(ISBLANK(A71),"","OV"&amp;COUNTA($A$71:A71))</f>
        <v>OV1</v>
      </c>
      <c r="C71" s="245" t="s">
        <v>82</v>
      </c>
      <c r="D71" s="72" t="s">
        <v>83</v>
      </c>
      <c r="E71" s="79" t="s">
        <v>84</v>
      </c>
      <c r="F71" s="217">
        <v>9023</v>
      </c>
      <c r="G71" s="217">
        <v>12060</v>
      </c>
      <c r="H71" s="217">
        <v>12626</v>
      </c>
      <c r="I71" s="217">
        <v>11906</v>
      </c>
      <c r="J71" s="38" t="s">
        <v>321</v>
      </c>
    </row>
    <row r="72" spans="1:10" s="38" customFormat="1" x14ac:dyDescent="0.25">
      <c r="A72" s="78" t="s">
        <v>81</v>
      </c>
      <c r="B72" s="78" t="str">
        <f>IF(ISBLANK(A72),"","OV"&amp;COUNTA($A$71:A72))</f>
        <v>OV2</v>
      </c>
      <c r="C72" s="245" t="s">
        <v>85</v>
      </c>
      <c r="D72" s="72" t="s">
        <v>83</v>
      </c>
      <c r="E72" s="79" t="s">
        <v>84</v>
      </c>
      <c r="F72" s="217">
        <v>877</v>
      </c>
      <c r="G72" s="217">
        <v>877</v>
      </c>
      <c r="H72" s="217">
        <v>877</v>
      </c>
      <c r="I72" s="217">
        <v>877</v>
      </c>
      <c r="J72" s="38" t="s">
        <v>321</v>
      </c>
    </row>
    <row r="73" spans="1:10" s="38" customFormat="1" x14ac:dyDescent="0.25">
      <c r="A73" s="78" t="s">
        <v>81</v>
      </c>
      <c r="B73" s="78" t="str">
        <f>IF(ISBLANK(A73),"","OV"&amp;COUNTA($A$71:A73))</f>
        <v>OV3</v>
      </c>
      <c r="C73" s="245" t="s">
        <v>86</v>
      </c>
      <c r="D73" s="72" t="s">
        <v>83</v>
      </c>
      <c r="E73" s="79" t="s">
        <v>84</v>
      </c>
      <c r="F73" s="217">
        <v>1456</v>
      </c>
      <c r="G73" s="217">
        <v>1946</v>
      </c>
      <c r="H73" s="217">
        <v>2038</v>
      </c>
      <c r="I73" s="217">
        <v>1922</v>
      </c>
      <c r="J73" s="38" t="s">
        <v>321</v>
      </c>
    </row>
    <row r="74" spans="1:10" s="38" customFormat="1" x14ac:dyDescent="0.25">
      <c r="A74" s="78" t="s">
        <v>81</v>
      </c>
      <c r="B74" s="78" t="str">
        <f>IF(ISBLANK(A74),"","OV"&amp;COUNTA($A$71:A74))</f>
        <v>OV4</v>
      </c>
      <c r="C74" s="245" t="s">
        <v>87</v>
      </c>
      <c r="D74" s="72" t="s">
        <v>83</v>
      </c>
      <c r="E74" s="79" t="s">
        <v>84</v>
      </c>
      <c r="F74" s="217">
        <v>142</v>
      </c>
      <c r="G74" s="217">
        <v>142</v>
      </c>
      <c r="H74" s="217">
        <v>142</v>
      </c>
      <c r="I74" s="217">
        <v>142</v>
      </c>
      <c r="J74" s="38" t="s">
        <v>321</v>
      </c>
    </row>
    <row r="75" spans="1:10" s="38" customFormat="1" x14ac:dyDescent="0.25">
      <c r="A75" s="78" t="s">
        <v>81</v>
      </c>
      <c r="B75" s="78" t="str">
        <f>IF(ISBLANK(A75),"","OV"&amp;COUNTA($A$71:A75))</f>
        <v>OV5</v>
      </c>
      <c r="C75" s="245" t="s">
        <v>88</v>
      </c>
      <c r="D75" s="72" t="s">
        <v>89</v>
      </c>
      <c r="E75" s="79" t="s">
        <v>84</v>
      </c>
      <c r="F75" s="217">
        <v>0</v>
      </c>
      <c r="G75" s="217">
        <v>-852</v>
      </c>
      <c r="H75" s="217">
        <v>-852</v>
      </c>
      <c r="I75" s="217">
        <v>-852</v>
      </c>
    </row>
    <row r="76" spans="1:10" s="38" customFormat="1" x14ac:dyDescent="0.25">
      <c r="A76" s="78" t="s">
        <v>81</v>
      </c>
      <c r="B76" s="78" t="str">
        <f>IF(ISBLANK(A76),"","OV"&amp;COUNTA($A$71:A76))</f>
        <v>OV6</v>
      </c>
      <c r="C76" s="245" t="s">
        <v>406</v>
      </c>
      <c r="D76" s="72" t="s">
        <v>91</v>
      </c>
      <c r="E76" s="79" t="s">
        <v>24</v>
      </c>
      <c r="F76" s="398">
        <v>7400</v>
      </c>
      <c r="G76" s="398">
        <v>7400</v>
      </c>
      <c r="H76" s="398">
        <v>7400</v>
      </c>
      <c r="I76" s="398">
        <v>7400</v>
      </c>
      <c r="J76" s="293" t="s">
        <v>322</v>
      </c>
    </row>
    <row r="77" spans="1:10" s="38" customFormat="1" ht="25.5" x14ac:dyDescent="0.25">
      <c r="A77" s="78" t="s">
        <v>81</v>
      </c>
      <c r="B77" s="78" t="str">
        <f>IF(ISBLANK(A77),"","OV"&amp;COUNTA($A$71:A77))</f>
        <v>OV7</v>
      </c>
      <c r="C77" s="569" t="s">
        <v>407</v>
      </c>
      <c r="D77" s="570" t="s">
        <v>91</v>
      </c>
      <c r="E77" s="568" t="s">
        <v>24</v>
      </c>
      <c r="F77" s="575">
        <v>6000</v>
      </c>
      <c r="G77" s="575">
        <v>6000</v>
      </c>
      <c r="H77" s="575"/>
      <c r="I77" s="575"/>
      <c r="J77" s="95">
        <f>F77+F84+F91+F99+F100+F101+F136+F138+F139+F140</f>
        <v>69000</v>
      </c>
    </row>
    <row r="78" spans="1:10" s="38" customFormat="1" x14ac:dyDescent="0.25">
      <c r="A78" s="78" t="s">
        <v>81</v>
      </c>
      <c r="B78" s="78" t="str">
        <f>IF(ISBLANK(A78),"","OV"&amp;COUNTA($A$71:A78))</f>
        <v>OV8</v>
      </c>
      <c r="C78" s="245" t="s">
        <v>93</v>
      </c>
      <c r="D78" s="72" t="s">
        <v>83</v>
      </c>
      <c r="E78" s="79" t="s">
        <v>84</v>
      </c>
      <c r="F78" s="217">
        <v>157</v>
      </c>
      <c r="G78" s="217">
        <v>210</v>
      </c>
      <c r="H78" s="217">
        <v>220</v>
      </c>
      <c r="I78" s="217">
        <v>208</v>
      </c>
      <c r="J78" s="38" t="s">
        <v>321</v>
      </c>
    </row>
    <row r="79" spans="1:10" s="38" customFormat="1" x14ac:dyDescent="0.25">
      <c r="A79" s="78" t="s">
        <v>81</v>
      </c>
      <c r="B79" s="78" t="str">
        <f>IF(ISBLANK(A79),"","OV"&amp;COUNTA($A$71:A79))</f>
        <v>OV9</v>
      </c>
      <c r="C79" s="245" t="s">
        <v>94</v>
      </c>
      <c r="D79" s="72" t="s">
        <v>83</v>
      </c>
      <c r="E79" s="79" t="s">
        <v>84</v>
      </c>
      <c r="F79" s="217">
        <v>15</v>
      </c>
      <c r="G79" s="217">
        <v>15</v>
      </c>
      <c r="H79" s="217">
        <v>15</v>
      </c>
      <c r="I79" s="217">
        <v>15</v>
      </c>
      <c r="J79" s="38" t="s">
        <v>321</v>
      </c>
    </row>
    <row r="80" spans="1:10" s="38" customFormat="1" x14ac:dyDescent="0.25">
      <c r="A80" s="78" t="s">
        <v>81</v>
      </c>
      <c r="B80" s="78" t="str">
        <f>IF(ISBLANK(A80),"","OV"&amp;COUNTA($A$71:A80))</f>
        <v>OV10</v>
      </c>
      <c r="C80" s="245" t="s">
        <v>95</v>
      </c>
      <c r="D80" s="72" t="s">
        <v>83</v>
      </c>
      <c r="E80" s="79" t="s">
        <v>84</v>
      </c>
      <c r="F80" s="217">
        <v>12550</v>
      </c>
      <c r="G80" s="217">
        <v>12550</v>
      </c>
      <c r="H80" s="217">
        <v>12550</v>
      </c>
      <c r="I80" s="217">
        <v>12550</v>
      </c>
    </row>
    <row r="81" spans="1:11" s="38" customFormat="1" x14ac:dyDescent="0.25">
      <c r="A81" s="78" t="s">
        <v>81</v>
      </c>
      <c r="B81" s="78" t="str">
        <f>IF(ISBLANK(A81),"","OV"&amp;COUNTA($A$71:A81))</f>
        <v>OV11</v>
      </c>
      <c r="C81" s="245" t="s">
        <v>96</v>
      </c>
      <c r="D81" s="72" t="s">
        <v>83</v>
      </c>
      <c r="E81" s="79" t="s">
        <v>84</v>
      </c>
      <c r="F81" s="217">
        <v>-12550</v>
      </c>
      <c r="G81" s="217">
        <v>-12550</v>
      </c>
      <c r="H81" s="217">
        <v>-12550</v>
      </c>
      <c r="I81" s="217">
        <v>-12550</v>
      </c>
    </row>
    <row r="82" spans="1:11" s="38" customFormat="1" x14ac:dyDescent="0.25">
      <c r="A82" s="78" t="s">
        <v>81</v>
      </c>
      <c r="B82" s="78" t="str">
        <f>IF(ISBLANK(A82),"","OV"&amp;COUNTA($A$71:A82))</f>
        <v>OV12</v>
      </c>
      <c r="C82" s="245" t="s">
        <v>101</v>
      </c>
      <c r="D82" s="72" t="s">
        <v>91</v>
      </c>
      <c r="E82" s="79" t="s">
        <v>24</v>
      </c>
      <c r="F82" s="217">
        <v>600</v>
      </c>
      <c r="G82" s="217">
        <v>600</v>
      </c>
      <c r="H82" s="217">
        <v>600</v>
      </c>
      <c r="I82" s="217">
        <v>600</v>
      </c>
    </row>
    <row r="83" spans="1:11" s="38" customFormat="1" x14ac:dyDescent="0.25">
      <c r="A83" s="78" t="s">
        <v>81</v>
      </c>
      <c r="B83" s="78" t="str">
        <f>IF(ISBLANK(A83),"","OV"&amp;COUNTA($A$71:A83))</f>
        <v>OV13</v>
      </c>
      <c r="C83" s="245" t="s">
        <v>102</v>
      </c>
      <c r="D83" s="72" t="s">
        <v>91</v>
      </c>
      <c r="E83" s="79" t="s">
        <v>24</v>
      </c>
      <c r="F83" s="217">
        <v>840</v>
      </c>
      <c r="G83" s="217">
        <v>840</v>
      </c>
      <c r="H83" s="217">
        <v>840</v>
      </c>
      <c r="I83" s="217">
        <v>840</v>
      </c>
    </row>
    <row r="84" spans="1:11" s="38" customFormat="1" x14ac:dyDescent="0.25">
      <c r="A84" s="78" t="s">
        <v>81</v>
      </c>
      <c r="B84" s="78" t="str">
        <f>IF(ISBLANK(A84),"","OV"&amp;COUNTA($A$71:A84))</f>
        <v>OV14</v>
      </c>
      <c r="C84" s="569" t="s">
        <v>408</v>
      </c>
      <c r="D84" s="570" t="s">
        <v>91</v>
      </c>
      <c r="E84" s="568" t="s">
        <v>24</v>
      </c>
      <c r="F84" s="575">
        <v>5000</v>
      </c>
      <c r="G84" s="575">
        <v>5000</v>
      </c>
      <c r="H84" s="575"/>
      <c r="I84" s="575"/>
      <c r="J84" s="572" t="s">
        <v>324</v>
      </c>
    </row>
    <row r="85" spans="1:11" x14ac:dyDescent="0.25">
      <c r="A85" s="78" t="s">
        <v>81</v>
      </c>
      <c r="B85" s="78" t="str">
        <f>IF(ISBLANK(A85),"","OV"&amp;COUNTA($A$71:A85))</f>
        <v>OV15</v>
      </c>
      <c r="C85" s="245" t="s">
        <v>409</v>
      </c>
      <c r="D85" s="72" t="s">
        <v>91</v>
      </c>
      <c r="E85" s="79" t="s">
        <v>24</v>
      </c>
      <c r="F85" s="217">
        <v>6000</v>
      </c>
      <c r="G85" s="217">
        <v>6000</v>
      </c>
      <c r="H85" s="217">
        <v>6000</v>
      </c>
      <c r="I85" s="217">
        <v>6000</v>
      </c>
      <c r="K85" s="38"/>
    </row>
    <row r="86" spans="1:11" s="38" customFormat="1" x14ac:dyDescent="0.25">
      <c r="A86" s="78" t="s">
        <v>81</v>
      </c>
      <c r="B86" s="78" t="str">
        <f>IF(ISBLANK(A86),"","OV"&amp;COUNTA($A$71:A86))</f>
        <v>OV16</v>
      </c>
      <c r="C86" s="245" t="s">
        <v>410</v>
      </c>
      <c r="D86" s="72" t="s">
        <v>91</v>
      </c>
      <c r="E86" s="71" t="s">
        <v>24</v>
      </c>
      <c r="F86" s="484">
        <v>18500</v>
      </c>
      <c r="G86" s="484">
        <v>18500</v>
      </c>
      <c r="H86" s="484">
        <v>18500</v>
      </c>
      <c r="I86" s="484">
        <v>18500</v>
      </c>
    </row>
    <row r="87" spans="1:11" s="1" customFormat="1" x14ac:dyDescent="0.25">
      <c r="A87" s="78"/>
      <c r="B87" s="78" t="str">
        <f>IF(ISBLANK(A87),"","OV"&amp;COUNTA($A$71:A87))</f>
        <v/>
      </c>
      <c r="C87" s="16" t="s">
        <v>112</v>
      </c>
      <c r="D87" s="50"/>
      <c r="E87" s="50"/>
      <c r="F87" s="4">
        <f>F70</f>
        <v>2023</v>
      </c>
      <c r="G87" s="4">
        <f>F87+1</f>
        <v>2024</v>
      </c>
      <c r="H87" s="4">
        <f>G87+1</f>
        <v>2025</v>
      </c>
      <c r="I87" s="4">
        <f>H87+1</f>
        <v>2026</v>
      </c>
      <c r="K87" s="38"/>
    </row>
    <row r="88" spans="1:11" s="38" customFormat="1" x14ac:dyDescent="0.25">
      <c r="A88" s="78" t="s">
        <v>81</v>
      </c>
      <c r="B88" s="78" t="str">
        <f>IF(ISBLANK(A88),"","OV"&amp;COUNTA($A$71:A88))</f>
        <v>OV17</v>
      </c>
      <c r="C88" s="480" t="s">
        <v>113</v>
      </c>
      <c r="D88" s="79" t="s">
        <v>83</v>
      </c>
      <c r="E88" s="79" t="s">
        <v>84</v>
      </c>
      <c r="F88" s="413">
        <v>31300</v>
      </c>
      <c r="G88" s="413">
        <v>31300</v>
      </c>
      <c r="H88" s="413">
        <v>31300</v>
      </c>
      <c r="I88" s="413">
        <v>31300</v>
      </c>
      <c r="J88" s="144" t="s">
        <v>379</v>
      </c>
    </row>
    <row r="89" spans="1:11" s="38" customFormat="1" x14ac:dyDescent="0.25">
      <c r="A89" s="78" t="s">
        <v>81</v>
      </c>
      <c r="B89" s="78" t="str">
        <f>IF(ISBLANK(A89),"","OV"&amp;COUNTA($A$71:A89))</f>
        <v>OV18</v>
      </c>
      <c r="C89" s="480" t="s">
        <v>114</v>
      </c>
      <c r="D89" s="79" t="s">
        <v>91</v>
      </c>
      <c r="E89" s="79" t="s">
        <v>24</v>
      </c>
      <c r="F89" s="608">
        <v>2600</v>
      </c>
      <c r="G89" s="608">
        <v>5200</v>
      </c>
      <c r="H89" s="608">
        <v>5200</v>
      </c>
      <c r="I89" s="608">
        <v>5200</v>
      </c>
      <c r="J89" s="144" t="s">
        <v>380</v>
      </c>
    </row>
    <row r="90" spans="1:11" s="38" customFormat="1" ht="18.75" customHeight="1" x14ac:dyDescent="0.25">
      <c r="A90" s="78" t="s">
        <v>81</v>
      </c>
      <c r="B90" s="78" t="str">
        <f>IF(ISBLANK(A90),"","OV"&amp;COUNTA($A$71:A90))</f>
        <v>OV19</v>
      </c>
      <c r="C90" s="480" t="s">
        <v>411</v>
      </c>
      <c r="D90" s="214" t="s">
        <v>91</v>
      </c>
      <c r="E90" s="231">
        <v>1</v>
      </c>
      <c r="F90" s="399">
        <v>1800</v>
      </c>
      <c r="G90" s="399">
        <v>1800</v>
      </c>
      <c r="H90" s="399">
        <v>1800</v>
      </c>
      <c r="I90" s="399">
        <v>1800</v>
      </c>
      <c r="J90" s="38" t="s">
        <v>412</v>
      </c>
    </row>
    <row r="91" spans="1:11" s="38" customFormat="1" ht="25.5" x14ac:dyDescent="0.25">
      <c r="A91" s="78" t="s">
        <v>81</v>
      </c>
      <c r="B91" s="78" t="str">
        <f>IF(ISBLANK(A91),"","OV"&amp;COUNTA($A$71:A91))</f>
        <v>OV20</v>
      </c>
      <c r="C91" s="569" t="s">
        <v>413</v>
      </c>
      <c r="D91" s="577" t="s">
        <v>91</v>
      </c>
      <c r="E91" s="573" t="s">
        <v>24</v>
      </c>
      <c r="F91" s="572">
        <v>1600</v>
      </c>
      <c r="G91" s="572">
        <v>1600</v>
      </c>
      <c r="H91" s="572"/>
      <c r="I91" s="572"/>
      <c r="J91" s="144"/>
    </row>
    <row r="92" spans="1:11" s="38" customFormat="1" ht="30" x14ac:dyDescent="0.25">
      <c r="A92" s="78"/>
      <c r="B92" s="78" t="str">
        <f>IF(ISBLANK(A92),"","OV"&amp;COUNTA($A$71:A92))</f>
        <v/>
      </c>
      <c r="C92" s="82" t="s">
        <v>117</v>
      </c>
      <c r="D92" s="96"/>
      <c r="E92" s="71"/>
      <c r="F92" s="4">
        <f>F87</f>
        <v>2023</v>
      </c>
      <c r="G92" s="4">
        <f>F92+1</f>
        <v>2024</v>
      </c>
      <c r="H92" s="4">
        <f>G92+1</f>
        <v>2025</v>
      </c>
      <c r="I92" s="4">
        <f>H92+1</f>
        <v>2026</v>
      </c>
    </row>
    <row r="93" spans="1:11" s="38" customFormat="1" x14ac:dyDescent="0.25">
      <c r="A93" s="78" t="s">
        <v>81</v>
      </c>
      <c r="B93" s="78" t="str">
        <f>IF(ISBLANK(A93),"","OV"&amp;COUNTA($A$71:A93))</f>
        <v>OV21</v>
      </c>
      <c r="C93" s="480" t="s">
        <v>118</v>
      </c>
      <c r="D93" s="72" t="s">
        <v>83</v>
      </c>
      <c r="E93" s="79" t="s">
        <v>84</v>
      </c>
      <c r="F93" s="217">
        <v>5500</v>
      </c>
      <c r="G93" s="217">
        <v>0</v>
      </c>
      <c r="H93" s="217">
        <v>0</v>
      </c>
      <c r="I93" s="217">
        <v>0</v>
      </c>
    </row>
    <row r="94" spans="1:11" s="38" customFormat="1" x14ac:dyDescent="0.25">
      <c r="A94" s="78" t="s">
        <v>81</v>
      </c>
      <c r="B94" s="78" t="str">
        <f>IF(ISBLANK(A94),"","OV"&amp;COUNTA($A$71:A94))</f>
        <v>OV22</v>
      </c>
      <c r="C94" s="480" t="s">
        <v>414</v>
      </c>
      <c r="D94" s="72" t="s">
        <v>89</v>
      </c>
      <c r="E94" s="111" t="s">
        <v>84</v>
      </c>
      <c r="F94" s="217">
        <v>5500</v>
      </c>
      <c r="G94" s="217">
        <v>0</v>
      </c>
      <c r="H94" s="217">
        <v>0</v>
      </c>
      <c r="I94" s="217">
        <v>0</v>
      </c>
    </row>
    <row r="95" spans="1:11" s="38" customFormat="1" x14ac:dyDescent="0.25">
      <c r="A95" s="78" t="s">
        <v>81</v>
      </c>
      <c r="B95" s="78" t="str">
        <f>IF(ISBLANK(A95),"","OV"&amp;COUNTA($A$71:A95))</f>
        <v>OV23</v>
      </c>
      <c r="C95" s="480" t="s">
        <v>120</v>
      </c>
      <c r="D95" s="72" t="s">
        <v>89</v>
      </c>
      <c r="E95" s="111" t="s">
        <v>84</v>
      </c>
      <c r="F95" s="217">
        <v>0</v>
      </c>
      <c r="G95" s="217">
        <v>4000</v>
      </c>
      <c r="H95" s="217">
        <v>4000</v>
      </c>
      <c r="I95" s="217">
        <v>4000</v>
      </c>
    </row>
    <row r="96" spans="1:11" s="38" customFormat="1" x14ac:dyDescent="0.25">
      <c r="A96" s="78" t="s">
        <v>81</v>
      </c>
      <c r="B96" s="78" t="str">
        <f>IF(ISBLANK(A96),"","OV"&amp;COUNTA($A$71:A96))</f>
        <v>OV24</v>
      </c>
      <c r="C96" s="480" t="s">
        <v>121</v>
      </c>
      <c r="D96" s="72" t="s">
        <v>83</v>
      </c>
      <c r="E96" s="111" t="s">
        <v>84</v>
      </c>
      <c r="F96" s="217">
        <v>-11000</v>
      </c>
      <c r="G96" s="217">
        <v>0</v>
      </c>
      <c r="H96" s="217">
        <v>0</v>
      </c>
      <c r="I96" s="217">
        <v>0</v>
      </c>
      <c r="J96" s="609">
        <v>25701156</v>
      </c>
    </row>
    <row r="97" spans="1:10" s="38" customFormat="1" x14ac:dyDescent="0.25">
      <c r="A97" s="78" t="s">
        <v>81</v>
      </c>
      <c r="B97" s="78" t="str">
        <f>IF(ISBLANK(A97),"","OV"&amp;COUNTA($A$71:A97))</f>
        <v>OV25</v>
      </c>
      <c r="C97" s="480" t="s">
        <v>415</v>
      </c>
      <c r="D97" s="72" t="s">
        <v>91</v>
      </c>
      <c r="E97" s="111" t="s">
        <v>24</v>
      </c>
      <c r="F97" s="217">
        <v>3200</v>
      </c>
      <c r="G97" s="217">
        <v>3200</v>
      </c>
      <c r="H97" s="217">
        <v>3200</v>
      </c>
      <c r="I97" s="217">
        <v>3200</v>
      </c>
      <c r="J97" s="38" t="s">
        <v>327</v>
      </c>
    </row>
    <row r="98" spans="1:10" s="38" customFormat="1" x14ac:dyDescent="0.25">
      <c r="A98" s="78" t="s">
        <v>81</v>
      </c>
      <c r="B98" s="78" t="str">
        <f>IF(ISBLANK(A98),"","OV"&amp;COUNTA($A$71:A98))</f>
        <v>OV26</v>
      </c>
      <c r="C98" s="429" t="s">
        <v>416</v>
      </c>
      <c r="D98" s="228" t="s">
        <v>91</v>
      </c>
      <c r="E98" s="400" t="s">
        <v>24</v>
      </c>
      <c r="F98" s="541">
        <v>3700</v>
      </c>
      <c r="G98" s="541">
        <v>3700</v>
      </c>
      <c r="H98" s="541">
        <v>3700</v>
      </c>
      <c r="I98" s="541">
        <v>3700</v>
      </c>
      <c r="J98" s="38" t="s">
        <v>328</v>
      </c>
    </row>
    <row r="99" spans="1:10" s="38" customFormat="1" x14ac:dyDescent="0.25">
      <c r="A99" s="78" t="s">
        <v>81</v>
      </c>
      <c r="B99" s="78" t="str">
        <f>IF(ISBLANK(A99),"","OV"&amp;COUNTA($A$71:A99))</f>
        <v>OV27</v>
      </c>
      <c r="C99" s="569" t="s">
        <v>124</v>
      </c>
      <c r="D99" s="570" t="s">
        <v>91</v>
      </c>
      <c r="E99" s="571" t="s">
        <v>24</v>
      </c>
      <c r="F99" s="575">
        <v>300</v>
      </c>
      <c r="G99" s="575">
        <v>300</v>
      </c>
      <c r="H99" s="575"/>
      <c r="I99" s="575"/>
      <c r="J99" s="572" t="s">
        <v>329</v>
      </c>
    </row>
    <row r="100" spans="1:10" s="38" customFormat="1" x14ac:dyDescent="0.25">
      <c r="A100" s="78" t="s">
        <v>81</v>
      </c>
      <c r="B100" s="78" t="str">
        <f>IF(ISBLANK(A100),"","OV"&amp;COUNTA($A$71:A100))</f>
        <v>OV28</v>
      </c>
      <c r="C100" s="569" t="s">
        <v>417</v>
      </c>
      <c r="D100" s="570" t="s">
        <v>91</v>
      </c>
      <c r="E100" s="571" t="s">
        <v>24</v>
      </c>
      <c r="F100" s="575">
        <v>3200</v>
      </c>
      <c r="G100" s="575">
        <v>3200</v>
      </c>
      <c r="H100" s="575"/>
      <c r="I100" s="575"/>
      <c r="J100" s="572" t="s">
        <v>329</v>
      </c>
    </row>
    <row r="101" spans="1:10" s="38" customFormat="1" ht="25.5" x14ac:dyDescent="0.25">
      <c r="A101" s="78" t="s">
        <v>81</v>
      </c>
      <c r="B101" s="78" t="str">
        <f>IF(ISBLANK(A101),"","OV"&amp;COUNTA($A$71:A101))</f>
        <v>OV29</v>
      </c>
      <c r="C101" s="569" t="s">
        <v>418</v>
      </c>
      <c r="D101" s="570" t="s">
        <v>91</v>
      </c>
      <c r="E101" s="571" t="s">
        <v>24</v>
      </c>
      <c r="F101" s="575">
        <v>2400</v>
      </c>
      <c r="G101" s="575">
        <v>2400</v>
      </c>
      <c r="H101" s="575"/>
      <c r="I101" s="575"/>
    </row>
    <row r="102" spans="1:10" s="38" customFormat="1" x14ac:dyDescent="0.25">
      <c r="A102" s="43"/>
      <c r="B102" s="43" t="s">
        <v>127</v>
      </c>
      <c r="C102" s="3" t="s">
        <v>128</v>
      </c>
      <c r="D102" s="52"/>
      <c r="E102" s="52"/>
      <c r="F102" s="56">
        <f>SUMIF($A:$A,"OPP",F:F)</f>
        <v>106110</v>
      </c>
      <c r="G102" s="56">
        <f>SUMIF($A:$A,"OPP",G:G)</f>
        <v>115438</v>
      </c>
      <c r="H102" s="56">
        <f>SUMIF($A:$A,"OPP",H:H)</f>
        <v>97606</v>
      </c>
      <c r="I102" s="56">
        <f>SUMIF($A:$A,"OPP",I:I)</f>
        <v>96758</v>
      </c>
    </row>
    <row r="103" spans="1:10" s="38" customFormat="1" x14ac:dyDescent="0.25">
      <c r="A103" s="47"/>
      <c r="B103" s="78"/>
      <c r="C103" s="11"/>
      <c r="D103" s="49"/>
      <c r="E103" s="49"/>
      <c r="F103" s="57"/>
      <c r="G103" s="57"/>
      <c r="H103" s="57"/>
      <c r="I103" s="57"/>
    </row>
    <row r="104" spans="1:10" s="38" customFormat="1" x14ac:dyDescent="0.25">
      <c r="A104" s="48"/>
      <c r="B104" s="78"/>
      <c r="C104" s="13" t="s">
        <v>129</v>
      </c>
      <c r="D104" s="50"/>
      <c r="E104" s="61"/>
      <c r="F104" s="58"/>
      <c r="G104" s="58"/>
      <c r="H104" s="58"/>
      <c r="I104" s="58"/>
    </row>
    <row r="105" spans="1:10" s="38" customFormat="1" x14ac:dyDescent="0.25">
      <c r="A105" s="78"/>
      <c r="B105" s="78"/>
      <c r="C105" s="82" t="s">
        <v>130</v>
      </c>
      <c r="D105" s="72"/>
      <c r="E105" s="71"/>
      <c r="F105" s="4">
        <f>F92</f>
        <v>2023</v>
      </c>
      <c r="G105" s="4">
        <f>F105+1</f>
        <v>2024</v>
      </c>
      <c r="H105" s="4">
        <f>G105+1</f>
        <v>2025</v>
      </c>
      <c r="I105" s="4">
        <f>H105+1</f>
        <v>2026</v>
      </c>
    </row>
    <row r="106" spans="1:10" s="38" customFormat="1" x14ac:dyDescent="0.25">
      <c r="A106" s="78" t="s">
        <v>131</v>
      </c>
      <c r="B106" s="78" t="str">
        <f>IF(ISBLANK(A106),"","H"&amp;COUNTA($A$106:A106))</f>
        <v>H1</v>
      </c>
      <c r="C106" s="245" t="s">
        <v>330</v>
      </c>
      <c r="D106" s="72" t="s">
        <v>89</v>
      </c>
      <c r="E106" s="71" t="s">
        <v>84</v>
      </c>
      <c r="F106" s="74">
        <v>0</v>
      </c>
      <c r="G106" s="90">
        <v>9000</v>
      </c>
      <c r="H106" s="74">
        <v>9000</v>
      </c>
      <c r="I106" s="70">
        <v>9000</v>
      </c>
      <c r="J106" s="38" t="s">
        <v>419</v>
      </c>
    </row>
    <row r="107" spans="1:10" s="38" customFormat="1" x14ac:dyDescent="0.25">
      <c r="A107" s="78" t="s">
        <v>131</v>
      </c>
      <c r="B107" s="78" t="str">
        <f>IF(ISBLANK(A107),"","H"&amp;COUNTA($A$106:A107))</f>
        <v>H2</v>
      </c>
      <c r="C107" s="245" t="s">
        <v>420</v>
      </c>
      <c r="D107" s="72" t="s">
        <v>83</v>
      </c>
      <c r="E107" s="71" t="s">
        <v>84</v>
      </c>
      <c r="F107" s="481">
        <f>1650-1650</f>
        <v>0</v>
      </c>
      <c r="G107" s="481">
        <f>3600-3600</f>
        <v>0</v>
      </c>
      <c r="H107" s="481">
        <f>4900-4900</f>
        <v>0</v>
      </c>
      <c r="I107" s="481">
        <f>4900-4900</f>
        <v>0</v>
      </c>
    </row>
    <row r="108" spans="1:10" s="38" customFormat="1" x14ac:dyDescent="0.25">
      <c r="A108" s="78"/>
      <c r="B108" s="78"/>
      <c r="C108" s="480"/>
      <c r="D108" s="72"/>
      <c r="E108" s="71"/>
      <c r="F108" s="481"/>
      <c r="G108" s="481"/>
      <c r="H108" s="481"/>
      <c r="I108" s="481"/>
    </row>
    <row r="109" spans="1:10" s="38" customFormat="1" x14ac:dyDescent="0.25">
      <c r="A109" s="78"/>
      <c r="B109" s="78" t="str">
        <f>IF(ISBLANK(A109),"","H"&amp;COUNTA($A$106:A109))</f>
        <v/>
      </c>
      <c r="C109" s="82" t="s">
        <v>136</v>
      </c>
      <c r="D109" s="72"/>
      <c r="E109" s="71"/>
      <c r="F109" s="4">
        <f>F105</f>
        <v>2023</v>
      </c>
      <c r="G109" s="4">
        <f>F109+1</f>
        <v>2024</v>
      </c>
      <c r="H109" s="4">
        <f>G109+1</f>
        <v>2025</v>
      </c>
      <c r="I109" s="4">
        <f>H109+1</f>
        <v>2026</v>
      </c>
    </row>
    <row r="110" spans="1:10" s="38" customFormat="1" x14ac:dyDescent="0.25">
      <c r="A110" s="78" t="s">
        <v>131</v>
      </c>
      <c r="B110" s="78" t="str">
        <f>IF(ISBLANK(A110),"","H"&amp;COUNTA($A$106:A110))</f>
        <v>H3</v>
      </c>
      <c r="C110" s="245" t="s">
        <v>137</v>
      </c>
      <c r="D110" s="72" t="s">
        <v>89</v>
      </c>
      <c r="E110" s="71" t="s">
        <v>84</v>
      </c>
      <c r="F110" s="70">
        <v>2500</v>
      </c>
      <c r="G110" s="70">
        <v>5000</v>
      </c>
      <c r="H110" s="70">
        <v>7500</v>
      </c>
      <c r="I110" s="70">
        <v>10000</v>
      </c>
    </row>
    <row r="111" spans="1:10" s="38" customFormat="1" x14ac:dyDescent="0.25">
      <c r="A111" s="78"/>
      <c r="B111" s="78"/>
      <c r="C111" s="245"/>
      <c r="D111" s="72"/>
      <c r="E111" s="71"/>
      <c r="F111" s="217"/>
      <c r="G111" s="217"/>
      <c r="H111" s="217"/>
      <c r="I111" s="217"/>
    </row>
    <row r="112" spans="1:10" s="38" customFormat="1" x14ac:dyDescent="0.25">
      <c r="A112" s="341"/>
      <c r="B112" s="78" t="str">
        <f>IF(ISBLANK(A112),"","H"&amp;COUNTA($A$106:A112))</f>
        <v/>
      </c>
      <c r="C112" s="82" t="s">
        <v>142</v>
      </c>
      <c r="D112" s="83"/>
      <c r="E112" s="71"/>
      <c r="F112" s="4">
        <f>F109</f>
        <v>2023</v>
      </c>
      <c r="G112" s="4">
        <f>F112+1</f>
        <v>2024</v>
      </c>
      <c r="H112" s="4">
        <f>G112+1</f>
        <v>2025</v>
      </c>
      <c r="I112" s="4">
        <f>H112+1</f>
        <v>2026</v>
      </c>
    </row>
    <row r="113" spans="1:10" s="38" customFormat="1" x14ac:dyDescent="0.25">
      <c r="A113" s="78" t="s">
        <v>131</v>
      </c>
      <c r="B113" s="78" t="str">
        <f>IF(ISBLANK(A113),"","H"&amp;COUNTA($A$106:A113))</f>
        <v>H4</v>
      </c>
      <c r="C113" s="245" t="s">
        <v>143</v>
      </c>
      <c r="D113" s="72" t="s">
        <v>89</v>
      </c>
      <c r="E113" s="71" t="s">
        <v>84</v>
      </c>
      <c r="F113" s="70">
        <v>-300</v>
      </c>
      <c r="G113" s="70">
        <v>-900</v>
      </c>
      <c r="H113" s="70">
        <v>-1500</v>
      </c>
      <c r="I113" s="70">
        <v>-1500</v>
      </c>
    </row>
    <row r="114" spans="1:10" s="38" customFormat="1" x14ac:dyDescent="0.25">
      <c r="A114" s="78" t="s">
        <v>131</v>
      </c>
      <c r="B114" s="78" t="str">
        <f>IF(ISBLANK(A114),"","H"&amp;COUNTA($A$106:A114))</f>
        <v>H5</v>
      </c>
      <c r="C114" s="480" t="s">
        <v>144</v>
      </c>
      <c r="D114" s="72" t="s">
        <v>83</v>
      </c>
      <c r="E114" s="71" t="s">
        <v>84</v>
      </c>
      <c r="F114" s="398">
        <v>-27256</v>
      </c>
      <c r="G114" s="398">
        <v>-27256</v>
      </c>
      <c r="H114" s="398">
        <v>-27256</v>
      </c>
      <c r="I114" s="398">
        <v>-27256</v>
      </c>
    </row>
    <row r="115" spans="1:10" s="38" customFormat="1" x14ac:dyDescent="0.25">
      <c r="A115" s="78" t="s">
        <v>131</v>
      </c>
      <c r="B115" s="78" t="str">
        <f>IF(ISBLANK(A115),"","H"&amp;COUNTA($A$106:A115))</f>
        <v>H6</v>
      </c>
      <c r="C115" s="480" t="s">
        <v>145</v>
      </c>
      <c r="D115" s="72" t="s">
        <v>91</v>
      </c>
      <c r="E115" s="231" t="s">
        <v>24</v>
      </c>
      <c r="F115" s="398">
        <v>27256</v>
      </c>
      <c r="G115" s="398">
        <v>27256</v>
      </c>
      <c r="H115" s="398">
        <v>27256</v>
      </c>
      <c r="I115" s="398">
        <v>27256</v>
      </c>
    </row>
    <row r="116" spans="1:10" s="38" customFormat="1" x14ac:dyDescent="0.25">
      <c r="A116" s="78" t="s">
        <v>131</v>
      </c>
      <c r="B116" s="78" t="str">
        <f>IF(ISBLANK(A116),"","H"&amp;COUNTA($A$106:A116))</f>
        <v>H7</v>
      </c>
      <c r="C116" s="480" t="s">
        <v>146</v>
      </c>
      <c r="D116" s="72" t="s">
        <v>91</v>
      </c>
      <c r="E116" s="71" t="s">
        <v>24</v>
      </c>
      <c r="F116" s="398">
        <v>15000</v>
      </c>
      <c r="G116" s="398">
        <v>15000</v>
      </c>
      <c r="H116" s="398">
        <v>15000</v>
      </c>
      <c r="I116" s="398">
        <v>15000</v>
      </c>
    </row>
    <row r="117" spans="1:10" s="38" customFormat="1" x14ac:dyDescent="0.25">
      <c r="A117" s="78" t="s">
        <v>131</v>
      </c>
      <c r="B117" s="78" t="str">
        <f>IF(ISBLANK(A117),"","H"&amp;COUNTA($A$106:A117))</f>
        <v>H8</v>
      </c>
      <c r="C117" s="480" t="s">
        <v>147</v>
      </c>
      <c r="D117" s="72" t="s">
        <v>91</v>
      </c>
      <c r="E117" s="71" t="s">
        <v>24</v>
      </c>
      <c r="F117" s="421">
        <v>5000</v>
      </c>
      <c r="G117" s="217">
        <f>F117</f>
        <v>5000</v>
      </c>
      <c r="H117" s="217">
        <f>G117</f>
        <v>5000</v>
      </c>
      <c r="I117" s="217">
        <f>H117</f>
        <v>5000</v>
      </c>
    </row>
    <row r="118" spans="1:10" s="38" customFormat="1" x14ac:dyDescent="0.25">
      <c r="A118" s="78" t="s">
        <v>131</v>
      </c>
      <c r="B118" s="78" t="str">
        <f>IF(ISBLANK(A118),"","H"&amp;COUNTA($A$106:A118))</f>
        <v>H9</v>
      </c>
      <c r="C118" s="396" t="s">
        <v>148</v>
      </c>
      <c r="D118" s="72" t="s">
        <v>91</v>
      </c>
      <c r="E118" s="71" t="s">
        <v>24</v>
      </c>
      <c r="F118" s="217">
        <v>10000</v>
      </c>
      <c r="G118" s="217">
        <v>10000</v>
      </c>
      <c r="H118" s="217">
        <v>10000</v>
      </c>
      <c r="I118" s="217">
        <v>10000</v>
      </c>
    </row>
    <row r="119" spans="1:10" s="38" customFormat="1" x14ac:dyDescent="0.25">
      <c r="A119" s="78" t="s">
        <v>131</v>
      </c>
      <c r="B119" s="78" t="str">
        <f>IF(ISBLANK(A119),"","H"&amp;COUNTA($A$106:A119))</f>
        <v>H10</v>
      </c>
      <c r="C119" s="582" t="s">
        <v>149</v>
      </c>
      <c r="D119" s="72" t="s">
        <v>91</v>
      </c>
      <c r="E119" s="71" t="s">
        <v>24</v>
      </c>
      <c r="F119" s="217">
        <v>700</v>
      </c>
      <c r="G119" s="217">
        <v>700</v>
      </c>
      <c r="H119" s="217">
        <v>700</v>
      </c>
      <c r="I119" s="217">
        <v>700</v>
      </c>
      <c r="J119" s="38" t="s">
        <v>332</v>
      </c>
    </row>
    <row r="120" spans="1:10" s="38" customFormat="1" x14ac:dyDescent="0.25">
      <c r="A120" s="78" t="s">
        <v>131</v>
      </c>
      <c r="B120" s="78" t="str">
        <f>IF(ISBLANK(A120),"","H"&amp;COUNTA($A$106:A120))</f>
        <v>H11</v>
      </c>
      <c r="C120" s="582" t="s">
        <v>150</v>
      </c>
      <c r="D120" s="72" t="s">
        <v>91</v>
      </c>
      <c r="E120" s="71" t="s">
        <v>24</v>
      </c>
      <c r="F120" s="217">
        <v>1000</v>
      </c>
      <c r="G120" s="217">
        <f>F120</f>
        <v>1000</v>
      </c>
      <c r="H120" s="217">
        <f>G120</f>
        <v>1000</v>
      </c>
      <c r="I120" s="217">
        <f>H120</f>
        <v>1000</v>
      </c>
      <c r="J120" s="38" t="s">
        <v>332</v>
      </c>
    </row>
    <row r="121" spans="1:10" s="38" customFormat="1" x14ac:dyDescent="0.25">
      <c r="A121" s="78" t="s">
        <v>131</v>
      </c>
      <c r="B121" s="78" t="str">
        <f>IF(ISBLANK(A121),"","H"&amp;COUNTA($A$106:A121))</f>
        <v>H12</v>
      </c>
      <c r="C121" s="584" t="s">
        <v>151</v>
      </c>
      <c r="D121" s="72" t="s">
        <v>91</v>
      </c>
      <c r="E121" s="71" t="s">
        <v>24</v>
      </c>
      <c r="F121" s="217">
        <v>1100</v>
      </c>
      <c r="G121" s="217">
        <v>1100</v>
      </c>
      <c r="H121" s="217">
        <v>1100</v>
      </c>
      <c r="I121" s="217">
        <v>1100</v>
      </c>
      <c r="J121" s="38" t="s">
        <v>332</v>
      </c>
    </row>
    <row r="122" spans="1:10" s="38" customFormat="1" x14ac:dyDescent="0.25">
      <c r="A122" s="78" t="s">
        <v>131</v>
      </c>
      <c r="B122" s="78" t="str">
        <f>IF(ISBLANK(A122),"","H"&amp;COUNTA($A$106:A122))</f>
        <v>H13</v>
      </c>
      <c r="C122" s="584" t="s">
        <v>152</v>
      </c>
      <c r="D122" s="72" t="s">
        <v>91</v>
      </c>
      <c r="E122" s="71" t="s">
        <v>24</v>
      </c>
      <c r="F122" s="217">
        <v>1200</v>
      </c>
      <c r="G122" s="217">
        <v>1200</v>
      </c>
      <c r="H122" s="217">
        <v>1200</v>
      </c>
      <c r="I122" s="217">
        <v>1200</v>
      </c>
      <c r="J122" s="38" t="s">
        <v>332</v>
      </c>
    </row>
    <row r="123" spans="1:10" s="38" customFormat="1" ht="25.5" x14ac:dyDescent="0.25">
      <c r="A123" s="78" t="s">
        <v>131</v>
      </c>
      <c r="B123" s="78" t="str">
        <f>IF(ISBLANK(A123),"","H"&amp;COUNTA($A$106:A123))</f>
        <v>H14</v>
      </c>
      <c r="C123" s="582" t="s">
        <v>153</v>
      </c>
      <c r="D123" s="72" t="s">
        <v>91</v>
      </c>
      <c r="E123" s="71" t="s">
        <v>24</v>
      </c>
      <c r="F123" s="217">
        <v>-4000</v>
      </c>
      <c r="G123" s="217">
        <v>-4000</v>
      </c>
      <c r="H123" s="217">
        <v>-4000</v>
      </c>
      <c r="I123" s="217">
        <v>-4000</v>
      </c>
      <c r="J123" s="38" t="s">
        <v>332</v>
      </c>
    </row>
    <row r="124" spans="1:10" s="38" customFormat="1" x14ac:dyDescent="0.25">
      <c r="A124" s="78"/>
      <c r="B124" s="78" t="str">
        <f>IF(ISBLANK(A124),"","H"&amp;COUNTA($A$106:A124))</f>
        <v/>
      </c>
      <c r="C124" s="82" t="s">
        <v>156</v>
      </c>
      <c r="D124" s="72"/>
      <c r="E124" s="71"/>
      <c r="F124" s="4">
        <f>F112</f>
        <v>2023</v>
      </c>
      <c r="G124" s="4">
        <f>F124+1</f>
        <v>2024</v>
      </c>
      <c r="H124" s="4">
        <f>G124+1</f>
        <v>2025</v>
      </c>
      <c r="I124" s="4">
        <f>H124+1</f>
        <v>2026</v>
      </c>
    </row>
    <row r="125" spans="1:10" s="38" customFormat="1" ht="25.5" x14ac:dyDescent="0.25">
      <c r="A125" s="78" t="s">
        <v>131</v>
      </c>
      <c r="B125" s="78" t="str">
        <f>IF(ISBLANK(A125),"","H"&amp;COUNTA($A$106:A125))</f>
        <v>H15</v>
      </c>
      <c r="C125" s="245" t="s">
        <v>157</v>
      </c>
      <c r="D125" s="72" t="s">
        <v>83</v>
      </c>
      <c r="E125" s="71" t="s">
        <v>84</v>
      </c>
      <c r="F125" s="217">
        <v>1200</v>
      </c>
      <c r="G125" s="217">
        <v>1700</v>
      </c>
      <c r="H125" s="217">
        <v>2100</v>
      </c>
      <c r="I125" s="217">
        <v>2500</v>
      </c>
      <c r="J125" s="144" t="s">
        <v>421</v>
      </c>
    </row>
    <row r="126" spans="1:10" s="38" customFormat="1" x14ac:dyDescent="0.25">
      <c r="A126" s="78" t="s">
        <v>131</v>
      </c>
      <c r="B126" s="78" t="str">
        <f>IF(ISBLANK(A126),"","H"&amp;COUNTA($A$106:A126))</f>
        <v>H16</v>
      </c>
      <c r="C126" s="245" t="s">
        <v>159</v>
      </c>
      <c r="D126" s="72" t="s">
        <v>91</v>
      </c>
      <c r="E126" s="71" t="s">
        <v>24</v>
      </c>
      <c r="F126" s="217">
        <v>600</v>
      </c>
      <c r="G126" s="217">
        <f>F126</f>
        <v>600</v>
      </c>
      <c r="H126" s="217">
        <f>G126</f>
        <v>600</v>
      </c>
      <c r="I126" s="217">
        <f>H126</f>
        <v>600</v>
      </c>
      <c r="J126" s="144"/>
    </row>
    <row r="127" spans="1:10" s="38" customFormat="1" x14ac:dyDescent="0.25">
      <c r="A127" s="78" t="s">
        <v>131</v>
      </c>
      <c r="B127" s="78" t="str">
        <f>IF(ISBLANK(A127),"","H"&amp;COUNTA($A$106:A127))</f>
        <v>H17</v>
      </c>
      <c r="C127" s="245" t="s">
        <v>422</v>
      </c>
      <c r="D127" s="72" t="s">
        <v>91</v>
      </c>
      <c r="E127" s="71" t="s">
        <v>24</v>
      </c>
      <c r="F127" s="70">
        <v>1530</v>
      </c>
      <c r="G127" s="70">
        <v>1530</v>
      </c>
      <c r="H127" s="70">
        <v>1530</v>
      </c>
      <c r="I127" s="70">
        <v>1530</v>
      </c>
      <c r="J127" s="38" t="s">
        <v>423</v>
      </c>
    </row>
    <row r="128" spans="1:10" s="38" customFormat="1" ht="25.5" x14ac:dyDescent="0.25">
      <c r="A128" s="78" t="s">
        <v>131</v>
      </c>
      <c r="B128" s="78" t="str">
        <f>IF(ISBLANK(A128),"","H"&amp;COUNTA($A$106:A128))</f>
        <v>H18</v>
      </c>
      <c r="C128" s="581" t="s">
        <v>424</v>
      </c>
      <c r="D128" s="72" t="s">
        <v>91</v>
      </c>
      <c r="E128" s="71" t="s">
        <v>24</v>
      </c>
      <c r="F128" s="421">
        <v>1700</v>
      </c>
      <c r="G128" s="421">
        <v>1700</v>
      </c>
      <c r="H128" s="421">
        <v>1700</v>
      </c>
      <c r="I128" s="421">
        <v>1700</v>
      </c>
      <c r="J128" s="293" t="s">
        <v>425</v>
      </c>
    </row>
    <row r="129" spans="1:11" s="38" customFormat="1" x14ac:dyDescent="0.25">
      <c r="A129" s="78" t="s">
        <v>131</v>
      </c>
      <c r="B129" s="78" t="str">
        <f>IF(ISBLANK(A129),"","H"&amp;COUNTA($A$106:A129))</f>
        <v>H19</v>
      </c>
      <c r="C129" s="429" t="s">
        <v>426</v>
      </c>
      <c r="D129" s="228" t="s">
        <v>91</v>
      </c>
      <c r="E129" s="231" t="s">
        <v>24</v>
      </c>
      <c r="F129" s="432">
        <v>2500</v>
      </c>
      <c r="G129" s="432">
        <v>2500</v>
      </c>
      <c r="H129" s="432">
        <v>2500</v>
      </c>
      <c r="I129" s="432">
        <v>2500</v>
      </c>
      <c r="J129" s="293"/>
    </row>
    <row r="130" spans="1:11" s="38" customFormat="1" x14ac:dyDescent="0.25">
      <c r="A130" s="78" t="s">
        <v>131</v>
      </c>
      <c r="B130" s="78" t="str">
        <f>IF(ISBLANK(A130),"","H"&amp;COUNTA($A$106:A130))</f>
        <v>H20</v>
      </c>
      <c r="C130" s="429" t="s">
        <v>427</v>
      </c>
      <c r="D130" s="228" t="s">
        <v>91</v>
      </c>
      <c r="E130" s="231" t="s">
        <v>24</v>
      </c>
      <c r="F130" s="432">
        <v>3000</v>
      </c>
      <c r="G130" s="432">
        <v>3000</v>
      </c>
      <c r="H130" s="432">
        <v>3000</v>
      </c>
      <c r="I130" s="432">
        <v>3000</v>
      </c>
      <c r="J130" s="293"/>
    </row>
    <row r="131" spans="1:11" s="38" customFormat="1" ht="25.5" x14ac:dyDescent="0.25">
      <c r="A131" s="78" t="s">
        <v>131</v>
      </c>
      <c r="B131" s="78" t="str">
        <f>IF(ISBLANK(A131),"","H"&amp;COUNTA($A$106:A131))</f>
        <v>H21</v>
      </c>
      <c r="C131" s="429" t="s">
        <v>428</v>
      </c>
      <c r="D131" s="228" t="s">
        <v>91</v>
      </c>
      <c r="E131" s="231" t="s">
        <v>24</v>
      </c>
      <c r="F131" s="432">
        <v>3000</v>
      </c>
      <c r="G131" s="432"/>
      <c r="H131" s="432"/>
      <c r="I131" s="432"/>
      <c r="J131" s="293"/>
    </row>
    <row r="132" spans="1:11" s="38" customFormat="1" x14ac:dyDescent="0.25">
      <c r="A132" s="78" t="s">
        <v>131</v>
      </c>
      <c r="B132" s="78" t="str">
        <f>IF(ISBLANK(A132),"","H"&amp;COUNTA($A$106:A132))</f>
        <v>H22</v>
      </c>
      <c r="C132" s="429" t="s">
        <v>429</v>
      </c>
      <c r="D132" s="228" t="s">
        <v>91</v>
      </c>
      <c r="E132" s="231" t="s">
        <v>24</v>
      </c>
      <c r="F132" s="432">
        <v>6100</v>
      </c>
      <c r="G132" s="432">
        <v>6100</v>
      </c>
      <c r="H132" s="432">
        <v>6100</v>
      </c>
      <c r="I132" s="432">
        <v>6100</v>
      </c>
      <c r="J132" s="293" t="s">
        <v>430</v>
      </c>
    </row>
    <row r="133" spans="1:11" s="38" customFormat="1" x14ac:dyDescent="0.25">
      <c r="A133" s="78"/>
      <c r="B133" s="78" t="str">
        <f>IF(ISBLANK(A133),"","H"&amp;COUNTA($A$106:A133))</f>
        <v/>
      </c>
      <c r="D133" s="83"/>
      <c r="E133" s="71"/>
      <c r="F133" s="4">
        <f>F124</f>
        <v>2023</v>
      </c>
      <c r="G133" s="4">
        <f>F133+1</f>
        <v>2024</v>
      </c>
      <c r="H133" s="4">
        <f>G133+1</f>
        <v>2025</v>
      </c>
      <c r="I133" s="4">
        <f>H133+1</f>
        <v>2026</v>
      </c>
    </row>
    <row r="134" spans="1:11" s="38" customFormat="1" x14ac:dyDescent="0.25">
      <c r="A134" s="78"/>
      <c r="B134" s="78"/>
      <c r="C134" s="82" t="s">
        <v>172</v>
      </c>
      <c r="D134" s="83"/>
      <c r="E134" s="71"/>
      <c r="F134" s="4"/>
      <c r="G134" s="4"/>
      <c r="H134" s="4"/>
      <c r="I134" s="4"/>
    </row>
    <row r="135" spans="1:11" s="38" customFormat="1" x14ac:dyDescent="0.25">
      <c r="A135" s="78" t="s">
        <v>131</v>
      </c>
      <c r="B135" s="78" t="str">
        <f>IF(ISBLANK(A135),"","H"&amp;COUNTA($A$106:A135))</f>
        <v>H23</v>
      </c>
      <c r="C135" s="245" t="s">
        <v>173</v>
      </c>
      <c r="D135" s="72" t="s">
        <v>83</v>
      </c>
      <c r="E135" s="71" t="s">
        <v>84</v>
      </c>
      <c r="F135" s="575">
        <v>-6879</v>
      </c>
      <c r="G135" s="575">
        <v>-5056</v>
      </c>
      <c r="H135" s="575">
        <v>705</v>
      </c>
      <c r="I135" s="575">
        <v>2528</v>
      </c>
      <c r="J135" s="144" t="s">
        <v>431</v>
      </c>
    </row>
    <row r="136" spans="1:11" s="38" customFormat="1" x14ac:dyDescent="0.25">
      <c r="A136" s="78" t="s">
        <v>131</v>
      </c>
      <c r="B136" s="78" t="str">
        <f>IF(ISBLANK(A136),"","H"&amp;COUNTA($A$106:A136))</f>
        <v>H24</v>
      </c>
      <c r="C136" s="245" t="s">
        <v>174</v>
      </c>
      <c r="D136" s="72" t="s">
        <v>83</v>
      </c>
      <c r="E136" s="71" t="s">
        <v>84</v>
      </c>
      <c r="F136" s="575">
        <v>39000</v>
      </c>
      <c r="G136" s="575">
        <v>20000</v>
      </c>
      <c r="H136" s="575">
        <v>5000</v>
      </c>
      <c r="I136" s="575">
        <v>5000</v>
      </c>
      <c r="J136" s="144" t="s">
        <v>431</v>
      </c>
    </row>
    <row r="137" spans="1:11" s="38" customFormat="1" ht="25.5" x14ac:dyDescent="0.25">
      <c r="A137" s="78" t="s">
        <v>131</v>
      </c>
      <c r="B137" s="78" t="str">
        <f>IF(ISBLANK(A137),"","H"&amp;COUNTA($A$106:A137))</f>
        <v>H25</v>
      </c>
      <c r="C137" s="245" t="s">
        <v>432</v>
      </c>
      <c r="D137" s="72" t="s">
        <v>91</v>
      </c>
      <c r="E137" s="71" t="s">
        <v>24</v>
      </c>
      <c r="F137" s="398">
        <v>18000</v>
      </c>
      <c r="G137" s="398">
        <v>18000</v>
      </c>
      <c r="H137" s="398">
        <v>18000</v>
      </c>
      <c r="I137" s="398">
        <v>18000</v>
      </c>
      <c r="J137" s="144"/>
    </row>
    <row r="138" spans="1:11" s="38" customFormat="1" x14ac:dyDescent="0.25">
      <c r="A138" s="78" t="s">
        <v>131</v>
      </c>
      <c r="B138" s="78" t="str">
        <f>IF(ISBLANK(A138),"","H"&amp;COUNTA($A$106:A138))</f>
        <v>H26</v>
      </c>
      <c r="C138" s="569" t="s">
        <v>433</v>
      </c>
      <c r="D138" s="570" t="s">
        <v>91</v>
      </c>
      <c r="E138" s="573" t="s">
        <v>24</v>
      </c>
      <c r="F138" s="575">
        <v>1400</v>
      </c>
      <c r="G138" s="575">
        <v>1400</v>
      </c>
      <c r="H138" s="575"/>
      <c r="I138" s="575"/>
      <c r="J138" s="572" t="s">
        <v>342</v>
      </c>
      <c r="K138" s="572"/>
    </row>
    <row r="139" spans="1:11" s="38" customFormat="1" ht="38.25" x14ac:dyDescent="0.25">
      <c r="A139" s="78" t="s">
        <v>131</v>
      </c>
      <c r="B139" s="78" t="str">
        <f>IF(ISBLANK(A139),"","H"&amp;COUNTA($A$106:A139))</f>
        <v>H27</v>
      </c>
      <c r="C139" s="569" t="s">
        <v>434</v>
      </c>
      <c r="D139" s="570" t="s">
        <v>91</v>
      </c>
      <c r="E139" s="573" t="s">
        <v>24</v>
      </c>
      <c r="F139" s="575">
        <v>2700</v>
      </c>
      <c r="G139" s="575">
        <v>2700</v>
      </c>
      <c r="H139" s="575"/>
      <c r="I139" s="575"/>
      <c r="J139" s="572" t="s">
        <v>329</v>
      </c>
    </row>
    <row r="140" spans="1:11" s="38" customFormat="1" ht="25.5" x14ac:dyDescent="0.25">
      <c r="A140" s="78" t="s">
        <v>131</v>
      </c>
      <c r="B140" s="78" t="str">
        <f>IF(ISBLANK(A140),"","H"&amp;COUNTA($A$106:A140))</f>
        <v>H28</v>
      </c>
      <c r="C140" s="569" t="s">
        <v>435</v>
      </c>
      <c r="D140" s="570" t="s">
        <v>91</v>
      </c>
      <c r="E140" s="573" t="s">
        <v>24</v>
      </c>
      <c r="F140" s="574">
        <f>6400+1000</f>
        <v>7400</v>
      </c>
      <c r="G140" s="574">
        <f t="shared" ref="G140" si="0">6400+1000</f>
        <v>7400</v>
      </c>
      <c r="H140" s="574"/>
      <c r="I140" s="574"/>
      <c r="J140" s="572" t="s">
        <v>329</v>
      </c>
    </row>
    <row r="141" spans="1:11" s="38" customFormat="1" x14ac:dyDescent="0.25">
      <c r="A141" s="78" t="s">
        <v>131</v>
      </c>
      <c r="B141" s="78" t="str">
        <f>IF(ISBLANK(A141),"","H"&amp;COUNTA($A$106:A141))</f>
        <v>H29</v>
      </c>
      <c r="C141" s="569" t="s">
        <v>436</v>
      </c>
      <c r="D141" s="570" t="s">
        <v>91</v>
      </c>
      <c r="E141" s="573" t="s">
        <v>24</v>
      </c>
      <c r="F141" s="574">
        <v>-3200</v>
      </c>
      <c r="G141" s="574">
        <v>-3200</v>
      </c>
      <c r="H141" s="574"/>
      <c r="I141" s="574"/>
      <c r="J141" s="572"/>
    </row>
    <row r="142" spans="1:11" s="38" customFormat="1" x14ac:dyDescent="0.25">
      <c r="A142" s="78"/>
      <c r="B142" s="78"/>
      <c r="C142" s="480"/>
      <c r="D142" s="72"/>
      <c r="E142" s="71"/>
      <c r="F142" s="546"/>
      <c r="G142" s="546"/>
      <c r="H142" s="546"/>
      <c r="I142" s="546"/>
    </row>
    <row r="143" spans="1:11" s="38" customFormat="1" x14ac:dyDescent="0.25">
      <c r="A143" s="78"/>
      <c r="B143" s="78" t="str">
        <f>IF(ISBLANK(A143),"","H"&amp;COUNTA($A$106:A143))</f>
        <v/>
      </c>
      <c r="C143" s="82" t="s">
        <v>179</v>
      </c>
      <c r="D143" s="83"/>
      <c r="E143" s="71"/>
      <c r="F143" s="4">
        <f>F133</f>
        <v>2023</v>
      </c>
      <c r="G143" s="4">
        <f>F143+1</f>
        <v>2024</v>
      </c>
      <c r="H143" s="4">
        <f>G143+1</f>
        <v>2025</v>
      </c>
      <c r="I143" s="4">
        <f>H143+1</f>
        <v>2026</v>
      </c>
    </row>
    <row r="144" spans="1:11" s="38" customFormat="1" x14ac:dyDescent="0.25">
      <c r="A144" s="78" t="s">
        <v>131</v>
      </c>
      <c r="B144" s="78" t="str">
        <f>IF(ISBLANK(A144),"","H"&amp;COUNTA($A$106:A144))</f>
        <v>H30</v>
      </c>
      <c r="C144" s="245" t="s">
        <v>180</v>
      </c>
      <c r="D144" s="72" t="s">
        <v>89</v>
      </c>
      <c r="E144" s="71" t="s">
        <v>84</v>
      </c>
      <c r="F144" s="70">
        <v>0</v>
      </c>
      <c r="G144" s="70">
        <v>1000</v>
      </c>
      <c r="H144" s="70">
        <v>12000</v>
      </c>
      <c r="I144" s="191">
        <v>12000</v>
      </c>
    </row>
    <row r="145" spans="1:10" s="38" customFormat="1" x14ac:dyDescent="0.25">
      <c r="A145" s="78" t="s">
        <v>131</v>
      </c>
      <c r="B145" s="78" t="str">
        <f>IF(ISBLANK(A145),"","H"&amp;COUNTA($A$106:A145))</f>
        <v>H31</v>
      </c>
      <c r="C145" s="245" t="s">
        <v>181</v>
      </c>
      <c r="D145" s="72" t="s">
        <v>89</v>
      </c>
      <c r="E145" s="71" t="s">
        <v>84</v>
      </c>
      <c r="F145" s="191">
        <v>0</v>
      </c>
      <c r="G145" s="191">
        <v>-4000</v>
      </c>
      <c r="H145" s="191">
        <v>-6000</v>
      </c>
      <c r="I145" s="191">
        <v>-6000</v>
      </c>
    </row>
    <row r="146" spans="1:10" s="38" customFormat="1" x14ac:dyDescent="0.25">
      <c r="A146" s="43"/>
      <c r="B146" s="43" t="s">
        <v>127</v>
      </c>
      <c r="C146" s="3" t="s">
        <v>182</v>
      </c>
      <c r="D146" s="52"/>
      <c r="E146" s="52"/>
      <c r="F146" s="56">
        <f>SUMIF($A:$A,"H&amp;V",F:F)</f>
        <v>110251</v>
      </c>
      <c r="G146" s="56">
        <f>SUMIF($A:$A,"H&amp;V",G:G)</f>
        <v>98474</v>
      </c>
      <c r="H146" s="56">
        <f>SUMIF($A:$A,"H&amp;V",H:H)</f>
        <v>92235</v>
      </c>
      <c r="I146" s="56">
        <f>SUMIF($A:$A,"H&amp;V",I:I)</f>
        <v>96958</v>
      </c>
    </row>
    <row r="147" spans="1:10" s="38" customFormat="1" x14ac:dyDescent="0.25">
      <c r="A147" s="47"/>
      <c r="B147" s="78"/>
      <c r="C147" s="11"/>
      <c r="D147" s="49"/>
      <c r="E147" s="49"/>
      <c r="F147" s="57"/>
      <c r="G147" s="57"/>
      <c r="H147" s="57"/>
      <c r="I147" s="57"/>
    </row>
    <row r="148" spans="1:10" s="38" customFormat="1" x14ac:dyDescent="0.25">
      <c r="A148" s="48"/>
      <c r="B148" s="78"/>
      <c r="C148" s="13" t="s">
        <v>183</v>
      </c>
      <c r="D148" s="50"/>
      <c r="E148" s="61"/>
      <c r="F148" s="58"/>
      <c r="G148" s="58"/>
      <c r="H148" s="58"/>
      <c r="I148" s="58"/>
    </row>
    <row r="149" spans="1:10" s="38" customFormat="1" x14ac:dyDescent="0.25">
      <c r="A149" s="341"/>
      <c r="B149" s="78"/>
      <c r="C149" s="82" t="s">
        <v>184</v>
      </c>
      <c r="D149" s="83"/>
      <c r="E149" s="71"/>
      <c r="F149" s="4">
        <f>F143</f>
        <v>2023</v>
      </c>
      <c r="G149" s="4">
        <f>F149+1</f>
        <v>2024</v>
      </c>
      <c r="H149" s="4">
        <f>G149+1</f>
        <v>2025</v>
      </c>
      <c r="I149" s="4">
        <f>H149+1</f>
        <v>2026</v>
      </c>
    </row>
    <row r="150" spans="1:10" s="38" customFormat="1" x14ac:dyDescent="0.25">
      <c r="A150" s="78" t="s">
        <v>186</v>
      </c>
      <c r="B150" s="78" t="str">
        <f>IF(ISBLANK(A150),"","K"&amp;COUNTA($A$150:A150))</f>
        <v>K1</v>
      </c>
      <c r="C150" s="212"/>
      <c r="D150" s="79"/>
      <c r="E150" s="71"/>
      <c r="F150" s="255"/>
      <c r="G150" s="255"/>
      <c r="H150" s="255"/>
      <c r="I150" s="255"/>
    </row>
    <row r="151" spans="1:10" s="38" customFormat="1" x14ac:dyDescent="0.25">
      <c r="A151" s="78"/>
      <c r="B151" s="78" t="str">
        <f>IF(ISBLANK(A151),"","K"&amp;COUNTA($A$150:A151))</f>
        <v/>
      </c>
      <c r="C151" s="82" t="s">
        <v>185</v>
      </c>
      <c r="D151" s="79"/>
      <c r="E151" s="71"/>
      <c r="F151" s="191"/>
      <c r="G151" s="191"/>
      <c r="H151" s="191"/>
      <c r="I151" s="191"/>
    </row>
    <row r="152" spans="1:10" s="38" customFormat="1" x14ac:dyDescent="0.25">
      <c r="A152" s="78" t="s">
        <v>186</v>
      </c>
      <c r="B152" s="78" t="str">
        <f>IF(ISBLANK(A152),"","K"&amp;COUNTA($A$150:A152))</f>
        <v>K2</v>
      </c>
      <c r="C152" s="213" t="s">
        <v>187</v>
      </c>
      <c r="D152" s="72" t="s">
        <v>89</v>
      </c>
      <c r="E152" s="71" t="s">
        <v>84</v>
      </c>
      <c r="F152" s="70"/>
      <c r="G152" s="70">
        <v>-100</v>
      </c>
      <c r="H152" s="70">
        <v>-100</v>
      </c>
      <c r="I152" s="70">
        <v>-100</v>
      </c>
    </row>
    <row r="153" spans="1:10" s="38" customFormat="1" x14ac:dyDescent="0.25">
      <c r="A153" s="78" t="s">
        <v>186</v>
      </c>
      <c r="B153" s="78" t="str">
        <f>IF(ISBLANK(A153),"","K"&amp;COUNTA($A$150:A153))</f>
        <v>K3</v>
      </c>
      <c r="C153" s="212" t="s">
        <v>437</v>
      </c>
      <c r="D153" s="72" t="s">
        <v>91</v>
      </c>
      <c r="E153" s="71" t="s">
        <v>24</v>
      </c>
      <c r="F153" s="191">
        <v>750</v>
      </c>
      <c r="G153" s="191">
        <v>750</v>
      </c>
      <c r="H153" s="191">
        <v>750</v>
      </c>
      <c r="I153" s="191">
        <v>750</v>
      </c>
    </row>
    <row r="154" spans="1:10" s="38" customFormat="1" x14ac:dyDescent="0.25">
      <c r="A154" s="78" t="s">
        <v>186</v>
      </c>
      <c r="B154" s="78" t="str">
        <f>IF(ISBLANK(A154),"","K"&amp;COUNTA($A$150:A154))</f>
        <v>K4</v>
      </c>
      <c r="C154" s="212" t="s">
        <v>438</v>
      </c>
      <c r="D154" s="72" t="s">
        <v>91</v>
      </c>
      <c r="E154" s="71" t="s">
        <v>24</v>
      </c>
      <c r="F154" s="191">
        <v>-750</v>
      </c>
      <c r="G154" s="191">
        <v>-750</v>
      </c>
      <c r="H154" s="191"/>
      <c r="I154" s="191"/>
    </row>
    <row r="155" spans="1:10" s="38" customFormat="1" x14ac:dyDescent="0.25">
      <c r="A155" s="78" t="s">
        <v>186</v>
      </c>
      <c r="B155" s="78" t="str">
        <f>IF(ISBLANK(A155),"","K"&amp;COUNTA($A$150:A155))</f>
        <v>K5</v>
      </c>
      <c r="C155" s="616" t="s">
        <v>439</v>
      </c>
      <c r="D155" s="72" t="s">
        <v>91</v>
      </c>
      <c r="E155" s="71" t="s">
        <v>24</v>
      </c>
      <c r="F155" s="191">
        <v>136</v>
      </c>
      <c r="G155" s="191">
        <v>136</v>
      </c>
      <c r="H155" s="191">
        <v>136</v>
      </c>
      <c r="I155" s="191">
        <v>136</v>
      </c>
      <c r="J155" s="38" t="s">
        <v>344</v>
      </c>
    </row>
    <row r="156" spans="1:10" s="38" customFormat="1" x14ac:dyDescent="0.25">
      <c r="A156" s="43"/>
      <c r="B156" s="43" t="s">
        <v>127</v>
      </c>
      <c r="C156" s="3" t="s">
        <v>203</v>
      </c>
      <c r="D156" s="52"/>
      <c r="E156" s="52"/>
      <c r="F156" s="56">
        <f>SUMIF($A:$A,"KuN",F:F)</f>
        <v>136</v>
      </c>
      <c r="G156" s="56">
        <f>SUMIF($A:$A,"KuN",G:G)</f>
        <v>36</v>
      </c>
      <c r="H156" s="56">
        <f>SUMIF($A:$A,"KuN",H:H)</f>
        <v>786</v>
      </c>
      <c r="I156" s="56">
        <f>SUMIF($A:$A,"KuN",I:I)</f>
        <v>786</v>
      </c>
    </row>
    <row r="157" spans="1:10" s="38" customFormat="1" x14ac:dyDescent="0.25">
      <c r="A157" s="47"/>
      <c r="B157" s="78"/>
      <c r="C157" s="11"/>
      <c r="D157" s="49"/>
      <c r="E157" s="49"/>
      <c r="F157" s="57"/>
      <c r="G157" s="57"/>
      <c r="H157" s="57"/>
      <c r="I157" s="57"/>
    </row>
    <row r="158" spans="1:10" s="38" customFormat="1" x14ac:dyDescent="0.25">
      <c r="A158" s="48"/>
      <c r="B158" s="78"/>
      <c r="C158" s="248" t="s">
        <v>204</v>
      </c>
      <c r="D158" s="83"/>
      <c r="E158" s="71"/>
      <c r="F158" s="4">
        <f>F149</f>
        <v>2023</v>
      </c>
      <c r="G158" s="4">
        <f>F158+1</f>
        <v>2024</v>
      </c>
      <c r="H158" s="4">
        <f>G158+1</f>
        <v>2025</v>
      </c>
      <c r="I158" s="4">
        <f>H158+1</f>
        <v>2026</v>
      </c>
    </row>
    <row r="159" spans="1:10" s="38" customFormat="1" x14ac:dyDescent="0.25">
      <c r="A159" s="78" t="s">
        <v>206</v>
      </c>
      <c r="B159" s="78" t="str">
        <f>IF(ISBLANK(A159),"","T"&amp;COUNTA($A159:A$159))</f>
        <v>T1</v>
      </c>
      <c r="C159" s="344" t="s">
        <v>440</v>
      </c>
      <c r="D159" s="72" t="s">
        <v>91</v>
      </c>
      <c r="E159" s="71">
        <v>1</v>
      </c>
      <c r="F159" s="398">
        <v>5531</v>
      </c>
      <c r="G159" s="398">
        <v>5531</v>
      </c>
      <c r="H159" s="398">
        <v>5531</v>
      </c>
      <c r="I159" s="398">
        <v>5531</v>
      </c>
    </row>
    <row r="160" spans="1:10" s="38" customFormat="1" x14ac:dyDescent="0.25">
      <c r="A160" s="78"/>
      <c r="B160" s="78"/>
      <c r="C160" s="208" t="s">
        <v>205</v>
      </c>
      <c r="D160" s="83"/>
      <c r="E160" s="71"/>
      <c r="F160" s="4">
        <f>F158</f>
        <v>2023</v>
      </c>
      <c r="G160" s="4">
        <f>F160+1</f>
        <v>2024</v>
      </c>
      <c r="H160" s="4">
        <f>G160+1</f>
        <v>2025</v>
      </c>
      <c r="I160" s="4">
        <f>H160+1</f>
        <v>2026</v>
      </c>
    </row>
    <row r="161" spans="1:10" s="38" customFormat="1" ht="25.5" x14ac:dyDescent="0.25">
      <c r="A161" s="78" t="s">
        <v>206</v>
      </c>
      <c r="B161" s="78" t="str">
        <f>IF(ISBLANK(A161),"","T"&amp;COUNTA($A$159:A161))</f>
        <v>T2</v>
      </c>
      <c r="C161" s="212" t="s">
        <v>207</v>
      </c>
      <c r="D161" s="72" t="s">
        <v>83</v>
      </c>
      <c r="E161" s="71"/>
      <c r="F161" s="217"/>
      <c r="G161" s="217">
        <v>1000</v>
      </c>
      <c r="H161" s="217">
        <v>1000</v>
      </c>
      <c r="I161" s="217">
        <v>1000</v>
      </c>
      <c r="J161" s="144" t="s">
        <v>345</v>
      </c>
    </row>
    <row r="162" spans="1:10" s="38" customFormat="1" x14ac:dyDescent="0.25">
      <c r="A162" s="78" t="s">
        <v>206</v>
      </c>
      <c r="B162" s="78" t="str">
        <f>IF(ISBLANK(A162),"","T"&amp;COUNTA($A$159:A162))</f>
        <v>T3</v>
      </c>
      <c r="C162" s="212" t="s">
        <v>208</v>
      </c>
      <c r="D162" s="72" t="s">
        <v>91</v>
      </c>
      <c r="E162" s="71" t="s">
        <v>24</v>
      </c>
      <c r="F162" s="217">
        <v>150</v>
      </c>
      <c r="G162" s="217">
        <v>150</v>
      </c>
      <c r="H162" s="217">
        <v>150</v>
      </c>
      <c r="I162" s="217">
        <v>150</v>
      </c>
    </row>
    <row r="163" spans="1:10" s="38" customFormat="1" x14ac:dyDescent="0.25">
      <c r="A163" s="78"/>
      <c r="B163" s="78"/>
      <c r="C163" s="212"/>
      <c r="D163" s="72"/>
      <c r="E163" s="71"/>
      <c r="F163" s="398"/>
      <c r="G163" s="398"/>
      <c r="H163" s="398"/>
      <c r="I163" s="398"/>
    </row>
    <row r="164" spans="1:10" s="38" customFormat="1" x14ac:dyDescent="0.25">
      <c r="A164" s="78"/>
      <c r="B164" s="78" t="str">
        <f>IF(ISBLANK(A164),"","T"&amp;COUNTA($A$159:A164))</f>
        <v/>
      </c>
      <c r="C164" s="208" t="s">
        <v>209</v>
      </c>
      <c r="D164" s="72"/>
      <c r="E164" s="71"/>
      <c r="F164" s="4">
        <f>F160</f>
        <v>2023</v>
      </c>
      <c r="G164" s="4">
        <f>F164+1</f>
        <v>2024</v>
      </c>
      <c r="H164" s="4">
        <f>G164+1</f>
        <v>2025</v>
      </c>
      <c r="I164" s="4">
        <f>H164+1</f>
        <v>2026</v>
      </c>
    </row>
    <row r="165" spans="1:10" s="38" customFormat="1" x14ac:dyDescent="0.25">
      <c r="A165" s="78" t="s">
        <v>206</v>
      </c>
      <c r="B165" s="78" t="str">
        <f>IF(ISBLANK(A165),"","T"&amp;COUNTA($A$159:A165))</f>
        <v>T4</v>
      </c>
      <c r="C165" s="344" t="s">
        <v>210</v>
      </c>
      <c r="D165" s="72" t="s">
        <v>91</v>
      </c>
      <c r="E165" s="231"/>
      <c r="F165" s="217">
        <v>15000</v>
      </c>
      <c r="G165" s="217">
        <v>15000</v>
      </c>
      <c r="H165" s="217"/>
      <c r="I165" s="217"/>
      <c r="J165" s="38" t="s">
        <v>346</v>
      </c>
    </row>
    <row r="166" spans="1:10" s="38" customFormat="1" x14ac:dyDescent="0.25">
      <c r="A166" s="78" t="s">
        <v>206</v>
      </c>
      <c r="B166" s="78" t="str">
        <f>IF(ISBLANK(A166),"","T"&amp;COUNTA($A$159:A166))</f>
        <v>T5</v>
      </c>
      <c r="C166" s="344" t="s">
        <v>211</v>
      </c>
      <c r="D166" s="72" t="s">
        <v>91</v>
      </c>
      <c r="E166" s="71" t="s">
        <v>24</v>
      </c>
      <c r="F166" s="217">
        <v>450</v>
      </c>
      <c r="G166" s="217"/>
      <c r="H166" s="217"/>
      <c r="I166" s="217"/>
    </row>
    <row r="167" spans="1:10" s="38" customFormat="1" x14ac:dyDescent="0.25">
      <c r="A167" s="78"/>
      <c r="B167" s="78"/>
      <c r="C167" s="344"/>
      <c r="D167" s="72"/>
      <c r="E167" s="71"/>
      <c r="F167" s="217"/>
      <c r="G167" s="217"/>
      <c r="H167" s="217"/>
      <c r="I167" s="217"/>
    </row>
    <row r="168" spans="1:10" s="38" customFormat="1" x14ac:dyDescent="0.25">
      <c r="A168" s="78"/>
      <c r="B168" s="78" t="str">
        <f>IF(ISBLANK(A168),"","T"&amp;COUNTA($A$159:A168))</f>
        <v/>
      </c>
      <c r="C168" s="208" t="s">
        <v>212</v>
      </c>
      <c r="D168" s="72"/>
      <c r="E168" s="71"/>
      <c r="F168" s="4">
        <f>+F164</f>
        <v>2023</v>
      </c>
      <c r="G168" s="4">
        <f>F168+1</f>
        <v>2024</v>
      </c>
      <c r="H168" s="4">
        <f>G168+1</f>
        <v>2025</v>
      </c>
      <c r="I168" s="4">
        <f>H168+1</f>
        <v>2026</v>
      </c>
    </row>
    <row r="169" spans="1:10" s="38" customFormat="1" x14ac:dyDescent="0.25">
      <c r="A169" s="78"/>
      <c r="B169" s="78"/>
      <c r="C169" s="344"/>
      <c r="D169" s="72"/>
      <c r="E169" s="609"/>
      <c r="F169" s="217"/>
      <c r="G169" s="217"/>
      <c r="H169" s="217"/>
      <c r="I169" s="217"/>
      <c r="J169" s="144"/>
    </row>
    <row r="170" spans="1:10" s="38" customFormat="1" x14ac:dyDescent="0.25">
      <c r="A170" s="78"/>
      <c r="B170" s="78" t="str">
        <f>IF(ISBLANK(A170),"","T"&amp;COUNTA($A$159:A170))</f>
        <v/>
      </c>
      <c r="C170" s="208" t="s">
        <v>213</v>
      </c>
      <c r="D170" s="72"/>
      <c r="E170" s="71"/>
      <c r="F170" s="4">
        <f>F164</f>
        <v>2023</v>
      </c>
      <c r="G170" s="4">
        <f>F170+1</f>
        <v>2024</v>
      </c>
      <c r="H170" s="4">
        <f>G170+1</f>
        <v>2025</v>
      </c>
      <c r="I170" s="4">
        <f>H170+1</f>
        <v>2026</v>
      </c>
    </row>
    <row r="171" spans="1:10" s="38" customFormat="1" ht="25.5" x14ac:dyDescent="0.25">
      <c r="A171" s="45" t="s">
        <v>206</v>
      </c>
      <c r="B171" s="78" t="str">
        <f>IF(ISBLANK(A171),"","T"&amp;COUNTA($A$159:A171))</f>
        <v>T6</v>
      </c>
      <c r="C171" s="212" t="s">
        <v>214</v>
      </c>
      <c r="D171" s="72" t="s">
        <v>83</v>
      </c>
      <c r="E171" s="71" t="s">
        <v>84</v>
      </c>
      <c r="F171" s="546">
        <v>10</v>
      </c>
      <c r="G171" s="546">
        <v>20</v>
      </c>
      <c r="H171" s="546">
        <v>30</v>
      </c>
      <c r="I171" s="546">
        <v>40</v>
      </c>
      <c r="J171" s="144" t="s">
        <v>441</v>
      </c>
    </row>
    <row r="172" spans="1:10" s="38" customFormat="1" x14ac:dyDescent="0.25">
      <c r="A172" s="45" t="s">
        <v>206</v>
      </c>
      <c r="B172" s="78" t="str">
        <f>IF(ISBLANK(A172),"","T"&amp;COUNTA($A$159:A172))</f>
        <v>T7</v>
      </c>
      <c r="C172" s="212" t="s">
        <v>215</v>
      </c>
      <c r="D172" s="72" t="s">
        <v>83</v>
      </c>
      <c r="E172" s="71" t="s">
        <v>84</v>
      </c>
      <c r="F172" s="546"/>
      <c r="G172" s="546">
        <v>-300</v>
      </c>
      <c r="H172" s="546">
        <v>-300</v>
      </c>
      <c r="I172" s="546">
        <v>-300</v>
      </c>
      <c r="J172" s="144"/>
    </row>
    <row r="173" spans="1:10" s="38" customFormat="1" ht="26.25" customHeight="1" x14ac:dyDescent="0.25">
      <c r="A173" s="45" t="s">
        <v>206</v>
      </c>
      <c r="B173" s="78" t="str">
        <f>IF(ISBLANK(A173),"","T"&amp;COUNTA($A$159:A173))</f>
        <v>T8</v>
      </c>
      <c r="C173" s="212" t="s">
        <v>216</v>
      </c>
      <c r="D173" s="72" t="s">
        <v>83</v>
      </c>
      <c r="E173" s="71" t="s">
        <v>84</v>
      </c>
      <c r="F173" s="546"/>
      <c r="G173" s="546">
        <v>-500</v>
      </c>
      <c r="H173" s="546">
        <v>-500</v>
      </c>
      <c r="I173" s="546">
        <v>-500</v>
      </c>
      <c r="J173" s="144"/>
    </row>
    <row r="174" spans="1:10" s="38" customFormat="1" ht="30" x14ac:dyDescent="0.25">
      <c r="A174" s="45" t="s">
        <v>206</v>
      </c>
      <c r="B174" s="78" t="str">
        <f>IF(ISBLANK(A174),"","T"&amp;COUNTA($A$159:A174))</f>
        <v>T9</v>
      </c>
      <c r="C174" s="212" t="s">
        <v>217</v>
      </c>
      <c r="D174" s="72" t="s">
        <v>83</v>
      </c>
      <c r="E174" s="71" t="s">
        <v>24</v>
      </c>
      <c r="F174" s="546">
        <v>-1437</v>
      </c>
      <c r="G174" s="546">
        <v>-1437</v>
      </c>
      <c r="H174" s="546">
        <v>-1437</v>
      </c>
      <c r="I174" s="546">
        <v>-1437</v>
      </c>
      <c r="J174" s="295" t="s">
        <v>348</v>
      </c>
    </row>
    <row r="175" spans="1:10" s="38" customFormat="1" x14ac:dyDescent="0.25">
      <c r="A175" s="45" t="s">
        <v>206</v>
      </c>
      <c r="B175" s="78" t="str">
        <f>IF(ISBLANK(A175),"","T"&amp;COUNTA($A$159:A175))</f>
        <v>T10</v>
      </c>
      <c r="C175" s="212" t="s">
        <v>218</v>
      </c>
      <c r="D175" s="72" t="s">
        <v>83</v>
      </c>
      <c r="E175" s="71" t="s">
        <v>24</v>
      </c>
      <c r="F175" s="546">
        <v>1300</v>
      </c>
      <c r="G175" s="546">
        <v>1300</v>
      </c>
      <c r="H175" s="546">
        <v>1300</v>
      </c>
      <c r="I175" s="546">
        <v>1300</v>
      </c>
      <c r="J175" s="38" t="s">
        <v>349</v>
      </c>
    </row>
    <row r="176" spans="1:10" s="38" customFormat="1" x14ac:dyDescent="0.25">
      <c r="A176" s="45"/>
      <c r="B176" s="78" t="str">
        <f>IF(ISBLANK(A176),"","T"&amp;COUNTA($A$159:A176))</f>
        <v/>
      </c>
      <c r="C176" s="208" t="s">
        <v>224</v>
      </c>
      <c r="D176" s="72"/>
      <c r="E176" s="71"/>
      <c r="F176" s="4">
        <f>+F170</f>
        <v>2023</v>
      </c>
      <c r="G176" s="4">
        <f>F176+1</f>
        <v>2024</v>
      </c>
      <c r="H176" s="4">
        <f>G176+1</f>
        <v>2025</v>
      </c>
      <c r="I176" s="4">
        <f>H176+1</f>
        <v>2026</v>
      </c>
    </row>
    <row r="177" spans="1:10" s="38" customFormat="1" ht="30" x14ac:dyDescent="0.25">
      <c r="A177" s="45" t="s">
        <v>206</v>
      </c>
      <c r="B177" s="78" t="str">
        <f>IF(ISBLANK(A177),"","T"&amp;COUNTA($A$159:A177))</f>
        <v>T11</v>
      </c>
      <c r="C177" s="212" t="s">
        <v>225</v>
      </c>
      <c r="D177" s="72" t="s">
        <v>91</v>
      </c>
      <c r="E177" s="71" t="s">
        <v>24</v>
      </c>
      <c r="F177" s="546">
        <v>1300</v>
      </c>
      <c r="G177" s="546">
        <v>1300</v>
      </c>
      <c r="H177" s="546">
        <v>600</v>
      </c>
      <c r="I177" s="546">
        <v>500</v>
      </c>
      <c r="J177" s="295" t="s">
        <v>350</v>
      </c>
    </row>
    <row r="178" spans="1:10" s="38" customFormat="1" ht="45" x14ac:dyDescent="0.25">
      <c r="A178" s="45" t="s">
        <v>206</v>
      </c>
      <c r="B178" s="78" t="str">
        <f>IF(ISBLANK(A178),"","T"&amp;COUNTA($A$159:A178))</f>
        <v>T12</v>
      </c>
      <c r="C178" s="212" t="s">
        <v>226</v>
      </c>
      <c r="D178" s="72" t="s">
        <v>91</v>
      </c>
      <c r="E178" s="71" t="s">
        <v>24</v>
      </c>
      <c r="F178" s="546">
        <v>250</v>
      </c>
      <c r="G178" s="546">
        <v>250</v>
      </c>
      <c r="H178" s="546">
        <v>250</v>
      </c>
      <c r="I178" s="546">
        <v>250</v>
      </c>
      <c r="J178" s="295" t="s">
        <v>351</v>
      </c>
    </row>
    <row r="179" spans="1:10" s="38" customFormat="1" ht="45" x14ac:dyDescent="0.25">
      <c r="A179" s="45" t="s">
        <v>206</v>
      </c>
      <c r="B179" s="78" t="str">
        <f>IF(ISBLANK(A179),"","T"&amp;COUNTA($A$159:A179))</f>
        <v>T13</v>
      </c>
      <c r="C179" s="212" t="s">
        <v>227</v>
      </c>
      <c r="D179" s="72" t="s">
        <v>91</v>
      </c>
      <c r="E179" s="71" t="s">
        <v>24</v>
      </c>
      <c r="F179" s="546">
        <v>150</v>
      </c>
      <c r="G179" s="546">
        <v>150</v>
      </c>
      <c r="H179" s="546">
        <v>150</v>
      </c>
      <c r="I179" s="546">
        <v>150</v>
      </c>
      <c r="J179" s="295" t="s">
        <v>351</v>
      </c>
    </row>
    <row r="180" spans="1:10" s="38" customFormat="1" x14ac:dyDescent="0.25">
      <c r="A180" s="45"/>
      <c r="B180" s="78" t="str">
        <f>IF(ISBLANK(A180),"","T"&amp;COUNTA($A$159:A180))</f>
        <v/>
      </c>
      <c r="C180" s="208" t="s">
        <v>228</v>
      </c>
      <c r="D180" s="72"/>
      <c r="E180" s="71"/>
      <c r="F180" s="4">
        <f>+F176</f>
        <v>2023</v>
      </c>
      <c r="G180" s="4">
        <f>F180+1</f>
        <v>2024</v>
      </c>
      <c r="H180" s="4">
        <f>G180+1</f>
        <v>2025</v>
      </c>
      <c r="I180" s="4">
        <f>H180+1</f>
        <v>2026</v>
      </c>
    </row>
    <row r="181" spans="1:10" s="38" customFormat="1" x14ac:dyDescent="0.25">
      <c r="A181" s="45" t="s">
        <v>206</v>
      </c>
      <c r="B181" s="78" t="str">
        <f>IF(ISBLANK(A181),"","T"&amp;COUNTA($A$159:A181))</f>
        <v>T14</v>
      </c>
      <c r="C181" s="385" t="s">
        <v>442</v>
      </c>
      <c r="D181" s="214" t="s">
        <v>91</v>
      </c>
      <c r="E181" s="111" t="s">
        <v>24</v>
      </c>
      <c r="F181" s="547">
        <v>1000</v>
      </c>
      <c r="G181" s="547">
        <v>1000</v>
      </c>
      <c r="H181" s="547">
        <v>1000</v>
      </c>
      <c r="I181" s="547">
        <v>1000</v>
      </c>
    </row>
    <row r="182" spans="1:10" s="38" customFormat="1" x14ac:dyDescent="0.25">
      <c r="A182" s="45"/>
      <c r="B182" s="78"/>
      <c r="C182" s="212"/>
      <c r="D182" s="214"/>
      <c r="E182" s="111"/>
      <c r="F182" s="217"/>
      <c r="G182" s="217"/>
      <c r="H182" s="217"/>
      <c r="I182" s="217"/>
    </row>
    <row r="183" spans="1:10" s="38" customFormat="1" x14ac:dyDescent="0.25">
      <c r="A183" s="43"/>
      <c r="B183" s="43" t="s">
        <v>127</v>
      </c>
      <c r="C183" s="3" t="s">
        <v>230</v>
      </c>
      <c r="D183" s="52"/>
      <c r="E183" s="52"/>
      <c r="F183" s="56">
        <f>SUMIF($A:$A,"byte",F:F)</f>
        <v>23704</v>
      </c>
      <c r="G183" s="56">
        <f>SUMIF($A:$A,"byte",G:G)</f>
        <v>23464</v>
      </c>
      <c r="H183" s="56">
        <f>SUMIF($A:$A,"byte",H:H)</f>
        <v>7774</v>
      </c>
      <c r="I183" s="56">
        <f>SUMIF($A:$A,"byte",I:I)</f>
        <v>7684</v>
      </c>
    </row>
    <row r="184" spans="1:10" s="38" customFormat="1" x14ac:dyDescent="0.25">
      <c r="A184"/>
      <c r="B184" s="78"/>
      <c r="C184"/>
      <c r="D184"/>
      <c r="E184"/>
      <c r="F184"/>
      <c r="G184"/>
      <c r="H184"/>
      <c r="I184"/>
    </row>
    <row r="185" spans="1:10" s="38" customFormat="1" x14ac:dyDescent="0.25">
      <c r="A185" s="78"/>
      <c r="B185" s="78"/>
      <c r="C185" s="208" t="s">
        <v>231</v>
      </c>
      <c r="D185" s="72"/>
      <c r="E185" s="71"/>
      <c r="F185" s="4">
        <f>F170</f>
        <v>2023</v>
      </c>
      <c r="G185" s="4">
        <f>F185+1</f>
        <v>2024</v>
      </c>
      <c r="H185" s="4">
        <f>G185+1</f>
        <v>2025</v>
      </c>
      <c r="I185" s="4">
        <f>H185+1</f>
        <v>2026</v>
      </c>
    </row>
    <row r="186" spans="1:10" s="38" customFormat="1" x14ac:dyDescent="0.25">
      <c r="A186" s="78" t="s">
        <v>232</v>
      </c>
      <c r="B186" s="78" t="str">
        <f>IF(ISBLANK(A186),"","O"&amp;COUNTA($A$186:A186))</f>
        <v>O1</v>
      </c>
      <c r="C186" s="84" t="s">
        <v>233</v>
      </c>
      <c r="D186" s="72" t="s">
        <v>89</v>
      </c>
      <c r="E186" s="71" t="s">
        <v>84</v>
      </c>
      <c r="F186" s="70"/>
      <c r="G186" s="70">
        <v>5000</v>
      </c>
      <c r="H186" s="70">
        <v>10000</v>
      </c>
      <c r="I186" s="70">
        <v>10000</v>
      </c>
    </row>
    <row r="187" spans="1:10" s="38" customFormat="1" x14ac:dyDescent="0.25">
      <c r="A187" s="78" t="s">
        <v>232</v>
      </c>
      <c r="B187" s="78" t="str">
        <f>IF(ISBLANK(A187),"","O"&amp;COUNTA($A$186:A187))</f>
        <v>O2</v>
      </c>
      <c r="C187" s="84" t="s">
        <v>234</v>
      </c>
      <c r="D187" s="72" t="s">
        <v>89</v>
      </c>
      <c r="E187" s="71" t="s">
        <v>84</v>
      </c>
      <c r="F187" s="70"/>
      <c r="G187" s="70">
        <v>-6400</v>
      </c>
      <c r="H187" s="70">
        <v>-6400</v>
      </c>
      <c r="I187" s="70">
        <v>-6400</v>
      </c>
    </row>
    <row r="188" spans="1:10" s="38" customFormat="1" x14ac:dyDescent="0.25">
      <c r="A188" s="78" t="s">
        <v>232</v>
      </c>
      <c r="B188" s="78" t="str">
        <f>IF(ISBLANK(A188),"","O"&amp;COUNTA($A$186:A188))</f>
        <v>O3</v>
      </c>
      <c r="C188" s="84" t="s">
        <v>443</v>
      </c>
      <c r="D188" s="72" t="s">
        <v>91</v>
      </c>
      <c r="E188" s="414" t="s">
        <v>24</v>
      </c>
      <c r="F188" s="70">
        <v>700</v>
      </c>
      <c r="G188" s="70">
        <v>700</v>
      </c>
      <c r="H188" s="70">
        <v>700</v>
      </c>
      <c r="I188" s="70">
        <v>700</v>
      </c>
    </row>
    <row r="189" spans="1:10" s="38" customFormat="1" x14ac:dyDescent="0.25">
      <c r="A189" s="78" t="s">
        <v>232</v>
      </c>
      <c r="B189" s="78" t="str">
        <f>IF(ISBLANK(A189),"","O"&amp;COUNTA($A$186:A189))</f>
        <v>O4</v>
      </c>
      <c r="C189" s="84" t="s">
        <v>444</v>
      </c>
      <c r="D189" s="72" t="s">
        <v>91</v>
      </c>
      <c r="E189" s="414" t="s">
        <v>24</v>
      </c>
      <c r="F189" s="70">
        <v>-700</v>
      </c>
      <c r="G189" s="70"/>
      <c r="H189" s="70"/>
      <c r="I189" s="70"/>
    </row>
    <row r="190" spans="1:10" s="38" customFormat="1" x14ac:dyDescent="0.25">
      <c r="A190" s="78" t="s">
        <v>232</v>
      </c>
      <c r="B190" s="78" t="str">
        <f>IF(ISBLANK(A190),"","O"&amp;COUNTA($A$186:A190))</f>
        <v>O5</v>
      </c>
      <c r="C190" s="84" t="s">
        <v>445</v>
      </c>
      <c r="D190" s="72" t="s">
        <v>91</v>
      </c>
      <c r="E190" s="71" t="s">
        <v>24</v>
      </c>
      <c r="F190" s="70">
        <v>1200</v>
      </c>
      <c r="G190" s="70">
        <v>1200</v>
      </c>
      <c r="H190" s="70">
        <v>1200</v>
      </c>
      <c r="I190" s="70">
        <v>1200</v>
      </c>
    </row>
    <row r="191" spans="1:10" s="38" customFormat="1" x14ac:dyDescent="0.25">
      <c r="A191" s="78" t="s">
        <v>232</v>
      </c>
      <c r="B191" s="78" t="str">
        <f>IF(ISBLANK(A191),"","O"&amp;COUNTA($A$186:A191))</f>
        <v>O6</v>
      </c>
      <c r="C191" s="344" t="s">
        <v>238</v>
      </c>
      <c r="D191" s="72" t="s">
        <v>91</v>
      </c>
      <c r="E191" s="71" t="s">
        <v>24</v>
      </c>
      <c r="F191" s="254">
        <v>1000</v>
      </c>
      <c r="G191" s="254">
        <v>1000</v>
      </c>
      <c r="H191" s="254"/>
      <c r="I191" s="254"/>
      <c r="J191" s="38" t="s">
        <v>352</v>
      </c>
    </row>
    <row r="192" spans="1:10" s="38" customFormat="1" x14ac:dyDescent="0.25">
      <c r="A192" s="78" t="s">
        <v>232</v>
      </c>
      <c r="B192" s="78" t="str">
        <f>IF(ISBLANK(A192),"","O"&amp;COUNTA($A$186:A192))</f>
        <v>O7</v>
      </c>
      <c r="C192" s="344" t="s">
        <v>446</v>
      </c>
      <c r="D192" s="72" t="s">
        <v>91</v>
      </c>
      <c r="E192" s="71" t="s">
        <v>24</v>
      </c>
      <c r="F192" s="254">
        <v>-1000</v>
      </c>
      <c r="G192" s="254">
        <v>-1000</v>
      </c>
      <c r="H192" s="254"/>
      <c r="I192" s="254"/>
      <c r="J192" s="38" t="s">
        <v>353</v>
      </c>
    </row>
    <row r="193" spans="1:10" s="38" customFormat="1" x14ac:dyDescent="0.25">
      <c r="A193" s="43"/>
      <c r="B193" s="43" t="s">
        <v>127</v>
      </c>
      <c r="C193" s="3" t="s">
        <v>240</v>
      </c>
      <c r="D193" s="52"/>
      <c r="E193" s="52"/>
      <c r="F193" s="56">
        <f>SUMIF($A:$A,"ORG",F:F)</f>
        <v>1200</v>
      </c>
      <c r="G193" s="56">
        <f>SUMIF($A:$A,"ORG",G:G)</f>
        <v>500</v>
      </c>
      <c r="H193" s="56">
        <f>SUMIF($A:$A,"ORG",H:H)</f>
        <v>5500</v>
      </c>
      <c r="I193" s="56">
        <f>SUMIF($A:$A,"ORG",I:I)</f>
        <v>5500</v>
      </c>
    </row>
    <row r="194" spans="1:10" s="38" customFormat="1" x14ac:dyDescent="0.25">
      <c r="A194" s="47"/>
      <c r="B194" s="78"/>
      <c r="C194" s="11"/>
      <c r="D194" s="49"/>
      <c r="E194" s="49"/>
      <c r="F194" s="57"/>
      <c r="G194" s="57"/>
      <c r="H194" s="57"/>
      <c r="I194" s="57"/>
    </row>
    <row r="195" spans="1:10" s="38" customFormat="1" x14ac:dyDescent="0.25">
      <c r="A195" s="48"/>
      <c r="B195" s="78"/>
      <c r="C195" s="13" t="s">
        <v>241</v>
      </c>
      <c r="D195" s="50"/>
      <c r="E195" s="61"/>
      <c r="F195" s="4">
        <f>F185</f>
        <v>2023</v>
      </c>
      <c r="G195" s="4">
        <f>F195+1</f>
        <v>2024</v>
      </c>
      <c r="H195" s="4">
        <f>G195+1</f>
        <v>2025</v>
      </c>
      <c r="I195" s="4">
        <f>H195+1</f>
        <v>2026</v>
      </c>
    </row>
    <row r="196" spans="1:10" s="38" customFormat="1" x14ac:dyDescent="0.25">
      <c r="A196" s="45" t="s">
        <v>242</v>
      </c>
      <c r="B196" s="78" t="str">
        <f>IF(ISBLANK(A196),"","Ø"&amp;COUNTA($A$196:A196))</f>
        <v>Ø1</v>
      </c>
      <c r="C196" s="346" t="s">
        <v>447</v>
      </c>
      <c r="D196" s="72" t="s">
        <v>91</v>
      </c>
      <c r="E196" s="71" t="s">
        <v>24</v>
      </c>
      <c r="F196" s="70">
        <v>1400</v>
      </c>
      <c r="G196" s="70">
        <v>1400</v>
      </c>
      <c r="H196" s="70">
        <v>1400</v>
      </c>
      <c r="I196" s="70">
        <v>1400</v>
      </c>
    </row>
    <row r="197" spans="1:10" s="38" customFormat="1" x14ac:dyDescent="0.25">
      <c r="A197" s="45" t="s">
        <v>242</v>
      </c>
      <c r="B197" s="78" t="str">
        <f>IF(ISBLANK(A197),"","Ø"&amp;COUNTA($A$196:A197))</f>
        <v>Ø2</v>
      </c>
      <c r="C197" s="346" t="s">
        <v>448</v>
      </c>
      <c r="D197" s="72" t="s">
        <v>91</v>
      </c>
      <c r="E197" s="71" t="s">
        <v>24</v>
      </c>
      <c r="F197" s="70">
        <v>-1400</v>
      </c>
      <c r="G197" s="70">
        <v>-1400</v>
      </c>
      <c r="H197" s="70"/>
      <c r="I197" s="70"/>
    </row>
    <row r="198" spans="1:10" s="38" customFormat="1" x14ac:dyDescent="0.25">
      <c r="A198" s="45" t="s">
        <v>242</v>
      </c>
      <c r="B198" s="78" t="str">
        <f>IF(ISBLANK(A198),"","Ø"&amp;COUNTA($A$196:A198))</f>
        <v>Ø3</v>
      </c>
      <c r="C198" s="347" t="s">
        <v>245</v>
      </c>
      <c r="D198" s="72" t="s">
        <v>91</v>
      </c>
      <c r="E198" s="71" t="s">
        <v>24</v>
      </c>
      <c r="F198" s="421">
        <f>1600-1600</f>
        <v>0</v>
      </c>
      <c r="G198" s="70">
        <v>1600</v>
      </c>
      <c r="H198" s="70">
        <v>1600</v>
      </c>
      <c r="I198" s="70">
        <v>1600</v>
      </c>
      <c r="J198" s="38" t="s">
        <v>354</v>
      </c>
    </row>
    <row r="199" spans="1:10" s="38" customFormat="1" x14ac:dyDescent="0.25">
      <c r="A199" s="45" t="s">
        <v>242</v>
      </c>
      <c r="B199" s="78" t="str">
        <f>IF(ISBLANK(A199),"","Ø"&amp;COUNTA($A$196:A199))</f>
        <v>Ø4</v>
      </c>
      <c r="C199" s="347" t="s">
        <v>382</v>
      </c>
      <c r="D199" s="72" t="s">
        <v>91</v>
      </c>
      <c r="E199" s="71">
        <v>1</v>
      </c>
      <c r="F199" s="70"/>
      <c r="G199" s="70"/>
      <c r="H199" s="70"/>
      <c r="I199" s="70"/>
      <c r="J199" s="38" t="s">
        <v>383</v>
      </c>
    </row>
    <row r="200" spans="1:10" s="38" customFormat="1" x14ac:dyDescent="0.25">
      <c r="A200" s="45" t="s">
        <v>242</v>
      </c>
      <c r="B200" s="78" t="str">
        <f>IF(ISBLANK(A200),"","Ø"&amp;COUNTA($A$196:A200))</f>
        <v>Ø5</v>
      </c>
      <c r="C200" s="347" t="s">
        <v>449</v>
      </c>
      <c r="D200" s="72" t="s">
        <v>91</v>
      </c>
      <c r="E200" s="71" t="s">
        <v>24</v>
      </c>
      <c r="F200" s="70">
        <v>800</v>
      </c>
      <c r="G200" s="70">
        <v>800</v>
      </c>
      <c r="H200" s="70">
        <v>800</v>
      </c>
      <c r="I200" s="70">
        <v>800</v>
      </c>
      <c r="J200" s="38" t="s">
        <v>354</v>
      </c>
    </row>
    <row r="201" spans="1:10" s="38" customFormat="1" x14ac:dyDescent="0.25">
      <c r="A201" s="45" t="s">
        <v>242</v>
      </c>
      <c r="B201" s="78" t="str">
        <f>IF(ISBLANK(A201),"","Ø"&amp;COUNTA($A$196:A201))</f>
        <v>Ø6</v>
      </c>
      <c r="C201" s="347" t="s">
        <v>449</v>
      </c>
      <c r="D201" s="72" t="s">
        <v>91</v>
      </c>
      <c r="E201" s="71" t="s">
        <v>24</v>
      </c>
      <c r="F201" s="254">
        <v>-800</v>
      </c>
      <c r="G201" s="254"/>
      <c r="H201" s="254"/>
      <c r="I201" s="254"/>
    </row>
    <row r="202" spans="1:10" s="38" customFormat="1" x14ac:dyDescent="0.25">
      <c r="A202" s="43"/>
      <c r="B202" s="43" t="s">
        <v>127</v>
      </c>
      <c r="C202" s="3" t="s">
        <v>248</v>
      </c>
      <c r="D202" s="52"/>
      <c r="E202" s="52"/>
      <c r="F202" s="56">
        <f>SUMIF($A:$A,"ØK",F:F)</f>
        <v>0</v>
      </c>
      <c r="G202" s="56">
        <f>SUMIF($A:$A,"ØK",G:G)</f>
        <v>2400</v>
      </c>
      <c r="H202" s="56">
        <f>SUMIF($A:$A,"ØK",H:H)</f>
        <v>3800</v>
      </c>
      <c r="I202" s="56">
        <f>SUMIF($A:$A,"ØK",I:I)</f>
        <v>3800</v>
      </c>
    </row>
    <row r="203" spans="1:10" s="38" customFormat="1" x14ac:dyDescent="0.25">
      <c r="A203" s="47"/>
      <c r="B203" s="78"/>
      <c r="C203" s="11"/>
      <c r="D203" s="49"/>
      <c r="E203" s="49"/>
      <c r="F203" s="57"/>
      <c r="G203" s="57"/>
      <c r="H203" s="57"/>
      <c r="I203" s="57"/>
    </row>
    <row r="204" spans="1:10" s="38" customFormat="1" ht="30" x14ac:dyDescent="0.25">
      <c r="A204" s="48"/>
      <c r="B204" s="78"/>
      <c r="C204" s="13" t="s">
        <v>249</v>
      </c>
      <c r="D204" s="50"/>
      <c r="E204" s="61"/>
      <c r="F204" s="58"/>
      <c r="G204" s="58"/>
      <c r="H204" s="58"/>
      <c r="I204" s="58"/>
    </row>
    <row r="205" spans="1:10" s="38" customFormat="1" x14ac:dyDescent="0.25">
      <c r="A205" s="249"/>
      <c r="B205" s="78"/>
      <c r="C205" s="82" t="s">
        <v>250</v>
      </c>
      <c r="D205" s="83"/>
      <c r="E205" s="71"/>
      <c r="F205" s="4">
        <f>F195</f>
        <v>2023</v>
      </c>
      <c r="G205" s="4">
        <f>F205+1</f>
        <v>2024</v>
      </c>
      <c r="H205" s="4">
        <f>G205+1</f>
        <v>2025</v>
      </c>
      <c r="I205" s="4">
        <f>H205+1</f>
        <v>2026</v>
      </c>
    </row>
    <row r="206" spans="1:10" s="38" customFormat="1" x14ac:dyDescent="0.25">
      <c r="A206" s="72" t="s">
        <v>251</v>
      </c>
      <c r="B206" s="78" t="str">
        <f>IF(ISBLANK(A206),"","F"&amp;COUNTA($A$206:A206))</f>
        <v>F1</v>
      </c>
      <c r="C206" s="245" t="s">
        <v>450</v>
      </c>
      <c r="D206" s="79" t="s">
        <v>91</v>
      </c>
      <c r="E206" s="71" t="s">
        <v>24</v>
      </c>
      <c r="F206" s="191">
        <v>150</v>
      </c>
      <c r="G206" s="191">
        <v>150</v>
      </c>
      <c r="H206" s="191">
        <v>150</v>
      </c>
      <c r="I206" s="191">
        <v>150</v>
      </c>
    </row>
    <row r="207" spans="1:10" s="38" customFormat="1" x14ac:dyDescent="0.25">
      <c r="A207" s="72"/>
      <c r="B207" s="78" t="str">
        <f>IF(ISBLANK(A207),"","F"&amp;COUNTA($A$206:A207))</f>
        <v/>
      </c>
      <c r="C207" s="82" t="s">
        <v>257</v>
      </c>
      <c r="D207" s="83"/>
      <c r="E207" s="71"/>
      <c r="F207" s="300">
        <f>F205</f>
        <v>2023</v>
      </c>
      <c r="G207" s="300">
        <f>F207+1</f>
        <v>2024</v>
      </c>
      <c r="H207" s="300">
        <f>G207+1</f>
        <v>2025</v>
      </c>
      <c r="I207" s="300">
        <f>H207+1</f>
        <v>2026</v>
      </c>
    </row>
    <row r="208" spans="1:10" s="38" customFormat="1" x14ac:dyDescent="0.25">
      <c r="A208" s="72" t="s">
        <v>251</v>
      </c>
      <c r="B208" s="78" t="str">
        <f>IF(ISBLANK(A208),"","F"&amp;COUNTA($A$206:A208))</f>
        <v>F2</v>
      </c>
      <c r="C208" s="84" t="s">
        <v>384</v>
      </c>
      <c r="D208" s="72" t="s">
        <v>89</v>
      </c>
      <c r="E208" s="71" t="s">
        <v>84</v>
      </c>
      <c r="F208" s="612">
        <v>2500</v>
      </c>
      <c r="G208" s="612">
        <v>2500</v>
      </c>
      <c r="H208" s="612">
        <v>2500</v>
      </c>
      <c r="I208" s="612">
        <v>2500</v>
      </c>
      <c r="J208" s="144" t="s">
        <v>385</v>
      </c>
    </row>
    <row r="209" spans="1:11" s="38" customFormat="1" x14ac:dyDescent="0.25">
      <c r="A209" s="72" t="s">
        <v>251</v>
      </c>
      <c r="B209" s="78" t="str">
        <f>IF(ISBLANK(A209),"","F"&amp;COUNTA($A$206:A209))</f>
        <v>F3</v>
      </c>
      <c r="C209" s="84" t="s">
        <v>386</v>
      </c>
      <c r="D209" s="72" t="s">
        <v>89</v>
      </c>
      <c r="E209" s="71" t="s">
        <v>84</v>
      </c>
      <c r="F209" s="612">
        <v>-2000</v>
      </c>
      <c r="G209" s="612">
        <v>-600</v>
      </c>
      <c r="H209" s="612">
        <v>-600</v>
      </c>
      <c r="I209" s="612">
        <v>-600</v>
      </c>
      <c r="J209" s="611" t="s">
        <v>387</v>
      </c>
    </row>
    <row r="210" spans="1:11" s="38" customFormat="1" x14ac:dyDescent="0.25">
      <c r="A210" s="72" t="s">
        <v>251</v>
      </c>
      <c r="B210" s="78" t="str">
        <f>IF(ISBLANK(A210),"","F"&amp;COUNTA($A$206:A210))</f>
        <v>F4</v>
      </c>
      <c r="C210" s="84" t="s">
        <v>260</v>
      </c>
      <c r="D210" s="72" t="s">
        <v>83</v>
      </c>
      <c r="E210" s="71" t="s">
        <v>24</v>
      </c>
      <c r="F210" s="282">
        <v>132000</v>
      </c>
      <c r="G210" s="282">
        <v>132000</v>
      </c>
      <c r="H210" s="282">
        <v>132000</v>
      </c>
      <c r="I210" s="282">
        <v>132000</v>
      </c>
      <c r="J210" s="38" t="s">
        <v>388</v>
      </c>
    </row>
    <row r="211" spans="1:11" s="38" customFormat="1" x14ac:dyDescent="0.25">
      <c r="A211" s="72" t="s">
        <v>251</v>
      </c>
      <c r="B211" s="78" t="str">
        <f>IF(ISBLANK(A211),"","F"&amp;COUNTA($A$206:A211))</f>
        <v>F5</v>
      </c>
      <c r="C211" s="84" t="s">
        <v>261</v>
      </c>
      <c r="D211" s="72" t="s">
        <v>91</v>
      </c>
      <c r="E211" s="71" t="s">
        <v>24</v>
      </c>
      <c r="F211" s="282">
        <v>20000</v>
      </c>
      <c r="G211" s="282">
        <v>20000</v>
      </c>
      <c r="H211" s="282">
        <v>20000</v>
      </c>
      <c r="I211" s="282">
        <v>20000</v>
      </c>
    </row>
    <row r="212" spans="1:11" s="38" customFormat="1" ht="25.5" x14ac:dyDescent="0.25">
      <c r="A212" s="72" t="s">
        <v>251</v>
      </c>
      <c r="B212" s="78" t="str">
        <f>IF(ISBLANK(A212),"","F"&amp;COUNTA($A$206:A212))</f>
        <v>F6</v>
      </c>
      <c r="C212" s="84" t="s">
        <v>451</v>
      </c>
      <c r="D212" s="72" t="s">
        <v>89</v>
      </c>
      <c r="E212" s="71" t="s">
        <v>84</v>
      </c>
      <c r="F212" s="528"/>
      <c r="G212" s="528">
        <v>-575</v>
      </c>
      <c r="H212" s="528">
        <v>-575</v>
      </c>
      <c r="I212" s="528">
        <v>-575</v>
      </c>
    </row>
    <row r="213" spans="1:11" s="38" customFormat="1" ht="25.5" x14ac:dyDescent="0.25">
      <c r="A213" s="72" t="s">
        <v>251</v>
      </c>
      <c r="B213" s="78" t="str">
        <f>IF(ISBLANK(A213),"","F"&amp;COUNTA($A$206:A213))</f>
        <v>F7</v>
      </c>
      <c r="C213" s="84" t="s">
        <v>263</v>
      </c>
      <c r="D213" s="72" t="s">
        <v>89</v>
      </c>
      <c r="E213" s="71" t="s">
        <v>84</v>
      </c>
      <c r="F213" s="255"/>
      <c r="G213" s="255"/>
      <c r="H213" s="255"/>
      <c r="I213" s="255">
        <v>-450</v>
      </c>
    </row>
    <row r="214" spans="1:11" s="38" customFormat="1" x14ac:dyDescent="0.25">
      <c r="A214" s="72" t="s">
        <v>251</v>
      </c>
      <c r="B214" s="78" t="str">
        <f>IF(ISBLANK(A214),"","F"&amp;COUNTA($A$206:A214))</f>
        <v>F8</v>
      </c>
      <c r="C214" s="604" t="s">
        <v>452</v>
      </c>
      <c r="D214" s="72" t="s">
        <v>91</v>
      </c>
      <c r="E214" s="71" t="s">
        <v>24</v>
      </c>
      <c r="F214" s="615">
        <v>0</v>
      </c>
      <c r="G214" s="615">
        <v>0</v>
      </c>
      <c r="H214" s="615">
        <v>0</v>
      </c>
      <c r="I214" s="615"/>
      <c r="J214" s="611" t="s">
        <v>453</v>
      </c>
    </row>
    <row r="215" spans="1:11" s="38" customFormat="1" x14ac:dyDescent="0.25">
      <c r="A215" s="72" t="s">
        <v>251</v>
      </c>
      <c r="B215" s="78" t="str">
        <f>IF(ISBLANK(A215),"","F"&amp;COUNTA($A$206:A215))</f>
        <v>F9</v>
      </c>
      <c r="C215" s="604" t="s">
        <v>265</v>
      </c>
      <c r="D215" s="72" t="s">
        <v>91</v>
      </c>
      <c r="E215" s="231">
        <v>2</v>
      </c>
      <c r="F215" s="613">
        <v>700</v>
      </c>
      <c r="G215" s="613">
        <v>700</v>
      </c>
      <c r="H215" s="613">
        <v>800</v>
      </c>
      <c r="I215" s="613">
        <v>800</v>
      </c>
      <c r="J215" s="611" t="s">
        <v>359</v>
      </c>
    </row>
    <row r="216" spans="1:11" s="38" customFormat="1" x14ac:dyDescent="0.25">
      <c r="A216" s="72" t="s">
        <v>251</v>
      </c>
      <c r="B216" s="78" t="str">
        <f>IF(ISBLANK(A216),"","F"&amp;COUNTA($A$206:A216))</f>
        <v>F10</v>
      </c>
      <c r="C216" s="604" t="s">
        <v>454</v>
      </c>
      <c r="D216" s="72" t="s">
        <v>91</v>
      </c>
      <c r="E216" s="71" t="s">
        <v>24</v>
      </c>
      <c r="F216" s="290">
        <v>0</v>
      </c>
      <c r="G216" s="290">
        <v>0</v>
      </c>
      <c r="H216" s="290">
        <v>0</v>
      </c>
      <c r="I216" s="290">
        <v>0</v>
      </c>
      <c r="J216" s="144" t="s">
        <v>455</v>
      </c>
    </row>
    <row r="217" spans="1:11" s="38" customFormat="1" x14ac:dyDescent="0.25">
      <c r="A217" s="72" t="s">
        <v>251</v>
      </c>
      <c r="B217" s="78" t="str">
        <f>IF(ISBLANK(A217),"","F"&amp;COUNTA($A$206:A217))</f>
        <v>F11</v>
      </c>
      <c r="C217" s="604" t="s">
        <v>389</v>
      </c>
      <c r="D217" s="72" t="s">
        <v>91</v>
      </c>
      <c r="E217" s="71" t="s">
        <v>24</v>
      </c>
      <c r="F217" s="613">
        <v>1000</v>
      </c>
      <c r="G217" s="613">
        <v>1000</v>
      </c>
      <c r="H217" s="613">
        <v>1000</v>
      </c>
      <c r="I217" s="613">
        <v>1000</v>
      </c>
      <c r="J217" s="611" t="s">
        <v>387</v>
      </c>
      <c r="K217" s="38" t="s">
        <v>360</v>
      </c>
    </row>
    <row r="218" spans="1:11" s="38" customFormat="1" x14ac:dyDescent="0.25">
      <c r="A218" s="72" t="s">
        <v>251</v>
      </c>
      <c r="B218" s="78" t="str">
        <f>IF(ISBLANK(A218),"","F"&amp;COUNTA($A$206:A218))</f>
        <v>F12</v>
      </c>
      <c r="C218" s="604" t="s">
        <v>390</v>
      </c>
      <c r="D218" s="72" t="s">
        <v>91</v>
      </c>
      <c r="E218" s="71" t="s">
        <v>24</v>
      </c>
      <c r="F218" s="613">
        <v>365</v>
      </c>
      <c r="G218" s="613">
        <v>365</v>
      </c>
      <c r="H218" s="613">
        <v>365</v>
      </c>
      <c r="I218" s="613">
        <v>365</v>
      </c>
      <c r="J218" s="144" t="s">
        <v>361</v>
      </c>
    </row>
    <row r="219" spans="1:11" s="38" customFormat="1" x14ac:dyDescent="0.25">
      <c r="A219" s="72" t="s">
        <v>251</v>
      </c>
      <c r="B219" s="78" t="str">
        <f>IF(ISBLANK(A219),"","F"&amp;COUNTA($A$206:A219))</f>
        <v>F13</v>
      </c>
      <c r="C219" s="604" t="s">
        <v>391</v>
      </c>
      <c r="D219" s="72" t="s">
        <v>91</v>
      </c>
      <c r="E219" s="71" t="s">
        <v>24</v>
      </c>
      <c r="F219" s="613">
        <v>50</v>
      </c>
      <c r="G219" s="613">
        <v>50</v>
      </c>
      <c r="H219" s="613">
        <v>50</v>
      </c>
      <c r="I219" s="613">
        <v>50</v>
      </c>
      <c r="J219" s="144" t="s">
        <v>362</v>
      </c>
    </row>
    <row r="220" spans="1:11" s="38" customFormat="1" x14ac:dyDescent="0.25">
      <c r="A220" s="72" t="s">
        <v>251</v>
      </c>
      <c r="B220" s="78" t="str">
        <f>IF(ISBLANK(A220),"","F"&amp;COUNTA($A$206:A220))</f>
        <v>F14</v>
      </c>
      <c r="C220" s="604" t="s">
        <v>392</v>
      </c>
      <c r="D220" s="72" t="s">
        <v>91</v>
      </c>
      <c r="E220" s="71" t="s">
        <v>24</v>
      </c>
      <c r="F220" s="613">
        <v>62</v>
      </c>
      <c r="G220" s="613">
        <v>62</v>
      </c>
      <c r="H220" s="613">
        <v>62</v>
      </c>
      <c r="I220" s="613">
        <v>62</v>
      </c>
      <c r="J220" s="611" t="s">
        <v>363</v>
      </c>
    </row>
    <row r="221" spans="1:11" s="38" customFormat="1" x14ac:dyDescent="0.25">
      <c r="A221" s="72" t="s">
        <v>251</v>
      </c>
      <c r="B221" s="78" t="str">
        <f>IF(ISBLANK(A221),"","F"&amp;COUNTA($A$206:A221))</f>
        <v>F15</v>
      </c>
      <c r="C221" s="604" t="s">
        <v>270</v>
      </c>
      <c r="D221" s="72" t="s">
        <v>91</v>
      </c>
      <c r="E221" s="71" t="s">
        <v>24</v>
      </c>
      <c r="F221" s="255">
        <v>500</v>
      </c>
      <c r="G221" s="606"/>
      <c r="H221" s="606"/>
      <c r="I221" s="606"/>
      <c r="J221" s="611" t="s">
        <v>364</v>
      </c>
    </row>
    <row r="222" spans="1:11" s="38" customFormat="1" x14ac:dyDescent="0.25">
      <c r="A222" s="72" t="s">
        <v>251</v>
      </c>
      <c r="B222" s="78" t="str">
        <f>IF(ISBLANK(A222),"","F"&amp;COUNTA($A$206:A222))</f>
        <v>F16</v>
      </c>
      <c r="C222" s="604" t="s">
        <v>272</v>
      </c>
      <c r="D222" s="72" t="s">
        <v>91</v>
      </c>
      <c r="E222" s="71" t="s">
        <v>24</v>
      </c>
      <c r="F222" s="255">
        <v>-500</v>
      </c>
      <c r="G222" s="606"/>
      <c r="H222" s="606"/>
      <c r="I222" s="606"/>
      <c r="J222" s="611" t="s">
        <v>365</v>
      </c>
    </row>
    <row r="223" spans="1:11" s="38" customFormat="1" x14ac:dyDescent="0.25">
      <c r="A223" s="72" t="s">
        <v>251</v>
      </c>
      <c r="B223" s="78" t="str">
        <f>IF(ISBLANK(A223),"","F"&amp;COUNTA($A$206:A223))</f>
        <v>F17</v>
      </c>
      <c r="C223" s="604" t="s">
        <v>276</v>
      </c>
      <c r="D223" s="72" t="s">
        <v>91</v>
      </c>
      <c r="E223" s="71" t="s">
        <v>24</v>
      </c>
      <c r="F223" s="580">
        <v>550</v>
      </c>
      <c r="G223" s="613">
        <v>550</v>
      </c>
      <c r="H223" s="613">
        <v>550</v>
      </c>
      <c r="I223" s="613">
        <v>550</v>
      </c>
      <c r="J223" s="144" t="s">
        <v>456</v>
      </c>
    </row>
    <row r="224" spans="1:11" s="38" customFormat="1" x14ac:dyDescent="0.25">
      <c r="A224" s="72"/>
      <c r="B224" s="78" t="str">
        <f>IF(ISBLANK(A224),"","F"&amp;COUNTA($A$206:A224))</f>
        <v/>
      </c>
      <c r="C224" s="82" t="s">
        <v>282</v>
      </c>
      <c r="D224" s="72"/>
      <c r="E224" s="71"/>
      <c r="F224" s="255"/>
      <c r="G224" s="255"/>
      <c r="H224" s="255"/>
      <c r="I224" s="255"/>
    </row>
    <row r="225" spans="1:10" s="38" customFormat="1" ht="25.5" x14ac:dyDescent="0.25">
      <c r="A225" s="72" t="s">
        <v>251</v>
      </c>
      <c r="B225" s="78" t="str">
        <f>IF(ISBLANK(A225),"","F"&amp;COUNTA($A$206:A225))</f>
        <v>F18</v>
      </c>
      <c r="C225" s="84" t="s">
        <v>457</v>
      </c>
      <c r="D225" s="72" t="s">
        <v>91</v>
      </c>
      <c r="E225" s="71" t="s">
        <v>24</v>
      </c>
      <c r="F225" s="255">
        <v>2082</v>
      </c>
      <c r="G225" s="255">
        <v>3750</v>
      </c>
      <c r="H225" s="255">
        <v>4536</v>
      </c>
      <c r="I225" s="255">
        <v>6335</v>
      </c>
    </row>
    <row r="226" spans="1:10" s="38" customFormat="1" ht="25.5" x14ac:dyDescent="0.25">
      <c r="A226" s="72" t="s">
        <v>251</v>
      </c>
      <c r="B226" s="78" t="str">
        <f>IF(ISBLANK(A226),"","F"&amp;COUNTA($A$206:A226))</f>
        <v>F19</v>
      </c>
      <c r="C226" s="84" t="s">
        <v>458</v>
      </c>
      <c r="D226" s="72" t="s">
        <v>91</v>
      </c>
      <c r="E226" s="71" t="s">
        <v>24</v>
      </c>
      <c r="F226" s="255">
        <v>517</v>
      </c>
      <c r="G226" s="255">
        <v>517</v>
      </c>
      <c r="H226" s="255">
        <v>568</v>
      </c>
      <c r="I226" s="255">
        <v>1542</v>
      </c>
    </row>
    <row r="227" spans="1:10" s="38" customFormat="1" x14ac:dyDescent="0.25">
      <c r="A227" s="72" t="s">
        <v>251</v>
      </c>
      <c r="B227" s="78" t="str">
        <f>IF(ISBLANK(A227),"","F"&amp;COUNTA($A$206:A227))</f>
        <v>F20</v>
      </c>
      <c r="C227" s="84" t="s">
        <v>285</v>
      </c>
      <c r="D227" s="72" t="s">
        <v>91</v>
      </c>
      <c r="E227" s="71" t="s">
        <v>24</v>
      </c>
      <c r="F227" s="255">
        <f>10854+1200</f>
        <v>12054</v>
      </c>
      <c r="G227" s="255">
        <f>10854+1200</f>
        <v>12054</v>
      </c>
      <c r="H227" s="255">
        <f>10854+1200</f>
        <v>12054</v>
      </c>
      <c r="I227" s="255">
        <f>10854+1200</f>
        <v>12054</v>
      </c>
      <c r="J227" s="38" t="s">
        <v>370</v>
      </c>
    </row>
    <row r="228" spans="1:10" s="38" customFormat="1" x14ac:dyDescent="0.25">
      <c r="A228" s="72" t="s">
        <v>251</v>
      </c>
      <c r="B228" s="78" t="str">
        <f>IF(ISBLANK(A228),"","F"&amp;COUNTA($A$206:A228))</f>
        <v>F21</v>
      </c>
      <c r="C228" s="84" t="s">
        <v>210</v>
      </c>
      <c r="D228" s="72" t="s">
        <v>91</v>
      </c>
      <c r="E228" s="71"/>
      <c r="F228" s="255">
        <v>12000</v>
      </c>
      <c r="G228" s="255">
        <v>12000</v>
      </c>
      <c r="H228" s="255"/>
      <c r="I228" s="255"/>
      <c r="J228" s="144" t="s">
        <v>459</v>
      </c>
    </row>
    <row r="229" spans="1:10" s="38" customFormat="1" x14ac:dyDescent="0.25">
      <c r="A229" s="72" t="s">
        <v>251</v>
      </c>
      <c r="B229" s="78" t="str">
        <f>IF(ISBLANK(A229),"","F"&amp;COUNTA($A$206:A229))</f>
        <v>F22</v>
      </c>
      <c r="C229" s="84" t="s">
        <v>287</v>
      </c>
      <c r="D229" s="72" t="s">
        <v>91</v>
      </c>
      <c r="E229" s="71" t="s">
        <v>24</v>
      </c>
      <c r="F229" s="255">
        <v>35000</v>
      </c>
      <c r="G229" s="255">
        <v>35000</v>
      </c>
      <c r="H229" s="255">
        <v>35000</v>
      </c>
      <c r="I229" s="255">
        <v>35000</v>
      </c>
      <c r="J229" s="38" t="s">
        <v>371</v>
      </c>
    </row>
    <row r="230" spans="1:10" s="38" customFormat="1" x14ac:dyDescent="0.25">
      <c r="A230" s="72" t="s">
        <v>251</v>
      </c>
      <c r="B230" s="78" t="str">
        <f>IF(ISBLANK(A230),"","F"&amp;COUNTA($A$206:A230))</f>
        <v>F23</v>
      </c>
      <c r="C230" s="84"/>
      <c r="D230" s="72"/>
      <c r="E230" s="71"/>
      <c r="F230" s="255"/>
      <c r="G230" s="255"/>
      <c r="H230" s="255"/>
      <c r="I230" s="255"/>
    </row>
    <row r="231" spans="1:10" s="38" customFormat="1" ht="18" customHeight="1" x14ac:dyDescent="0.25">
      <c r="A231" s="72"/>
      <c r="B231" s="78" t="str">
        <f>IF(ISBLANK(A231),"","F"&amp;COUNTA($A$206:A231))</f>
        <v/>
      </c>
      <c r="C231" s="82" t="s">
        <v>288</v>
      </c>
      <c r="D231" s="83"/>
      <c r="E231" s="71"/>
      <c r="F231" s="4">
        <f>F207</f>
        <v>2023</v>
      </c>
      <c r="G231" s="4">
        <f>F231+1</f>
        <v>2024</v>
      </c>
      <c r="H231" s="4">
        <f>G231+1</f>
        <v>2025</v>
      </c>
      <c r="I231" s="4">
        <f>H231+1</f>
        <v>2026</v>
      </c>
    </row>
    <row r="232" spans="1:10" s="38" customFormat="1" x14ac:dyDescent="0.25">
      <c r="A232" s="72" t="s">
        <v>251</v>
      </c>
      <c r="B232" s="78" t="str">
        <f>IF(ISBLANK(A232),"","F"&amp;COUNTA($A$206:A232))</f>
        <v>F24</v>
      </c>
      <c r="C232" s="38" t="s">
        <v>289</v>
      </c>
      <c r="D232" s="72" t="s">
        <v>89</v>
      </c>
      <c r="E232" s="71" t="s">
        <v>84</v>
      </c>
      <c r="F232" s="373">
        <v>2430</v>
      </c>
      <c r="G232" s="564">
        <v>0</v>
      </c>
      <c r="H232" s="564">
        <v>2430</v>
      </c>
      <c r="I232" s="564">
        <v>0</v>
      </c>
    </row>
    <row r="233" spans="1:10" s="38" customFormat="1" x14ac:dyDescent="0.25">
      <c r="A233" s="72" t="s">
        <v>251</v>
      </c>
      <c r="B233" s="78" t="str">
        <f>IF(ISBLANK(A233),"","F"&amp;COUNTA($A$206:A233))</f>
        <v>F25</v>
      </c>
      <c r="C233" s="295" t="s">
        <v>290</v>
      </c>
      <c r="D233" s="72" t="s">
        <v>89</v>
      </c>
      <c r="E233" s="71" t="s">
        <v>84</v>
      </c>
      <c r="F233" s="373">
        <v>400</v>
      </c>
      <c r="G233" s="564">
        <v>0</v>
      </c>
      <c r="H233" s="564">
        <v>400</v>
      </c>
      <c r="I233" s="564">
        <v>0</v>
      </c>
    </row>
    <row r="234" spans="1:10" s="38" customFormat="1" ht="30" x14ac:dyDescent="0.25">
      <c r="A234" s="72" t="s">
        <v>251</v>
      </c>
      <c r="B234" s="78" t="str">
        <f>IF(ISBLANK(A234),"","F"&amp;COUNTA($A$206:A234))</f>
        <v>F26</v>
      </c>
      <c r="C234" s="295" t="s">
        <v>291</v>
      </c>
      <c r="D234" s="72" t="s">
        <v>89</v>
      </c>
      <c r="E234" s="71" t="s">
        <v>84</v>
      </c>
      <c r="F234" s="373">
        <v>300</v>
      </c>
      <c r="G234" s="564">
        <v>0</v>
      </c>
      <c r="H234" s="564">
        <v>0</v>
      </c>
      <c r="I234" s="564">
        <v>0</v>
      </c>
    </row>
    <row r="235" spans="1:10" s="38" customFormat="1" x14ac:dyDescent="0.25">
      <c r="A235" s="72" t="s">
        <v>251</v>
      </c>
      <c r="B235" s="78" t="str">
        <f>IF(ISBLANK(A235),"","F"&amp;COUNTA($A$206:A235))</f>
        <v>F27</v>
      </c>
      <c r="C235" s="295" t="s">
        <v>292</v>
      </c>
      <c r="D235" s="72" t="s">
        <v>89</v>
      </c>
      <c r="E235" s="71" t="s">
        <v>84</v>
      </c>
      <c r="F235" s="373">
        <v>200</v>
      </c>
      <c r="G235" s="564">
        <v>0</v>
      </c>
      <c r="H235" s="564">
        <v>0</v>
      </c>
      <c r="I235" s="564">
        <v>0</v>
      </c>
    </row>
    <row r="236" spans="1:10" s="38" customFormat="1" x14ac:dyDescent="0.25">
      <c r="A236" s="72" t="s">
        <v>251</v>
      </c>
      <c r="B236" s="78" t="str">
        <f>IF(ISBLANK(A236),"","F"&amp;COUNTA($A$206:A236))</f>
        <v>F28</v>
      </c>
      <c r="C236" s="295" t="s">
        <v>293</v>
      </c>
      <c r="D236" s="72" t="s">
        <v>89</v>
      </c>
      <c r="E236" s="71" t="s">
        <v>84</v>
      </c>
      <c r="F236" s="373">
        <v>-2000</v>
      </c>
      <c r="G236" s="564">
        <v>-2000</v>
      </c>
      <c r="H236" s="564">
        <v>-2000</v>
      </c>
      <c r="I236" s="564">
        <v>-2000</v>
      </c>
    </row>
    <row r="237" spans="1:10" s="38" customFormat="1" ht="30" x14ac:dyDescent="0.25">
      <c r="A237" s="72" t="s">
        <v>251</v>
      </c>
      <c r="B237" s="78" t="str">
        <f>IF(ISBLANK(A237),"","F"&amp;COUNTA($A$206:A237))</f>
        <v>F29</v>
      </c>
      <c r="C237" s="295" t="s">
        <v>398</v>
      </c>
      <c r="D237" s="72" t="s">
        <v>89</v>
      </c>
      <c r="E237" s="71" t="s">
        <v>84</v>
      </c>
      <c r="F237" s="373">
        <v>400</v>
      </c>
      <c r="G237" s="564">
        <v>0</v>
      </c>
      <c r="H237" s="564">
        <v>400</v>
      </c>
      <c r="I237" s="564">
        <v>0</v>
      </c>
    </row>
    <row r="238" spans="1:10" s="38" customFormat="1" x14ac:dyDescent="0.25">
      <c r="A238" s="72" t="s">
        <v>251</v>
      </c>
      <c r="B238" s="78" t="str">
        <f>IF(ISBLANK(A238),"","F"&amp;COUNTA($A$206:A238))</f>
        <v>F30</v>
      </c>
      <c r="C238" s="295" t="s">
        <v>297</v>
      </c>
      <c r="D238" s="72" t="s">
        <v>89</v>
      </c>
      <c r="E238" s="71" t="s">
        <v>84</v>
      </c>
      <c r="F238" s="373"/>
      <c r="G238" s="564">
        <v>1000</v>
      </c>
      <c r="H238" s="564"/>
      <c r="I238" s="564"/>
    </row>
    <row r="239" spans="1:10" s="38" customFormat="1" x14ac:dyDescent="0.25">
      <c r="A239" s="72" t="s">
        <v>251</v>
      </c>
      <c r="B239" s="78" t="str">
        <f>IF(ISBLANK(A239),"","F"&amp;COUNTA($A$206:A239))</f>
        <v>F31</v>
      </c>
      <c r="C239" s="295" t="s">
        <v>298</v>
      </c>
      <c r="D239" s="72" t="s">
        <v>91</v>
      </c>
      <c r="E239" s="71" t="s">
        <v>24</v>
      </c>
      <c r="F239" s="373">
        <v>225</v>
      </c>
      <c r="G239" s="217">
        <v>225</v>
      </c>
      <c r="H239" s="217">
        <v>225</v>
      </c>
      <c r="I239" s="217">
        <v>225</v>
      </c>
      <c r="J239" s="38" t="s">
        <v>372</v>
      </c>
    </row>
    <row r="240" spans="1:10" s="38" customFormat="1" x14ac:dyDescent="0.25">
      <c r="A240" s="72" t="s">
        <v>251</v>
      </c>
      <c r="B240" s="78" t="str">
        <f>IF(ISBLANK(A240),"","F"&amp;COUNTA($A$206:A240))</f>
        <v>F32</v>
      </c>
      <c r="C240" s="38" t="s">
        <v>299</v>
      </c>
      <c r="D240" s="72" t="s">
        <v>91</v>
      </c>
      <c r="E240" s="71" t="s">
        <v>24</v>
      </c>
      <c r="F240" s="271">
        <v>200</v>
      </c>
      <c r="G240" s="281"/>
      <c r="H240" s="281"/>
      <c r="I240" s="281"/>
    </row>
    <row r="241" spans="1:10" s="38" customFormat="1" x14ac:dyDescent="0.25">
      <c r="A241" s="72" t="s">
        <v>251</v>
      </c>
      <c r="B241" s="78" t="str">
        <f>IF(ISBLANK(A241),"","F"&amp;COUNTA($A$206:A241))</f>
        <v>F33</v>
      </c>
      <c r="C241" s="38" t="s">
        <v>299</v>
      </c>
      <c r="D241" s="72" t="s">
        <v>91</v>
      </c>
      <c r="E241" s="71" t="s">
        <v>24</v>
      </c>
      <c r="F241" s="191">
        <v>-200</v>
      </c>
      <c r="G241" s="191"/>
      <c r="H241" s="191"/>
      <c r="I241" s="191"/>
      <c r="J241" s="144" t="s">
        <v>399</v>
      </c>
    </row>
    <row r="242" spans="1:10" s="38" customFormat="1" ht="30" x14ac:dyDescent="0.25">
      <c r="A242" s="43"/>
      <c r="B242" s="43" t="s">
        <v>127</v>
      </c>
      <c r="C242" s="3" t="s">
        <v>304</v>
      </c>
      <c r="D242" s="52"/>
      <c r="E242" s="52"/>
      <c r="F242" s="56">
        <f>SUMIF($A:$A,"KOM.FELLES",F:F)</f>
        <v>218985</v>
      </c>
      <c r="G242" s="56">
        <f>SUMIF($A:$A,"KOM.FELLES",G:G)</f>
        <v>218748</v>
      </c>
      <c r="H242" s="56">
        <f>SUMIF($A:$A,"KOM.FELLES",H:H)</f>
        <v>209915</v>
      </c>
      <c r="I242" s="56">
        <f>SUMIF($A:$A,"KOM.FELLES",I:I)</f>
        <v>209008</v>
      </c>
    </row>
    <row r="248" spans="1:10" x14ac:dyDescent="0.25">
      <c r="F248" s="182"/>
      <c r="G248" s="182"/>
      <c r="H248" s="182"/>
      <c r="I248" s="182"/>
    </row>
    <row r="249" spans="1:10" x14ac:dyDescent="0.25">
      <c r="D249" s="256"/>
      <c r="E249" s="256"/>
      <c r="F249" s="256"/>
      <c r="G249" s="256"/>
      <c r="H249" s="256"/>
      <c r="I249" s="256"/>
    </row>
    <row r="250" spans="1:10" x14ac:dyDescent="0.25">
      <c r="F250" s="256"/>
      <c r="G250" s="256"/>
      <c r="H250" s="256"/>
      <c r="I250" s="256"/>
    </row>
    <row r="251" spans="1:10" x14ac:dyDescent="0.25">
      <c r="F251" s="256"/>
      <c r="G251" s="256"/>
      <c r="H251" s="256"/>
      <c r="I251" s="256"/>
    </row>
    <row r="252" spans="1:10" x14ac:dyDescent="0.25">
      <c r="F252" s="256"/>
      <c r="G252" s="256"/>
      <c r="H252" s="256"/>
      <c r="I252" s="256"/>
    </row>
    <row r="253" spans="1:10" x14ac:dyDescent="0.25">
      <c r="F253" s="256"/>
      <c r="G253" s="256"/>
      <c r="H253" s="256"/>
      <c r="I253" s="256"/>
    </row>
    <row r="254" spans="1:10" x14ac:dyDescent="0.25">
      <c r="F254" s="256"/>
      <c r="G254" s="256"/>
      <c r="H254" s="256"/>
      <c r="I254" s="256"/>
    </row>
    <row r="255" spans="1:10" x14ac:dyDescent="0.25">
      <c r="F255" s="256"/>
      <c r="G255" s="256"/>
      <c r="H255" s="256"/>
      <c r="I255" s="256"/>
    </row>
    <row r="256" spans="1:10" x14ac:dyDescent="0.25">
      <c r="F256" s="256"/>
      <c r="G256" s="256"/>
      <c r="H256" s="256"/>
      <c r="I256" s="256"/>
    </row>
  </sheetData>
  <conditionalFormatting sqref="F20:I20">
    <cfRule type="cellIs" dxfId="17" priority="2" operator="notEqual">
      <formula>0</formula>
    </cfRule>
  </conditionalFormatting>
  <conditionalFormatting sqref="I20">
    <cfRule type="cellIs" dxfId="16" priority="1" operator="notEqual">
      <formula>0</formula>
    </cfRule>
  </conditionalFormatting>
  <dataValidations count="1">
    <dataValidation type="list" allowBlank="1" showInputMessage="1" showErrorMessage="1" sqref="D180 D182" xr:uid="{188E4172-9CD5-40D0-9A06-CC5CDF26C93E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89984FF-9448-4BCF-A95D-226A770D500A}">
          <x14:formula1>
            <xm:f>Div!$A$3:$A$11</xm:f>
          </x14:formula1>
          <xm:sqref>A31:A70 A102:A242</xm:sqref>
        </x14:dataValidation>
        <x14:dataValidation type="list" allowBlank="1" showInputMessage="1" showErrorMessage="1" xr:uid="{0174F9B4-D01D-4C7D-AEF2-532886252421}">
          <x14:formula1>
            <xm:f>Div!$B$3:$B$8</xm:f>
          </x14:formula1>
          <xm:sqref>D150 D71:D86 D31:D64 D206 D88:D91 D208:D230 D135:D145 D152:D155 D181 D93:D101 D159:D179 D186:D192 D105:D132 D232:D241 D196:D201</xm:sqref>
        </x14:dataValidation>
        <x14:dataValidation type="list" allowBlank="1" showInputMessage="1" showErrorMessage="1" xr:uid="{723FE084-2C9B-40EE-A71B-D1286A75961B}">
          <x14:formula1>
            <xm:f>Div!$C$3:$C$58</xm:f>
          </x14:formula1>
          <xm:sqref>E31:E64 D151 D242:E242 D92:E92 D133:D134 D146:D149 D193:D195 D202:D205 D207 D231 D156:D158 D160 D112 D143 D183:D185 E152:E157 E206 D87 E71:E86 D102:D104 D65:D70 E88:E91 E208:E230 E150 E186:E194 E159:E184 E93:E102 E135:E147 E105:E132 E232:E241 E196:E203</xm:sqref>
        </x14:dataValidation>
        <x14:dataValidation type="list" allowBlank="1" showInputMessage="1" showErrorMessage="1" xr:uid="{DD193517-06CB-460A-B1EB-6145784DE0A5}">
          <x14:formula1>
            <xm:f>Div!$B$3:$B$6</xm:f>
          </x14:formula1>
          <xm:sqref>E87 E204:E205 E133:E134 E185 E65:E70 E195 E148:E149 E151 E207 E231 E158 E160 E112 E143 E103:E104</xm:sqref>
        </x14:dataValidation>
        <x14:dataValidation type="list" allowBlank="1" showInputMessage="1" showErrorMessage="1" xr:uid="{8CBB9D45-9722-478E-9735-AEB5A032765A}">
          <x14:formula1>
            <xm:f>Div!$A$3:$A$13</xm:f>
          </x14:formula1>
          <xm:sqref>A71:A101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70D0C-1549-4CAD-BD34-BA4CB829B9B4}">
  <sheetPr>
    <tabColor rgb="FFFF0000"/>
  </sheetPr>
  <dimension ref="A1:R249"/>
  <sheetViews>
    <sheetView workbookViewId="0">
      <selection activeCell="G142" sqref="G142"/>
    </sheetView>
  </sheetViews>
  <sheetFormatPr baseColWidth="10" defaultColWidth="11.42578125" defaultRowHeight="15" x14ac:dyDescent="0.25"/>
  <cols>
    <col min="1" max="1" width="7.140625" customWidth="1"/>
    <col min="2" max="2" width="5.5703125" style="563" bestFit="1" customWidth="1"/>
    <col min="3" max="3" width="46.42578125" customWidth="1"/>
    <col min="4" max="4" width="12.140625" bestFit="1" customWidth="1"/>
    <col min="5" max="5" width="7.5703125" bestFit="1" customWidth="1"/>
    <col min="7" max="9" width="12.140625" bestFit="1" customWidth="1"/>
    <col min="10" max="10" width="59.85546875" customWidth="1"/>
  </cols>
  <sheetData>
    <row r="1" spans="1:10" s="28" customFormat="1" ht="23.25" x14ac:dyDescent="0.25">
      <c r="A1" s="294" t="s">
        <v>0</v>
      </c>
      <c r="B1" s="553"/>
      <c r="C1" s="296"/>
      <c r="D1" s="525"/>
      <c r="E1" s="93"/>
      <c r="F1" s="294"/>
      <c r="G1" s="294"/>
      <c r="H1" s="294"/>
      <c r="I1" s="294"/>
    </row>
    <row r="2" spans="1:10" s="28" customFormat="1" x14ac:dyDescent="0.25">
      <c r="A2" s="38"/>
      <c r="B2" s="553"/>
      <c r="C2" s="295"/>
      <c r="D2" s="93"/>
      <c r="E2" s="93"/>
      <c r="F2" s="38"/>
      <c r="G2" s="38"/>
      <c r="H2" s="38"/>
      <c r="I2" s="38"/>
    </row>
    <row r="3" spans="1:10" s="38" customFormat="1" x14ac:dyDescent="0.25">
      <c r="A3" s="297"/>
      <c r="B3" s="554"/>
      <c r="C3" s="298"/>
      <c r="D3" s="299"/>
      <c r="E3" s="299"/>
      <c r="F3" s="300">
        <v>2020</v>
      </c>
      <c r="G3" s="300">
        <v>46210</v>
      </c>
      <c r="H3" s="300">
        <v>2022</v>
      </c>
      <c r="I3" s="300"/>
    </row>
    <row r="4" spans="1:10" s="38" customFormat="1" x14ac:dyDescent="0.25">
      <c r="A4" s="301" t="s">
        <v>1</v>
      </c>
      <c r="B4" s="555"/>
      <c r="C4" s="303"/>
      <c r="D4" s="304"/>
      <c r="E4" s="304"/>
      <c r="F4" s="566">
        <v>4902782</v>
      </c>
      <c r="G4" s="566">
        <f>F4</f>
        <v>4902782</v>
      </c>
      <c r="H4" s="566">
        <f>G4</f>
        <v>4902782</v>
      </c>
      <c r="I4" s="566">
        <f>H4</f>
        <v>4902782</v>
      </c>
    </row>
    <row r="5" spans="1:10" s="38" customFormat="1" x14ac:dyDescent="0.25">
      <c r="A5" s="38" t="str">
        <f>C65</f>
        <v>SUM SENTRALE INNTEKTER OG FINANSPOSTER</v>
      </c>
      <c r="B5" s="553"/>
      <c r="C5" s="123"/>
      <c r="D5" s="93"/>
      <c r="E5" s="93"/>
      <c r="F5" s="2">
        <f>F65</f>
        <v>-5249283</v>
      </c>
      <c r="G5" s="2">
        <f>G65</f>
        <v>-5269338</v>
      </c>
      <c r="H5" s="2">
        <f>H65</f>
        <v>-5227215</v>
      </c>
      <c r="I5" s="2">
        <f>I65</f>
        <v>-5232650</v>
      </c>
      <c r="J5" s="95"/>
    </row>
    <row r="6" spans="1:10" s="38" customFormat="1" x14ac:dyDescent="0.25">
      <c r="A6" s="307" t="s">
        <v>2</v>
      </c>
      <c r="B6" s="556"/>
      <c r="C6" s="309"/>
      <c r="D6" s="310"/>
      <c r="E6" s="310"/>
      <c r="F6" s="311">
        <f>SUM(F4:F5)</f>
        <v>-346501</v>
      </c>
      <c r="G6" s="311">
        <f>SUM(G4:G5)</f>
        <v>-366556</v>
      </c>
      <c r="H6" s="311">
        <f>SUM(H4:H5)</f>
        <v>-324433</v>
      </c>
      <c r="I6" s="311">
        <f>SUM(I4:I5)</f>
        <v>-329868</v>
      </c>
    </row>
    <row r="7" spans="1:10" s="38" customFormat="1" x14ac:dyDescent="0.25">
      <c r="A7" s="312"/>
      <c r="B7" s="555"/>
      <c r="C7" s="302"/>
      <c r="D7" s="304"/>
      <c r="E7" s="304"/>
      <c r="F7" s="313"/>
      <c r="G7" s="313"/>
      <c r="H7" s="313"/>
      <c r="I7" s="313"/>
    </row>
    <row r="8" spans="1:10" s="38" customFormat="1" x14ac:dyDescent="0.25">
      <c r="A8" s="314" t="s">
        <v>3</v>
      </c>
      <c r="B8" s="341"/>
      <c r="C8" s="207"/>
      <c r="D8" s="315"/>
      <c r="E8" s="315"/>
      <c r="F8" s="39">
        <f>SUMIF($D:$D,"ØP 22-25",F:F)</f>
        <v>9930</v>
      </c>
      <c r="G8" s="39">
        <f>SUMIF($D:$D,"ØP 22-25",G:G)</f>
        <v>12073</v>
      </c>
      <c r="H8" s="39">
        <f>SUMIF($D:$D,"ØP 22-25",H:H)</f>
        <v>30203</v>
      </c>
      <c r="I8" s="39">
        <f>SUMIF($D:$D,"ØP 22-25",I:I)</f>
        <v>29023</v>
      </c>
    </row>
    <row r="9" spans="1:10" s="38" customFormat="1" x14ac:dyDescent="0.25">
      <c r="A9" s="316" t="s">
        <v>4</v>
      </c>
      <c r="B9" s="557"/>
      <c r="C9" s="317"/>
      <c r="D9" s="318"/>
      <c r="E9" s="318"/>
      <c r="F9" s="267">
        <f>SUMIF($D:$D,"ØP 22-25 REKALK",F:F)</f>
        <v>175408</v>
      </c>
      <c r="G9" s="267">
        <f>SUMIF($D:$D,"ØP 22-25 REKALK",G:G)</f>
        <v>167821</v>
      </c>
      <c r="H9" s="267">
        <f>SUMIF($D:$D,"ØP 22-25 REKALK",H:H)</f>
        <v>159660</v>
      </c>
      <c r="I9" s="267">
        <f>SUMIF($D:$D,"ØP 22-25 REKALK",I:I)</f>
        <v>162045</v>
      </c>
    </row>
    <row r="10" spans="1:10" s="38" customFormat="1" x14ac:dyDescent="0.25">
      <c r="A10" s="319" t="s">
        <v>5</v>
      </c>
      <c r="B10" s="558"/>
      <c r="C10" s="320"/>
      <c r="D10" s="321"/>
      <c r="E10" s="321"/>
      <c r="F10" s="322">
        <f>F6+F8+F9</f>
        <v>-161163</v>
      </c>
      <c r="G10" s="322">
        <f>G6+G8+G9</f>
        <v>-186662</v>
      </c>
      <c r="H10" s="322">
        <f>H6+H8+H9</f>
        <v>-134570</v>
      </c>
      <c r="I10" s="322">
        <f>I6+I8+I9</f>
        <v>-138800</v>
      </c>
    </row>
    <row r="11" spans="1:10" s="28" customFormat="1" x14ac:dyDescent="0.25">
      <c r="A11" s="38"/>
      <c r="B11" s="553"/>
      <c r="C11" s="295"/>
      <c r="D11" s="93"/>
      <c r="E11" s="93"/>
      <c r="F11" s="2"/>
      <c r="G11" s="2"/>
      <c r="H11" s="2"/>
      <c r="I11" s="2"/>
    </row>
    <row r="12" spans="1:10" s="28" customFormat="1" x14ac:dyDescent="0.25">
      <c r="A12" s="312" t="s">
        <v>6</v>
      </c>
      <c r="B12" s="553"/>
      <c r="C12" s="295"/>
      <c r="D12" s="93"/>
      <c r="E12" s="93"/>
      <c r="F12" s="2">
        <f>SUMIFS(F:F,$D:$D,"NYTT",$E:$E,"INNSP")</f>
        <v>0</v>
      </c>
      <c r="G12" s="2">
        <f>SUMIFS(G:G,$D:$D,"NYTT",$E:$E,"INNSP")</f>
        <v>0</v>
      </c>
      <c r="H12" s="2">
        <f>SUMIFS(H:H,$D:$D,"NYTT",$E:$E,"INNSP")</f>
        <v>0</v>
      </c>
      <c r="I12" s="2">
        <f>SUMIFS(I:I,$D:$D,"NYTT",$E:$E,"INNSP")</f>
        <v>0</v>
      </c>
    </row>
    <row r="13" spans="1:10" s="38" customFormat="1" x14ac:dyDescent="0.25">
      <c r="A13" s="316" t="s">
        <v>7</v>
      </c>
      <c r="B13" s="557"/>
      <c r="C13" s="317"/>
      <c r="D13" s="318"/>
      <c r="E13" s="318"/>
      <c r="F13" s="267">
        <f>SUMIFS(F:F,$D:$D,"NYTT",$E:$E,"MÅ")</f>
        <v>165500</v>
      </c>
      <c r="G13" s="267">
        <f>SUMIFS(G:G,$D:$D,"NYTT",$E:$E,"MÅ")</f>
        <v>169318</v>
      </c>
      <c r="H13" s="267">
        <f>SUMIFS(H:H,$D:$D,"NYTT",$E:$E,"MÅ")</f>
        <v>142655</v>
      </c>
      <c r="I13" s="267">
        <f>SUMIFS(I:I,$D:$D,"NYTT",$E:$E,"MÅ")</f>
        <v>145328</v>
      </c>
    </row>
    <row r="14" spans="1:10" s="38" customFormat="1" x14ac:dyDescent="0.25">
      <c r="A14" s="307" t="s">
        <v>8</v>
      </c>
      <c r="B14" s="559"/>
      <c r="C14" s="309"/>
      <c r="D14" s="323"/>
      <c r="E14" s="323"/>
      <c r="F14" s="324">
        <f>F6+F8+F9+F12+F13</f>
        <v>4337</v>
      </c>
      <c r="G14" s="324">
        <f>G6+G8+G9+G12+G13</f>
        <v>-17344</v>
      </c>
      <c r="H14" s="324">
        <f>H6+H8+H9+H12+H13</f>
        <v>8085</v>
      </c>
      <c r="I14" s="324">
        <f>I6+I8+I9+I12+I13</f>
        <v>6528</v>
      </c>
    </row>
    <row r="15" spans="1:10" s="38" customFormat="1" x14ac:dyDescent="0.25">
      <c r="A15" s="312"/>
      <c r="B15" s="555"/>
      <c r="C15" s="302"/>
      <c r="D15" s="304"/>
      <c r="E15" s="304"/>
      <c r="F15" s="491"/>
      <c r="G15" s="313"/>
      <c r="H15" s="313"/>
      <c r="I15" s="313"/>
    </row>
    <row r="16" spans="1:10" s="38" customFormat="1" x14ac:dyDescent="0.25">
      <c r="A16" s="312" t="s">
        <v>9</v>
      </c>
      <c r="B16" s="555"/>
      <c r="C16" s="302"/>
      <c r="D16" s="304"/>
      <c r="E16" s="304"/>
      <c r="F16" s="267">
        <f>SUMIFS(F:F,$D:$D,"Endring",$E:$E,"endring")</f>
        <v>0</v>
      </c>
      <c r="G16" s="267">
        <f>SUMIFS(G:G,$D:$D,"Endring",$E:$E,"endring")</f>
        <v>0</v>
      </c>
      <c r="H16" s="267">
        <f>SUMIFS(H:H,$D:$D,"Endring",$E:$E,"endring")</f>
        <v>0</v>
      </c>
      <c r="I16" s="267">
        <f>SUMIFS(I:I,$D:$D,"Endring",$E:$E,"endring")</f>
        <v>0</v>
      </c>
    </row>
    <row r="17" spans="1:10" s="38" customFormat="1" x14ac:dyDescent="0.25">
      <c r="A17" s="312"/>
      <c r="B17" s="555"/>
      <c r="C17" s="302"/>
      <c r="D17" s="304"/>
      <c r="E17" s="304"/>
      <c r="F17" s="491"/>
      <c r="G17" s="313"/>
      <c r="H17" s="313"/>
      <c r="I17" s="313"/>
    </row>
    <row r="18" spans="1:10" s="38" customFormat="1" x14ac:dyDescent="0.25">
      <c r="A18" s="314" t="s">
        <v>10</v>
      </c>
      <c r="B18" s="341"/>
      <c r="C18" s="207"/>
      <c r="D18" s="315"/>
      <c r="E18" s="315"/>
      <c r="F18" s="39">
        <f>SUMIF($D:$D,"NYTT",F:F)-F19-F13-F12</f>
        <v>76998</v>
      </c>
      <c r="G18" s="39">
        <f>SUMIF($D:$D,"NYTT",G:G)-G19-G13-G12</f>
        <v>79448</v>
      </c>
      <c r="H18" s="39">
        <f>SUMIF($D:$D,"NYTT",H:H)-H19-H13-H12</f>
        <v>53598</v>
      </c>
      <c r="I18" s="39">
        <f>SUMIF($D:$D,"NYTT",I:I)-I19-I13-I12</f>
        <v>53298</v>
      </c>
    </row>
    <row r="19" spans="1:10" s="38" customFormat="1" x14ac:dyDescent="0.25">
      <c r="A19" s="325" t="s">
        <v>11</v>
      </c>
      <c r="B19" s="341"/>
      <c r="C19" s="326"/>
      <c r="D19" s="315"/>
      <c r="E19" s="315"/>
      <c r="F19" s="327">
        <f>SUMIFS(F:F,$D:$D,"NYTT",$E:$E,"IKKE PRI")</f>
        <v>0</v>
      </c>
      <c r="G19" s="327">
        <f>SUMIFS(G:G,$D:$D,"NYTT",$E:$E,"IKKE PRI")</f>
        <v>0</v>
      </c>
      <c r="H19" s="327">
        <f>SUMIFS(H:H,$D:$D,"NYTT",$E:$E,"IKKE PRI")</f>
        <v>0</v>
      </c>
      <c r="I19" s="327">
        <f>SUMIFS(I:I,$D:$D,"NYTT",$E:$E,"IKKE PRI")</f>
        <v>0</v>
      </c>
    </row>
    <row r="20" spans="1:10" s="38" customFormat="1" x14ac:dyDescent="0.25">
      <c r="A20" s="325"/>
      <c r="B20" s="341"/>
      <c r="C20" s="326"/>
      <c r="D20" s="315"/>
      <c r="E20" s="315"/>
      <c r="F20" s="292">
        <f>(F8+F9+F13+F18+F19+F12+F16)-SUMIF($B:$B,"X",F:F)</f>
        <v>0</v>
      </c>
      <c r="G20" s="292">
        <f>(G8+G9+G13+G18+G19+G12+G16)-SUMIF($B:$B,"X",G:G)</f>
        <v>0</v>
      </c>
      <c r="H20" s="292">
        <f>(H8+H9+H13+H18+H19+H12+H16)-SUMIF($B:$B,"X",H:H)</f>
        <v>0</v>
      </c>
      <c r="I20" s="292">
        <f>(I8+I9+I13+I18+I19+I12+I16)-SUMIF($B:$B,"X",I:I)</f>
        <v>0</v>
      </c>
    </row>
    <row r="21" spans="1:10" s="38" customFormat="1" x14ac:dyDescent="0.25">
      <c r="A21" s="328"/>
      <c r="B21" s="329"/>
      <c r="C21" s="298"/>
      <c r="D21" s="330"/>
      <c r="E21" s="330"/>
      <c r="F21" s="331"/>
      <c r="G21" s="331"/>
      <c r="H21" s="331"/>
      <c r="I21" s="331"/>
    </row>
    <row r="22" spans="1:10" s="38" customFormat="1" x14ac:dyDescent="0.25">
      <c r="A22" s="332"/>
      <c r="B22" s="553"/>
      <c r="C22" s="333"/>
      <c r="D22" s="93"/>
      <c r="E22" s="93"/>
      <c r="F22" s="334">
        <f>F8+F9+F13+F12</f>
        <v>350838</v>
      </c>
      <c r="G22" s="334">
        <f>G8+G9+G13+G12</f>
        <v>349212</v>
      </c>
      <c r="H22" s="334">
        <f>H8+H9+H13+H12</f>
        <v>332518</v>
      </c>
      <c r="I22" s="334">
        <f>I8+I9+I13+I12</f>
        <v>336396</v>
      </c>
    </row>
    <row r="23" spans="1:10" s="38" customFormat="1" x14ac:dyDescent="0.25">
      <c r="A23" s="332"/>
      <c r="B23" s="553"/>
      <c r="C23" s="333"/>
      <c r="D23" s="93"/>
      <c r="E23" s="93"/>
      <c r="F23" s="334"/>
      <c r="G23" s="334"/>
      <c r="H23" s="334"/>
      <c r="I23" s="334"/>
    </row>
    <row r="24" spans="1:10" s="38" customFormat="1" hidden="1" x14ac:dyDescent="0.25">
      <c r="A24" s="192" t="s">
        <v>12</v>
      </c>
      <c r="B24" s="560"/>
      <c r="C24" s="236"/>
      <c r="D24" s="237"/>
      <c r="E24" s="237"/>
      <c r="F24" s="193"/>
      <c r="G24" s="193"/>
      <c r="H24" s="193"/>
      <c r="I24" s="193"/>
    </row>
    <row r="25" spans="1:10" s="125" customFormat="1" hidden="1" x14ac:dyDescent="0.25">
      <c r="A25" s="194" t="s">
        <v>13</v>
      </c>
      <c r="B25" s="561"/>
      <c r="C25" s="195"/>
      <c r="D25" s="239"/>
      <c r="E25" s="239"/>
      <c r="F25" s="196" t="e">
        <f>SUMIF(#REF!,"FOND",F:F)</f>
        <v>#REF!</v>
      </c>
      <c r="G25" s="196" t="e">
        <f>SUMIF(#REF!,"FOND",G:G)</f>
        <v>#REF!</v>
      </c>
      <c r="H25" s="196" t="e">
        <f>SUMIF(#REF!,"FOND",H:H)</f>
        <v>#REF!</v>
      </c>
      <c r="I25" s="196" t="e">
        <f>SUMIF(#REF!,"FOND",I:I)</f>
        <v>#REF!</v>
      </c>
      <c r="J25" s="38"/>
    </row>
    <row r="26" spans="1:10" s="38" customFormat="1" hidden="1" x14ac:dyDescent="0.25">
      <c r="A26" s="197" t="s">
        <v>14</v>
      </c>
      <c r="B26" s="560"/>
      <c r="C26" s="236"/>
      <c r="D26" s="237"/>
      <c r="E26" s="237"/>
      <c r="F26" s="198" t="e">
        <f>SUBTOTAL(9,F24:F25)</f>
        <v>#REF!</v>
      </c>
      <c r="G26" s="198" t="e">
        <f>SUBTOTAL(9,G24:G25)</f>
        <v>#REF!</v>
      </c>
      <c r="H26" s="198" t="e">
        <f>SUBTOTAL(9,H24:H25)</f>
        <v>#REF!</v>
      </c>
      <c r="I26" s="198" t="e">
        <f>SUBTOTAL(9,I24:I25)</f>
        <v>#REF!</v>
      </c>
    </row>
    <row r="27" spans="1:10" s="38" customFormat="1" x14ac:dyDescent="0.25">
      <c r="A27" s="28"/>
      <c r="B27" s="562"/>
      <c r="C27" s="11"/>
      <c r="D27" s="242"/>
      <c r="E27" s="242"/>
      <c r="F27" s="336">
        <f>(F8+F9+F13+F18+F19+F12)-SUMIF($B:$B,"X",F:F)</f>
        <v>0</v>
      </c>
      <c r="G27" s="336">
        <f>(G8+G9+G13+G18+G19+G12)-SUMIF($B:$B,"X",G:G)</f>
        <v>0</v>
      </c>
      <c r="H27" s="336">
        <f>(H8+H9+H13+H18+H19+H12)-SUMIF($B:$B,"X",H:H)</f>
        <v>0</v>
      </c>
      <c r="I27" s="336">
        <f>(I8+I9+I13+I18+I19+I12)-SUMIF($B:$B,"X",I:I)</f>
        <v>0</v>
      </c>
    </row>
    <row r="28" spans="1:10" s="38" customFormat="1" x14ac:dyDescent="0.25">
      <c r="A28" s="4" t="s">
        <v>15</v>
      </c>
      <c r="B28" s="5" t="s">
        <v>16</v>
      </c>
      <c r="C28" s="3" t="s">
        <v>17</v>
      </c>
      <c r="D28" s="8" t="s">
        <v>18</v>
      </c>
      <c r="E28" s="46" t="s">
        <v>19</v>
      </c>
      <c r="F28" s="4">
        <v>2023</v>
      </c>
      <c r="G28" s="4">
        <v>2024</v>
      </c>
      <c r="H28" s="4">
        <v>2025</v>
      </c>
      <c r="I28" s="4">
        <v>2026</v>
      </c>
      <c r="J28" s="4" t="s">
        <v>20</v>
      </c>
    </row>
    <row r="29" spans="1:10" s="38" customFormat="1" x14ac:dyDescent="0.25">
      <c r="A29" s="234"/>
      <c r="B29" s="562"/>
      <c r="C29" s="17"/>
      <c r="D29" s="51"/>
      <c r="E29" s="549"/>
      <c r="F29" s="550"/>
      <c r="G29" s="550"/>
      <c r="H29" s="550"/>
      <c r="I29" s="235"/>
    </row>
    <row r="30" spans="1:10" s="38" customFormat="1" x14ac:dyDescent="0.25">
      <c r="A30" s="15"/>
      <c r="B30" s="44"/>
      <c r="C30" s="16" t="s">
        <v>21</v>
      </c>
      <c r="D30" s="41"/>
      <c r="E30" s="551"/>
      <c r="F30" s="552"/>
      <c r="G30" s="552"/>
      <c r="H30" s="552"/>
      <c r="I30" s="85"/>
    </row>
    <row r="31" spans="1:10" s="38" customFormat="1" ht="22.5" x14ac:dyDescent="0.25">
      <c r="A31" s="78" t="s">
        <v>22</v>
      </c>
      <c r="B31" s="78" t="str">
        <f>IF(ISBLANK(A31),"","I"&amp;COUNTA($A$31:A31))</f>
        <v>I1</v>
      </c>
      <c r="C31" s="526" t="s">
        <v>23</v>
      </c>
      <c r="D31" s="79" t="s">
        <v>22</v>
      </c>
      <c r="E31" s="79" t="s">
        <v>24</v>
      </c>
      <c r="F31" s="481">
        <v>-3016000</v>
      </c>
      <c r="G31" s="481">
        <v>-3050000</v>
      </c>
      <c r="H31" s="481">
        <v>-3079000</v>
      </c>
      <c r="I31" s="481">
        <v>-3104000</v>
      </c>
      <c r="J31" s="38" t="s">
        <v>25</v>
      </c>
    </row>
    <row r="32" spans="1:10" s="38" customFormat="1" ht="22.5" x14ac:dyDescent="0.25">
      <c r="A32" s="78" t="s">
        <v>22</v>
      </c>
      <c r="B32" s="78" t="str">
        <f>IF(ISBLANK(A32),"","I"&amp;COUNTA($A$31:A32))</f>
        <v>I2</v>
      </c>
      <c r="C32" s="526" t="s">
        <v>29</v>
      </c>
      <c r="D32" s="79" t="s">
        <v>22</v>
      </c>
      <c r="E32" s="79" t="s">
        <v>24</v>
      </c>
      <c r="F32" s="481">
        <v>-2261000</v>
      </c>
      <c r="G32" s="481">
        <v>-2294000</v>
      </c>
      <c r="H32" s="481">
        <v>-2315000</v>
      </c>
      <c r="I32" s="481">
        <v>-2334000</v>
      </c>
      <c r="J32" s="38" t="s">
        <v>25</v>
      </c>
    </row>
    <row r="33" spans="1:18" s="38" customFormat="1" ht="22.5" x14ac:dyDescent="0.25">
      <c r="A33" s="78" t="s">
        <v>22</v>
      </c>
      <c r="B33" s="78" t="str">
        <f>IF(ISBLANK(A33),"","I"&amp;COUNTA($A$31:A33))</f>
        <v>I3</v>
      </c>
      <c r="C33" s="526" t="s">
        <v>32</v>
      </c>
      <c r="D33" s="79" t="s">
        <v>22</v>
      </c>
      <c r="E33" s="79" t="s">
        <v>24</v>
      </c>
      <c r="F33" s="595">
        <v>-60000</v>
      </c>
      <c r="G33" s="595">
        <v>-60000</v>
      </c>
      <c r="H33" s="595">
        <v>-60000</v>
      </c>
      <c r="I33" s="595">
        <v>-60000</v>
      </c>
      <c r="J33" s="38" t="s">
        <v>374</v>
      </c>
    </row>
    <row r="34" spans="1:18" s="38" customFormat="1" ht="22.5" x14ac:dyDescent="0.25">
      <c r="A34" s="78" t="s">
        <v>22</v>
      </c>
      <c r="B34" s="78" t="str">
        <f>IF(ISBLANK(A34),"","I"&amp;COUNTA($A$31:A34))</f>
        <v>I4</v>
      </c>
      <c r="C34" s="526" t="s">
        <v>34</v>
      </c>
      <c r="D34" s="79" t="s">
        <v>22</v>
      </c>
      <c r="E34" s="79" t="s">
        <v>24</v>
      </c>
      <c r="F34" s="595">
        <v>-250000</v>
      </c>
      <c r="G34" s="595">
        <v>-150000</v>
      </c>
      <c r="H34" s="595">
        <v>-80000</v>
      </c>
      <c r="I34" s="595">
        <v>-64000</v>
      </c>
      <c r="J34" s="38" t="s">
        <v>35</v>
      </c>
    </row>
    <row r="35" spans="1:18" s="38" customFormat="1" ht="22.5" x14ac:dyDescent="0.25">
      <c r="A35" s="78" t="s">
        <v>22</v>
      </c>
      <c r="B35" s="78" t="str">
        <f>IF(ISBLANK(A35),"","I"&amp;COUNTA($A$31:A35))</f>
        <v>I5</v>
      </c>
      <c r="C35" s="593" t="s">
        <v>400</v>
      </c>
      <c r="D35" s="594" t="s">
        <v>22</v>
      </c>
      <c r="E35" s="594" t="s">
        <v>24</v>
      </c>
      <c r="F35" s="595">
        <v>50000</v>
      </c>
      <c r="G35" s="595">
        <v>20000</v>
      </c>
      <c r="H35" s="595">
        <v>1000</v>
      </c>
      <c r="I35" s="595">
        <v>1000</v>
      </c>
      <c r="J35" s="38" t="s">
        <v>35</v>
      </c>
    </row>
    <row r="36" spans="1:18" s="38" customFormat="1" ht="22.5" x14ac:dyDescent="0.25">
      <c r="A36" s="78" t="s">
        <v>22</v>
      </c>
      <c r="B36" s="78" t="str">
        <f>IF(ISBLANK(A36),"","I"&amp;COUNTA($A$31:A36))</f>
        <v>I6</v>
      </c>
      <c r="C36" s="526" t="s">
        <v>311</v>
      </c>
      <c r="D36" s="79" t="s">
        <v>22</v>
      </c>
      <c r="E36" s="79" t="s">
        <v>24</v>
      </c>
      <c r="F36" s="595">
        <v>35000</v>
      </c>
      <c r="G36" s="595">
        <v>20000</v>
      </c>
      <c r="H36" s="595">
        <v>10000</v>
      </c>
      <c r="I36" s="595">
        <v>10000</v>
      </c>
      <c r="J36" s="38" t="s">
        <v>35</v>
      </c>
    </row>
    <row r="37" spans="1:18" s="38" customFormat="1" ht="22.5" x14ac:dyDescent="0.25">
      <c r="A37" s="78" t="s">
        <v>22</v>
      </c>
      <c r="B37" s="78" t="str">
        <f>IF(ISBLANK(A37),"","I"&amp;COUNTA($A$31:A37))</f>
        <v>I7</v>
      </c>
      <c r="C37" s="526" t="s">
        <v>36</v>
      </c>
      <c r="D37" s="79" t="s">
        <v>22</v>
      </c>
      <c r="E37" s="79" t="s">
        <v>24</v>
      </c>
      <c r="F37" s="481">
        <v>-11000</v>
      </c>
      <c r="G37" s="481">
        <v>-11000</v>
      </c>
      <c r="H37" s="481">
        <v>-11000</v>
      </c>
      <c r="I37" s="481">
        <v>-11000</v>
      </c>
      <c r="J37" s="38" t="s">
        <v>37</v>
      </c>
    </row>
    <row r="38" spans="1:18" s="38" customFormat="1" ht="22.5" x14ac:dyDescent="0.25">
      <c r="A38" s="78" t="s">
        <v>22</v>
      </c>
      <c r="B38" s="78" t="str">
        <f>IF(ISBLANK(A38),"","I"&amp;COUNTA($A$31:A38))</f>
        <v>I8</v>
      </c>
      <c r="C38" s="526" t="s">
        <v>38</v>
      </c>
      <c r="D38" s="79" t="s">
        <v>22</v>
      </c>
      <c r="E38" s="79" t="s">
        <v>24</v>
      </c>
      <c r="F38" s="481">
        <v>11000</v>
      </c>
      <c r="G38" s="481">
        <v>11000</v>
      </c>
      <c r="H38" s="481">
        <v>11000</v>
      </c>
      <c r="I38" s="481">
        <v>11000</v>
      </c>
      <c r="J38" s="38" t="s">
        <v>37</v>
      </c>
    </row>
    <row r="39" spans="1:18" s="38" customFormat="1" ht="25.5" x14ac:dyDescent="0.25">
      <c r="A39" s="78" t="s">
        <v>22</v>
      </c>
      <c r="B39" s="78" t="str">
        <f>IF(ISBLANK(A39),"","I"&amp;COUNTA($A$31:A39))</f>
        <v>I9</v>
      </c>
      <c r="C39" s="526" t="s">
        <v>39</v>
      </c>
      <c r="D39" s="79" t="s">
        <v>22</v>
      </c>
      <c r="E39" s="79" t="s">
        <v>24</v>
      </c>
      <c r="F39" s="481">
        <v>-12100</v>
      </c>
      <c r="G39" s="481">
        <v>-11300</v>
      </c>
      <c r="H39" s="481">
        <v>-10200</v>
      </c>
      <c r="I39" s="481">
        <v>-9500</v>
      </c>
      <c r="J39" s="38" t="s">
        <v>401</v>
      </c>
    </row>
    <row r="40" spans="1:18" s="38" customFormat="1" ht="22.5" x14ac:dyDescent="0.25">
      <c r="A40" s="78" t="s">
        <v>22</v>
      </c>
      <c r="B40" s="78" t="str">
        <f>IF(ISBLANK(A40),"","I"&amp;COUNTA($A$31:A40))</f>
        <v>I10</v>
      </c>
      <c r="C40" s="578" t="s">
        <v>41</v>
      </c>
      <c r="D40" s="579" t="s">
        <v>22</v>
      </c>
      <c r="E40" s="579" t="s">
        <v>24</v>
      </c>
      <c r="F40" s="592">
        <v>-116222</v>
      </c>
      <c r="G40" s="592">
        <v>-95707</v>
      </c>
      <c r="H40" s="592">
        <v>-71318</v>
      </c>
      <c r="I40" s="481">
        <v>-66738</v>
      </c>
      <c r="J40" s="580" t="s">
        <v>402</v>
      </c>
    </row>
    <row r="41" spans="1:18" s="38" customFormat="1" ht="22.5" x14ac:dyDescent="0.25">
      <c r="A41" s="78" t="s">
        <v>22</v>
      </c>
      <c r="B41" s="78" t="str">
        <f>IF(ISBLANK(A41),"","I"&amp;COUNTA($A$31:A41))</f>
        <v>I11</v>
      </c>
      <c r="C41" s="526" t="s">
        <v>43</v>
      </c>
      <c r="D41" s="79" t="s">
        <v>22</v>
      </c>
      <c r="E41" s="79" t="s">
        <v>24</v>
      </c>
      <c r="F41" s="481">
        <v>166000</v>
      </c>
      <c r="G41" s="481">
        <v>174000</v>
      </c>
      <c r="H41" s="481">
        <v>183000</v>
      </c>
      <c r="I41" s="481">
        <v>200000</v>
      </c>
      <c r="J41" s="38" t="s">
        <v>403</v>
      </c>
    </row>
    <row r="42" spans="1:18" s="38" customFormat="1" ht="22.5" x14ac:dyDescent="0.25">
      <c r="A42" s="590" t="s">
        <v>22</v>
      </c>
      <c r="B42" s="78" t="str">
        <f>IF(ISBLANK(A42),"","I"&amp;COUNTA($A$31:A42))</f>
        <v>I12</v>
      </c>
      <c r="C42" s="587" t="s">
        <v>306</v>
      </c>
      <c r="D42" s="588" t="s">
        <v>22</v>
      </c>
      <c r="E42" s="588" t="s">
        <v>24</v>
      </c>
      <c r="F42" s="589"/>
      <c r="G42" s="589"/>
      <c r="H42" s="589"/>
      <c r="I42" s="589"/>
      <c r="J42" s="591" t="s">
        <v>307</v>
      </c>
      <c r="O42" s="95"/>
      <c r="P42" s="95"/>
      <c r="Q42" s="95"/>
      <c r="R42" s="95"/>
    </row>
    <row r="43" spans="1:18" s="38" customFormat="1" ht="22.5" x14ac:dyDescent="0.25">
      <c r="A43" s="78" t="s">
        <v>22</v>
      </c>
      <c r="B43" s="78" t="str">
        <f>IF(ISBLANK(A43),"","I"&amp;COUNTA($A$31:A43))</f>
        <v>I13</v>
      </c>
      <c r="C43" s="526" t="s">
        <v>47</v>
      </c>
      <c r="D43" s="79" t="s">
        <v>22</v>
      </c>
      <c r="E43" s="79" t="s">
        <v>24</v>
      </c>
      <c r="F43" s="481">
        <v>295000</v>
      </c>
      <c r="G43" s="481">
        <v>311000</v>
      </c>
      <c r="H43" s="481">
        <v>335000</v>
      </c>
      <c r="I43" s="481">
        <v>347000</v>
      </c>
      <c r="J43" s="38" t="s">
        <v>403</v>
      </c>
    </row>
    <row r="44" spans="1:18" s="38" customFormat="1" ht="22.5" x14ac:dyDescent="0.25">
      <c r="A44" s="590" t="s">
        <v>22</v>
      </c>
      <c r="B44" s="78" t="str">
        <f>IF(ISBLANK(A44),"","I"&amp;COUNTA($A$31:A44))</f>
        <v>I14</v>
      </c>
      <c r="C44" s="587" t="s">
        <v>308</v>
      </c>
      <c r="D44" s="588" t="s">
        <v>22</v>
      </c>
      <c r="E44" s="588" t="s">
        <v>24</v>
      </c>
      <c r="F44" s="589"/>
      <c r="G44" s="589"/>
      <c r="H44" s="589"/>
      <c r="I44" s="589"/>
      <c r="J44" s="591" t="s">
        <v>307</v>
      </c>
    </row>
    <row r="45" spans="1:18" s="38" customFormat="1" ht="22.5" x14ac:dyDescent="0.25">
      <c r="A45" s="78" t="s">
        <v>22</v>
      </c>
      <c r="B45" s="78" t="str">
        <f>IF(ISBLANK(A45),"","I"&amp;COUNTA($A$31:A45))</f>
        <v>I15</v>
      </c>
      <c r="C45" s="526" t="s">
        <v>50</v>
      </c>
      <c r="D45" s="79" t="s">
        <v>22</v>
      </c>
      <c r="E45" s="79" t="s">
        <v>24</v>
      </c>
      <c r="F45" s="481">
        <v>-60000</v>
      </c>
      <c r="G45" s="481">
        <v>-60000</v>
      </c>
      <c r="H45" s="481">
        <v>-57000</v>
      </c>
      <c r="I45" s="481">
        <v>-57000</v>
      </c>
      <c r="J45" s="38" t="s">
        <v>404</v>
      </c>
    </row>
    <row r="46" spans="1:18" s="38" customFormat="1" ht="22.5" x14ac:dyDescent="0.25">
      <c r="A46" s="78" t="s">
        <v>22</v>
      </c>
      <c r="B46" s="78" t="str">
        <f>IF(ISBLANK(A46),"","I"&amp;COUNTA($A$31:A46))</f>
        <v>I16</v>
      </c>
      <c r="C46" s="526" t="s">
        <v>51</v>
      </c>
      <c r="D46" s="79" t="s">
        <v>22</v>
      </c>
      <c r="E46" s="79" t="s">
        <v>24</v>
      </c>
      <c r="F46" s="481">
        <v>-84800</v>
      </c>
      <c r="G46" s="481">
        <v>-88700</v>
      </c>
      <c r="H46" s="481">
        <v>-88200</v>
      </c>
      <c r="I46" s="481">
        <v>-91500</v>
      </c>
      <c r="J46" s="38" t="s">
        <v>404</v>
      </c>
    </row>
    <row r="47" spans="1:18" s="38" customFormat="1" ht="22.5" x14ac:dyDescent="0.25">
      <c r="A47" s="78" t="s">
        <v>22</v>
      </c>
      <c r="B47" s="78" t="str">
        <f>IF(ISBLANK(A47),"","I"&amp;COUNTA($A$31:A47))</f>
        <v>I17</v>
      </c>
      <c r="C47" s="526" t="s">
        <v>52</v>
      </c>
      <c r="D47" s="79" t="s">
        <v>22</v>
      </c>
      <c r="E47" s="79" t="s">
        <v>24</v>
      </c>
      <c r="F47" s="481">
        <v>84800</v>
      </c>
      <c r="G47" s="481">
        <v>88700</v>
      </c>
      <c r="H47" s="481">
        <v>88200</v>
      </c>
      <c r="I47" s="481">
        <v>91500</v>
      </c>
      <c r="J47" s="38" t="s">
        <v>404</v>
      </c>
    </row>
    <row r="48" spans="1:18" s="38" customFormat="1" ht="22.5" x14ac:dyDescent="0.25">
      <c r="A48" s="78" t="s">
        <v>22</v>
      </c>
      <c r="B48" s="78" t="str">
        <f>IF(ISBLANK(A48),"","I"&amp;COUNTA($A$31:A48))</f>
        <v>I18</v>
      </c>
      <c r="C48" s="526" t="s">
        <v>53</v>
      </c>
      <c r="D48" s="79" t="s">
        <v>22</v>
      </c>
      <c r="E48" s="79" t="s">
        <v>24</v>
      </c>
      <c r="F48" s="481">
        <v>-16700</v>
      </c>
      <c r="G48" s="481">
        <v>-15600</v>
      </c>
      <c r="H48" s="481">
        <v>-14000</v>
      </c>
      <c r="I48" s="481">
        <v>-12900</v>
      </c>
      <c r="J48" s="38" t="s">
        <v>404</v>
      </c>
    </row>
    <row r="49" spans="1:11" s="38" customFormat="1" ht="22.5" x14ac:dyDescent="0.25">
      <c r="A49" s="78" t="s">
        <v>22</v>
      </c>
      <c r="B49" s="78" t="str">
        <f>IF(ISBLANK(A49),"","I"&amp;COUNTA($A$31:A49))</f>
        <v>I19</v>
      </c>
      <c r="C49" s="526" t="s">
        <v>54</v>
      </c>
      <c r="D49" s="79" t="s">
        <v>22</v>
      </c>
      <c r="E49" s="79" t="s">
        <v>24</v>
      </c>
      <c r="F49" s="481">
        <v>-136700</v>
      </c>
      <c r="G49" s="481">
        <v>-140600</v>
      </c>
      <c r="H49" s="481">
        <v>-144500</v>
      </c>
      <c r="I49" s="481">
        <v>-148400</v>
      </c>
      <c r="J49" s="38" t="s">
        <v>405</v>
      </c>
    </row>
    <row r="50" spans="1:11" s="38" customFormat="1" ht="22.5" x14ac:dyDescent="0.25">
      <c r="A50" s="78" t="s">
        <v>22</v>
      </c>
      <c r="B50" s="78" t="str">
        <f>IF(ISBLANK(A50),"","I"&amp;COUNTA($A$31:A50))</f>
        <v>I20</v>
      </c>
      <c r="C50" s="526" t="s">
        <v>55</v>
      </c>
      <c r="D50" s="79" t="s">
        <v>22</v>
      </c>
      <c r="E50" s="79" t="s">
        <v>24</v>
      </c>
      <c r="F50" s="481">
        <v>-1339</v>
      </c>
      <c r="G50" s="481">
        <v>-1607</v>
      </c>
      <c r="H50" s="481">
        <v>-1607</v>
      </c>
      <c r="I50" s="481">
        <v>-1607</v>
      </c>
      <c r="J50" s="144" t="s">
        <v>377</v>
      </c>
    </row>
    <row r="51" spans="1:11" s="38" customFormat="1" ht="22.5" x14ac:dyDescent="0.25">
      <c r="A51" s="78" t="s">
        <v>22</v>
      </c>
      <c r="B51" s="78" t="str">
        <f>IF(ISBLANK(A51),"","I"&amp;COUNTA($A$31:A51))</f>
        <v>I21</v>
      </c>
      <c r="C51" s="526" t="s">
        <v>57</v>
      </c>
      <c r="D51" s="79" t="s">
        <v>22</v>
      </c>
      <c r="E51" s="79" t="s">
        <v>24</v>
      </c>
      <c r="F51" s="481">
        <v>-2000</v>
      </c>
      <c r="G51" s="481">
        <v>-2000</v>
      </c>
      <c r="H51" s="481">
        <v>-2000</v>
      </c>
      <c r="I51" s="481">
        <v>-2000</v>
      </c>
      <c r="J51" s="144" t="s">
        <v>58</v>
      </c>
    </row>
    <row r="52" spans="1:11" s="38" customFormat="1" ht="22.5" x14ac:dyDescent="0.25">
      <c r="A52" s="78" t="s">
        <v>22</v>
      </c>
      <c r="B52" s="78" t="str">
        <f>IF(ISBLANK(A52),"","I"&amp;COUNTA($A$31:A52))</f>
        <v>I22</v>
      </c>
      <c r="C52" s="526" t="s">
        <v>59</v>
      </c>
      <c r="D52" s="79" t="s">
        <v>22</v>
      </c>
      <c r="E52" s="79" t="s">
        <v>24</v>
      </c>
      <c r="F52" s="481">
        <v>-5300</v>
      </c>
      <c r="G52" s="481">
        <v>-5000</v>
      </c>
      <c r="H52" s="481">
        <v>-4600</v>
      </c>
      <c r="I52" s="481">
        <v>-4300</v>
      </c>
      <c r="J52" s="38" t="s">
        <v>404</v>
      </c>
    </row>
    <row r="53" spans="1:11" s="38" customFormat="1" ht="22.5" x14ac:dyDescent="0.25">
      <c r="A53" s="78" t="s">
        <v>22</v>
      </c>
      <c r="B53" s="78" t="str">
        <f>IF(ISBLANK(A53),"","I"&amp;COUNTA($A$31:A53))</f>
        <v>I23</v>
      </c>
      <c r="C53" s="526" t="s">
        <v>60</v>
      </c>
      <c r="D53" s="79" t="s">
        <v>22</v>
      </c>
      <c r="E53" s="79" t="s">
        <v>24</v>
      </c>
      <c r="F53" s="481"/>
      <c r="G53" s="481"/>
      <c r="H53" s="481"/>
      <c r="I53" s="481"/>
      <c r="J53" s="144" t="s">
        <v>61</v>
      </c>
    </row>
    <row r="54" spans="1:11" s="38" customFormat="1" ht="25.5" customHeight="1" x14ac:dyDescent="0.25">
      <c r="A54" s="78" t="s">
        <v>22</v>
      </c>
      <c r="B54" s="78" t="str">
        <f>IF(ISBLANK(A54),"","I"&amp;COUNTA($A$31:A54))</f>
        <v>I24</v>
      </c>
      <c r="C54" s="526" t="s">
        <v>62</v>
      </c>
      <c r="D54" s="79" t="s">
        <v>22</v>
      </c>
      <c r="E54" s="79" t="s">
        <v>24</v>
      </c>
      <c r="F54" s="481">
        <v>-500</v>
      </c>
      <c r="G54" s="481">
        <v>-500</v>
      </c>
      <c r="H54" s="481">
        <v>-500</v>
      </c>
      <c r="I54" s="481">
        <v>-500</v>
      </c>
      <c r="J54" s="144" t="s">
        <v>63</v>
      </c>
    </row>
    <row r="55" spans="1:11" s="38" customFormat="1" ht="22.5" x14ac:dyDescent="0.25">
      <c r="A55" s="78" t="s">
        <v>22</v>
      </c>
      <c r="B55" s="78" t="str">
        <f>IF(ISBLANK(A55),"","I"&amp;COUNTA($A$31:A55))</f>
        <v>I25</v>
      </c>
      <c r="C55" s="526" t="s">
        <v>64</v>
      </c>
      <c r="D55" s="79" t="s">
        <v>22</v>
      </c>
      <c r="E55" s="79" t="s">
        <v>24</v>
      </c>
      <c r="F55" s="595">
        <v>225000</v>
      </c>
      <c r="G55" s="595">
        <v>180000</v>
      </c>
      <c r="H55" s="595">
        <v>180000</v>
      </c>
      <c r="I55" s="595">
        <v>180000</v>
      </c>
      <c r="J55" s="38" t="s">
        <v>378</v>
      </c>
    </row>
    <row r="56" spans="1:11" s="38" customFormat="1" ht="22.5" x14ac:dyDescent="0.25">
      <c r="A56" s="78" t="s">
        <v>22</v>
      </c>
      <c r="B56" s="78" t="str">
        <f>IF(ISBLANK(A56),"","I"&amp;COUNTA($A$31:A56))</f>
        <v>I26</v>
      </c>
      <c r="C56" s="98" t="s">
        <v>68</v>
      </c>
      <c r="D56" s="79" t="s">
        <v>22</v>
      </c>
      <c r="E56" s="79" t="s">
        <v>24</v>
      </c>
      <c r="F56" s="481"/>
      <c r="G56" s="481"/>
      <c r="H56" s="481"/>
      <c r="I56" s="481"/>
    </row>
    <row r="57" spans="1:11" s="38" customFormat="1" ht="22.5" x14ac:dyDescent="0.25">
      <c r="A57" s="78" t="s">
        <v>22</v>
      </c>
      <c r="B57" s="78" t="str">
        <f>IF(ISBLANK(A57),"","I"&amp;COUNTA($A$31:A57))</f>
        <v>I27</v>
      </c>
      <c r="C57" s="526" t="s">
        <v>69</v>
      </c>
      <c r="D57" s="79" t="s">
        <v>22</v>
      </c>
      <c r="E57" s="79" t="s">
        <v>24</v>
      </c>
      <c r="F57" s="481">
        <v>340000</v>
      </c>
      <c r="G57" s="481">
        <v>350000</v>
      </c>
      <c r="H57" s="481">
        <v>360000</v>
      </c>
      <c r="I57" s="481">
        <v>370000</v>
      </c>
      <c r="J57" s="38" t="s">
        <v>70</v>
      </c>
    </row>
    <row r="58" spans="1:11" s="38" customFormat="1" ht="22.5" x14ac:dyDescent="0.25">
      <c r="A58" s="45" t="s">
        <v>22</v>
      </c>
      <c r="B58" s="78" t="str">
        <f>IF(ISBLANK(A58),"","I"&amp;COUNTA($A$31:A58))</f>
        <v>I28</v>
      </c>
      <c r="C58" s="526" t="s">
        <v>71</v>
      </c>
      <c r="D58" s="79" t="s">
        <v>22</v>
      </c>
      <c r="E58" s="79" t="s">
        <v>24</v>
      </c>
      <c r="F58" s="481">
        <v>-340000</v>
      </c>
      <c r="G58" s="481">
        <v>-350000</v>
      </c>
      <c r="H58" s="481">
        <v>-360000</v>
      </c>
      <c r="I58" s="481">
        <v>-370000</v>
      </c>
      <c r="J58" s="38" t="s">
        <v>70</v>
      </c>
    </row>
    <row r="59" spans="1:11" s="38" customFormat="1" ht="22.5" x14ac:dyDescent="0.25">
      <c r="A59" s="45" t="s">
        <v>22</v>
      </c>
      <c r="B59" s="78" t="str">
        <f>IF(ISBLANK(A59),"","I"&amp;COUNTA($A$31:A59))</f>
        <v>I29</v>
      </c>
      <c r="C59" s="526" t="s">
        <v>72</v>
      </c>
      <c r="D59" s="79" t="s">
        <v>22</v>
      </c>
      <c r="E59" s="79" t="s">
        <v>24</v>
      </c>
      <c r="F59" s="481">
        <v>-27043</v>
      </c>
      <c r="G59" s="481">
        <v>-27162</v>
      </c>
      <c r="H59" s="481">
        <v>-28274</v>
      </c>
      <c r="I59" s="481">
        <v>-30191</v>
      </c>
      <c r="J59" s="293" t="s">
        <v>73</v>
      </c>
    </row>
    <row r="60" spans="1:11" s="38" customFormat="1" ht="22.5" x14ac:dyDescent="0.25">
      <c r="A60" s="45" t="s">
        <v>22</v>
      </c>
      <c r="B60" s="78" t="str">
        <f>IF(ISBLANK(A60),"","I"&amp;COUNTA($A$31:A60))</f>
        <v>I30</v>
      </c>
      <c r="C60" s="526" t="s">
        <v>74</v>
      </c>
      <c r="D60" s="79" t="s">
        <v>22</v>
      </c>
      <c r="E60" s="79" t="s">
        <v>24</v>
      </c>
      <c r="F60" s="481">
        <v>-54620</v>
      </c>
      <c r="G60" s="481">
        <v>-59551</v>
      </c>
      <c r="H60" s="481">
        <v>-65379</v>
      </c>
      <c r="I60" s="481">
        <v>-71940</v>
      </c>
      <c r="J60" s="293" t="s">
        <v>73</v>
      </c>
    </row>
    <row r="61" spans="1:11" s="38" customFormat="1" ht="22.5" x14ac:dyDescent="0.25">
      <c r="A61" s="45" t="s">
        <v>22</v>
      </c>
      <c r="B61" s="78" t="str">
        <f>IF(ISBLANK(A61),"","I"&amp;COUNTA($A$31:A61))</f>
        <v>I31</v>
      </c>
      <c r="C61" s="98" t="s">
        <v>75</v>
      </c>
      <c r="D61" s="79" t="s">
        <v>22</v>
      </c>
      <c r="E61" s="79" t="s">
        <v>24</v>
      </c>
      <c r="F61" s="481">
        <v>-759</v>
      </c>
      <c r="G61" s="481">
        <v>-1311</v>
      </c>
      <c r="H61" s="481">
        <v>-2837</v>
      </c>
      <c r="I61" s="481">
        <v>-3574</v>
      </c>
      <c r="J61" s="293" t="s">
        <v>73</v>
      </c>
    </row>
    <row r="62" spans="1:11" s="38" customFormat="1" ht="22.5" x14ac:dyDescent="0.25">
      <c r="A62" s="78" t="s">
        <v>22</v>
      </c>
      <c r="B62" s="78" t="str">
        <f>IF(ISBLANK(A62),"","I"&amp;COUNTA($A$31:A62))</f>
        <v>I32</v>
      </c>
      <c r="C62" s="98"/>
      <c r="D62" s="79" t="s">
        <v>22</v>
      </c>
      <c r="E62" s="79" t="s">
        <v>24</v>
      </c>
      <c r="F62" s="90"/>
      <c r="G62" s="90"/>
      <c r="H62" s="90"/>
      <c r="I62" s="90"/>
      <c r="K62" s="38" t="str">
        <f>IF(ISBLANK(C62),"","I"&amp;COUNTA($C$31:C62))</f>
        <v/>
      </c>
    </row>
    <row r="63" spans="1:11" s="38" customFormat="1" ht="22.5" x14ac:dyDescent="0.25">
      <c r="A63" s="78" t="s">
        <v>22</v>
      </c>
      <c r="B63" s="78" t="str">
        <f>IF(ISBLANK(A63),"","I"&amp;COUNTA($A$31:A63))</f>
        <v>I33</v>
      </c>
      <c r="C63" s="98"/>
      <c r="D63" s="79" t="s">
        <v>22</v>
      </c>
      <c r="E63" s="79" t="s">
        <v>24</v>
      </c>
      <c r="F63" s="90"/>
      <c r="G63" s="90"/>
      <c r="H63" s="90"/>
      <c r="I63" s="90"/>
      <c r="K63" s="38" t="str">
        <f>IF(ISBLANK(C63),"","I"&amp;COUNTA($C$31:C63))</f>
        <v/>
      </c>
    </row>
    <row r="64" spans="1:11" s="38" customFormat="1" x14ac:dyDescent="0.25">
      <c r="A64" s="244"/>
      <c r="B64" s="244"/>
      <c r="C64" s="245"/>
      <c r="D64" s="214"/>
      <c r="E64" s="111"/>
      <c r="F64" s="110"/>
      <c r="G64" s="110"/>
      <c r="H64" s="110"/>
      <c r="I64" s="110"/>
      <c r="K64" s="38" t="str">
        <f>IF(ISBLANK(C64),"","I"&amp;COUNTA($C$31:C64))</f>
        <v/>
      </c>
    </row>
    <row r="65" spans="1:10" s="38" customFormat="1" x14ac:dyDescent="0.25">
      <c r="A65" s="43"/>
      <c r="B65" s="43"/>
      <c r="C65" s="3" t="s">
        <v>76</v>
      </c>
      <c r="D65" s="63"/>
      <c r="E65" s="63"/>
      <c r="F65" s="9">
        <f>SUMIF($A:$A,"SENT.INNT",F:F)</f>
        <v>-5249283</v>
      </c>
      <c r="G65" s="9">
        <f>SUMIF($A:$A,"SENT.INNT",G:G)</f>
        <v>-5269338</v>
      </c>
      <c r="H65" s="9">
        <f>SUMIF($A:$A,"SENT.INNT",H:H)</f>
        <v>-5227215</v>
      </c>
      <c r="I65" s="9">
        <f>SUMIF($A:$A,"SENT.INNT",I:I)</f>
        <v>-5232650</v>
      </c>
    </row>
    <row r="66" spans="1:10" s="38" customFormat="1" x14ac:dyDescent="0.25">
      <c r="A66" s="46"/>
      <c r="B66" s="46"/>
      <c r="C66" s="3" t="s">
        <v>77</v>
      </c>
      <c r="D66" s="52"/>
      <c r="E66" s="52"/>
      <c r="F66" s="9">
        <f>F4</f>
        <v>4902782</v>
      </c>
      <c r="G66" s="9">
        <f>G4</f>
        <v>4902782</v>
      </c>
      <c r="H66" s="9">
        <f>H4</f>
        <v>4902782</v>
      </c>
      <c r="I66" s="9">
        <f>I4</f>
        <v>4902782</v>
      </c>
    </row>
    <row r="67" spans="1:10" s="38" customFormat="1" x14ac:dyDescent="0.25">
      <c r="A67" s="43"/>
      <c r="B67" s="43"/>
      <c r="C67" s="3" t="s">
        <v>78</v>
      </c>
      <c r="D67" s="52"/>
      <c r="E67" s="52"/>
      <c r="F67" s="9">
        <f>F65+F66</f>
        <v>-346501</v>
      </c>
      <c r="G67" s="9">
        <f>G65+G66</f>
        <v>-366556</v>
      </c>
      <c r="H67" s="9">
        <f>H65+H66</f>
        <v>-324433</v>
      </c>
      <c r="I67" s="9">
        <f>I65+I66</f>
        <v>-329868</v>
      </c>
    </row>
    <row r="68" spans="1:10" s="38" customFormat="1" x14ac:dyDescent="0.25">
      <c r="A68" s="47"/>
      <c r="B68" s="47"/>
      <c r="C68" s="11"/>
      <c r="D68" s="49"/>
      <c r="E68" s="49"/>
      <c r="F68" s="12"/>
      <c r="G68" s="12"/>
      <c r="H68" s="12"/>
      <c r="I68" s="12"/>
    </row>
    <row r="69" spans="1:10" s="1" customFormat="1" x14ac:dyDescent="0.25">
      <c r="A69" s="48"/>
      <c r="B69" s="48"/>
      <c r="C69" s="13" t="s">
        <v>79</v>
      </c>
      <c r="D69" s="50"/>
      <c r="E69" s="50"/>
      <c r="F69" s="14"/>
      <c r="G69" s="14"/>
      <c r="H69" s="14"/>
      <c r="I69" s="14"/>
    </row>
    <row r="70" spans="1:10" s="38" customFormat="1" x14ac:dyDescent="0.25">
      <c r="A70" s="72"/>
      <c r="B70" s="341"/>
      <c r="C70" s="246" t="s">
        <v>80</v>
      </c>
      <c r="D70" s="83"/>
      <c r="E70" s="83"/>
      <c r="F70" s="4">
        <v>2023</v>
      </c>
      <c r="G70" s="4">
        <v>2024</v>
      </c>
      <c r="H70" s="4">
        <f>G70+1</f>
        <v>2025</v>
      </c>
      <c r="I70" s="4">
        <f>H70+1</f>
        <v>2026</v>
      </c>
    </row>
    <row r="71" spans="1:10" s="38" customFormat="1" ht="14.25" customHeight="1" x14ac:dyDescent="0.25">
      <c r="A71" s="78" t="s">
        <v>81</v>
      </c>
      <c r="B71" s="78" t="str">
        <f>IF(ISBLANK(A71),"","OV"&amp;COUNTA($A$71:A71))</f>
        <v>OV1</v>
      </c>
      <c r="C71" s="245" t="s">
        <v>82</v>
      </c>
      <c r="D71" s="72" t="s">
        <v>83</v>
      </c>
      <c r="E71" s="79" t="s">
        <v>84</v>
      </c>
      <c r="F71" s="217">
        <v>9023</v>
      </c>
      <c r="G71" s="217">
        <v>12060</v>
      </c>
      <c r="H71" s="217">
        <v>12626</v>
      </c>
      <c r="I71" s="217">
        <v>11906</v>
      </c>
      <c r="J71" s="38" t="s">
        <v>321</v>
      </c>
    </row>
    <row r="72" spans="1:10" s="38" customFormat="1" x14ac:dyDescent="0.25">
      <c r="A72" s="78" t="s">
        <v>81</v>
      </c>
      <c r="B72" s="78" t="str">
        <f>IF(ISBLANK(A72),"","OV"&amp;COUNTA($A$71:A72))</f>
        <v>OV2</v>
      </c>
      <c r="C72" s="245" t="s">
        <v>85</v>
      </c>
      <c r="D72" s="72" t="s">
        <v>83</v>
      </c>
      <c r="E72" s="79" t="s">
        <v>84</v>
      </c>
      <c r="F72" s="217">
        <v>877</v>
      </c>
      <c r="G72" s="217">
        <v>877</v>
      </c>
      <c r="H72" s="217">
        <v>877</v>
      </c>
      <c r="I72" s="217">
        <v>877</v>
      </c>
      <c r="J72" s="38" t="s">
        <v>321</v>
      </c>
    </row>
    <row r="73" spans="1:10" s="38" customFormat="1" x14ac:dyDescent="0.25">
      <c r="A73" s="78" t="s">
        <v>81</v>
      </c>
      <c r="B73" s="78" t="str">
        <f>IF(ISBLANK(A73),"","OV"&amp;COUNTA($A$71:A73))</f>
        <v>OV3</v>
      </c>
      <c r="C73" s="245" t="s">
        <v>86</v>
      </c>
      <c r="D73" s="72" t="s">
        <v>83</v>
      </c>
      <c r="E73" s="79" t="s">
        <v>84</v>
      </c>
      <c r="F73" s="217">
        <v>1456</v>
      </c>
      <c r="G73" s="217">
        <v>1946</v>
      </c>
      <c r="H73" s="217">
        <v>2038</v>
      </c>
      <c r="I73" s="217">
        <v>1922</v>
      </c>
      <c r="J73" s="38" t="s">
        <v>321</v>
      </c>
    </row>
    <row r="74" spans="1:10" s="38" customFormat="1" x14ac:dyDescent="0.25">
      <c r="A74" s="78" t="s">
        <v>81</v>
      </c>
      <c r="B74" s="78" t="str">
        <f>IF(ISBLANK(A74),"","OV"&amp;COUNTA($A$71:A74))</f>
        <v>OV4</v>
      </c>
      <c r="C74" s="245" t="s">
        <v>87</v>
      </c>
      <c r="D74" s="72" t="s">
        <v>83</v>
      </c>
      <c r="E74" s="79" t="s">
        <v>84</v>
      </c>
      <c r="F74" s="217">
        <v>142</v>
      </c>
      <c r="G74" s="217">
        <v>142</v>
      </c>
      <c r="H74" s="217">
        <v>142</v>
      </c>
      <c r="I74" s="217">
        <v>142</v>
      </c>
      <c r="J74" s="38" t="s">
        <v>321</v>
      </c>
    </row>
    <row r="75" spans="1:10" s="38" customFormat="1" x14ac:dyDescent="0.25">
      <c r="A75" s="78" t="s">
        <v>81</v>
      </c>
      <c r="B75" s="78" t="str">
        <f>IF(ISBLANK(A75),"","OV"&amp;COUNTA($A$71:A75))</f>
        <v>OV5</v>
      </c>
      <c r="C75" s="245" t="s">
        <v>88</v>
      </c>
      <c r="D75" s="72" t="s">
        <v>89</v>
      </c>
      <c r="E75" s="79" t="s">
        <v>84</v>
      </c>
      <c r="F75" s="217">
        <v>0</v>
      </c>
      <c r="G75" s="217">
        <v>-852</v>
      </c>
      <c r="H75" s="217">
        <v>-852</v>
      </c>
      <c r="I75" s="217">
        <v>-852</v>
      </c>
    </row>
    <row r="76" spans="1:10" s="38" customFormat="1" x14ac:dyDescent="0.25">
      <c r="A76" s="78" t="s">
        <v>81</v>
      </c>
      <c r="B76" s="78" t="str">
        <f>IF(ISBLANK(A76),"","OV"&amp;COUNTA($A$71:A76))</f>
        <v>OV6</v>
      </c>
      <c r="C76" s="245" t="s">
        <v>406</v>
      </c>
      <c r="D76" s="72" t="s">
        <v>91</v>
      </c>
      <c r="E76" s="79">
        <v>1</v>
      </c>
      <c r="F76" s="398">
        <v>8700</v>
      </c>
      <c r="G76" s="398">
        <v>8700</v>
      </c>
      <c r="H76" s="398">
        <v>8700</v>
      </c>
      <c r="I76" s="398">
        <v>8700</v>
      </c>
      <c r="J76" s="293"/>
    </row>
    <row r="77" spans="1:10" s="38" customFormat="1" ht="25.5" x14ac:dyDescent="0.25">
      <c r="A77" s="78" t="s">
        <v>81</v>
      </c>
      <c r="B77" s="78" t="str">
        <f>IF(ISBLANK(A77),"","OV"&amp;COUNTA($A$71:A77))</f>
        <v>OV7</v>
      </c>
      <c r="C77" s="569" t="s">
        <v>407</v>
      </c>
      <c r="D77" s="570" t="s">
        <v>91</v>
      </c>
      <c r="E77" s="568" t="s">
        <v>24</v>
      </c>
      <c r="F77" s="575">
        <v>6000</v>
      </c>
      <c r="G77" s="575">
        <v>6000</v>
      </c>
      <c r="H77" s="575"/>
      <c r="I77" s="575"/>
      <c r="J77" s="95">
        <f>F77+F85+F93+F100+F101+F102+F133+F135+F136+F137</f>
        <v>69000</v>
      </c>
    </row>
    <row r="78" spans="1:10" s="38" customFormat="1" x14ac:dyDescent="0.25">
      <c r="A78" s="78" t="s">
        <v>81</v>
      </c>
      <c r="B78" s="78" t="str">
        <f>IF(ISBLANK(A78),"","OV"&amp;COUNTA($A$71:A78))</f>
        <v>OV8</v>
      </c>
      <c r="C78" s="245" t="s">
        <v>93</v>
      </c>
      <c r="D78" s="72" t="s">
        <v>83</v>
      </c>
      <c r="E78" s="79" t="s">
        <v>84</v>
      </c>
      <c r="F78" s="217">
        <v>157</v>
      </c>
      <c r="G78" s="217">
        <v>210</v>
      </c>
      <c r="H78" s="217">
        <v>220</v>
      </c>
      <c r="I78" s="217">
        <v>208</v>
      </c>
      <c r="J78" s="38" t="s">
        <v>321</v>
      </c>
    </row>
    <row r="79" spans="1:10" s="38" customFormat="1" x14ac:dyDescent="0.25">
      <c r="A79" s="78" t="s">
        <v>81</v>
      </c>
      <c r="B79" s="78" t="str">
        <f>IF(ISBLANK(A79),"","OV"&amp;COUNTA($A$71:A79))</f>
        <v>OV9</v>
      </c>
      <c r="C79" s="245" t="s">
        <v>94</v>
      </c>
      <c r="D79" s="72" t="s">
        <v>83</v>
      </c>
      <c r="E79" s="79" t="s">
        <v>84</v>
      </c>
      <c r="F79" s="217">
        <v>15</v>
      </c>
      <c r="G79" s="217">
        <v>15</v>
      </c>
      <c r="H79" s="217">
        <v>15</v>
      </c>
      <c r="I79" s="217">
        <v>15</v>
      </c>
      <c r="J79" s="38" t="s">
        <v>321</v>
      </c>
    </row>
    <row r="80" spans="1:10" s="38" customFormat="1" x14ac:dyDescent="0.25">
      <c r="A80" s="78" t="s">
        <v>81</v>
      </c>
      <c r="B80" s="78" t="str">
        <f>IF(ISBLANK(A80),"","OV"&amp;COUNTA($A$71:A80))</f>
        <v>OV10</v>
      </c>
      <c r="C80" s="245" t="s">
        <v>95</v>
      </c>
      <c r="D80" s="72" t="s">
        <v>83</v>
      </c>
      <c r="E80" s="79" t="s">
        <v>84</v>
      </c>
      <c r="F80" s="217">
        <v>12550</v>
      </c>
      <c r="G80" s="217">
        <v>12550</v>
      </c>
      <c r="H80" s="217">
        <v>12550</v>
      </c>
      <c r="I80" s="217">
        <v>12550</v>
      </c>
    </row>
    <row r="81" spans="1:11" s="38" customFormat="1" x14ac:dyDescent="0.25">
      <c r="A81" s="78" t="s">
        <v>81</v>
      </c>
      <c r="B81" s="78" t="str">
        <f>IF(ISBLANK(A81),"","OV"&amp;COUNTA($A$71:A81))</f>
        <v>OV11</v>
      </c>
      <c r="C81" s="245" t="s">
        <v>96</v>
      </c>
      <c r="D81" s="72" t="s">
        <v>83</v>
      </c>
      <c r="E81" s="79" t="s">
        <v>84</v>
      </c>
      <c r="F81" s="217">
        <v>-12550</v>
      </c>
      <c r="G81" s="217">
        <v>-12550</v>
      </c>
      <c r="H81" s="217">
        <v>-12550</v>
      </c>
      <c r="I81" s="217">
        <v>-12550</v>
      </c>
    </row>
    <row r="82" spans="1:11" s="38" customFormat="1" x14ac:dyDescent="0.25">
      <c r="A82" s="78" t="s">
        <v>81</v>
      </c>
      <c r="B82" s="78" t="str">
        <f>IF(ISBLANK(A82),"","OV"&amp;COUNTA($A$71:A82))</f>
        <v>OV12</v>
      </c>
      <c r="C82" s="245" t="s">
        <v>101</v>
      </c>
      <c r="D82" s="72" t="s">
        <v>91</v>
      </c>
      <c r="E82" s="79" t="s">
        <v>24</v>
      </c>
      <c r="F82" s="217">
        <v>600</v>
      </c>
      <c r="G82" s="217">
        <v>600</v>
      </c>
      <c r="H82" s="217">
        <v>600</v>
      </c>
      <c r="I82" s="217">
        <v>600</v>
      </c>
    </row>
    <row r="83" spans="1:11" s="38" customFormat="1" x14ac:dyDescent="0.25">
      <c r="A83" s="78" t="s">
        <v>81</v>
      </c>
      <c r="B83" s="78" t="str">
        <f>IF(ISBLANK(A83),"","OV"&amp;COUNTA($A$71:A83))</f>
        <v>OV13</v>
      </c>
      <c r="C83" s="245" t="s">
        <v>102</v>
      </c>
      <c r="D83" s="72" t="s">
        <v>91</v>
      </c>
      <c r="E83" s="79" t="s">
        <v>24</v>
      </c>
      <c r="F83" s="217">
        <v>840</v>
      </c>
      <c r="G83" s="217">
        <v>840</v>
      </c>
      <c r="H83" s="217">
        <v>840</v>
      </c>
      <c r="I83" s="217">
        <v>840</v>
      </c>
    </row>
    <row r="84" spans="1:11" s="38" customFormat="1" x14ac:dyDescent="0.25">
      <c r="A84" s="78" t="s">
        <v>81</v>
      </c>
      <c r="B84" s="78" t="str">
        <f>IF(ISBLANK(A84),"","OV"&amp;COUNTA($A$71:A84))</f>
        <v>OV14</v>
      </c>
      <c r="C84" s="343" t="s">
        <v>460</v>
      </c>
      <c r="D84" s="288" t="s">
        <v>91</v>
      </c>
      <c r="E84" s="288">
        <v>3</v>
      </c>
      <c r="F84" s="345">
        <v>1800</v>
      </c>
      <c r="G84" s="345">
        <v>1800</v>
      </c>
      <c r="H84" s="345">
        <v>1800</v>
      </c>
      <c r="I84" s="345">
        <v>1800</v>
      </c>
    </row>
    <row r="85" spans="1:11" s="38" customFormat="1" x14ac:dyDescent="0.25">
      <c r="A85" s="78" t="s">
        <v>81</v>
      </c>
      <c r="B85" s="78" t="str">
        <f>IF(ISBLANK(A85),"","OV"&amp;COUNTA($A$71:A85))</f>
        <v>OV15</v>
      </c>
      <c r="C85" s="569" t="s">
        <v>408</v>
      </c>
      <c r="D85" s="570" t="s">
        <v>91</v>
      </c>
      <c r="E85" s="568" t="s">
        <v>24</v>
      </c>
      <c r="F85" s="575">
        <v>5000</v>
      </c>
      <c r="G85" s="575">
        <v>5000</v>
      </c>
      <c r="H85" s="575"/>
      <c r="I85" s="575"/>
      <c r="J85" s="572" t="s">
        <v>324</v>
      </c>
    </row>
    <row r="86" spans="1:11" x14ac:dyDescent="0.25">
      <c r="A86" s="78" t="s">
        <v>81</v>
      </c>
      <c r="B86" s="78" t="str">
        <f>IF(ISBLANK(A86),"","OV"&amp;COUNTA($A$71:A86))</f>
        <v>OV16</v>
      </c>
      <c r="C86" s="245" t="s">
        <v>409</v>
      </c>
      <c r="D86" s="72" t="s">
        <v>91</v>
      </c>
      <c r="E86" s="79" t="s">
        <v>24</v>
      </c>
      <c r="F86" s="217">
        <v>6000</v>
      </c>
      <c r="G86" s="217">
        <v>6000</v>
      </c>
      <c r="H86" s="217">
        <v>6000</v>
      </c>
      <c r="I86" s="217">
        <v>6000</v>
      </c>
      <c r="K86" s="38"/>
    </row>
    <row r="87" spans="1:11" x14ac:dyDescent="0.25">
      <c r="A87" s="78" t="s">
        <v>81</v>
      </c>
      <c r="B87" s="78" t="str">
        <f>IF(ISBLANK(A87),"","OV"&amp;COUNTA($A$71:A87))</f>
        <v>OV17</v>
      </c>
      <c r="C87" s="245" t="s">
        <v>461</v>
      </c>
      <c r="D87" s="72" t="s">
        <v>91</v>
      </c>
      <c r="E87" s="71">
        <v>2</v>
      </c>
      <c r="F87" s="217">
        <v>1450</v>
      </c>
      <c r="G87" s="217">
        <v>1800</v>
      </c>
      <c r="H87" s="217">
        <v>1800</v>
      </c>
      <c r="I87" s="217">
        <v>1800</v>
      </c>
      <c r="K87" s="38"/>
    </row>
    <row r="88" spans="1:11" s="38" customFormat="1" x14ac:dyDescent="0.25">
      <c r="A88" s="78" t="s">
        <v>81</v>
      </c>
      <c r="B88" s="78" t="str">
        <f>IF(ISBLANK(A88),"","OV"&amp;COUNTA($A$71:A88))</f>
        <v>OV18</v>
      </c>
      <c r="C88" s="245" t="s">
        <v>410</v>
      </c>
      <c r="D88" s="72" t="s">
        <v>91</v>
      </c>
      <c r="E88" s="71" t="s">
        <v>24</v>
      </c>
      <c r="F88" s="484">
        <v>18500</v>
      </c>
      <c r="G88" s="484">
        <v>18500</v>
      </c>
      <c r="H88" s="484">
        <v>18500</v>
      </c>
      <c r="I88" s="484">
        <v>18500</v>
      </c>
    </row>
    <row r="89" spans="1:11" s="1" customFormat="1" x14ac:dyDescent="0.25">
      <c r="A89" s="78"/>
      <c r="B89" s="78" t="str">
        <f>IF(ISBLANK(A89),"","OV"&amp;COUNTA($A$71:A89))</f>
        <v/>
      </c>
      <c r="C89" s="16" t="s">
        <v>112</v>
      </c>
      <c r="D89" s="50"/>
      <c r="E89" s="50"/>
      <c r="F89" s="4">
        <f>F70</f>
        <v>2023</v>
      </c>
      <c r="G89" s="4">
        <f>F89+1</f>
        <v>2024</v>
      </c>
      <c r="H89" s="4">
        <f>G89+1</f>
        <v>2025</v>
      </c>
      <c r="I89" s="4">
        <f>H89+1</f>
        <v>2026</v>
      </c>
      <c r="K89" s="38"/>
    </row>
    <row r="90" spans="1:11" s="38" customFormat="1" x14ac:dyDescent="0.25">
      <c r="A90" s="78" t="s">
        <v>81</v>
      </c>
      <c r="B90" s="78" t="str">
        <f>IF(ISBLANK(A90),"","OV"&amp;COUNTA($A$71:A90))</f>
        <v>OV19</v>
      </c>
      <c r="C90" s="480" t="s">
        <v>113</v>
      </c>
      <c r="D90" s="79" t="s">
        <v>83</v>
      </c>
      <c r="E90" s="79" t="s">
        <v>84</v>
      </c>
      <c r="F90" s="413">
        <v>31300</v>
      </c>
      <c r="G90" s="413">
        <v>31300</v>
      </c>
      <c r="H90" s="413">
        <v>31300</v>
      </c>
      <c r="I90" s="413">
        <v>31300</v>
      </c>
      <c r="J90" s="144" t="s">
        <v>379</v>
      </c>
    </row>
    <row r="91" spans="1:11" s="38" customFormat="1" x14ac:dyDescent="0.25">
      <c r="A91" s="78" t="s">
        <v>81</v>
      </c>
      <c r="B91" s="78" t="str">
        <f>IF(ISBLANK(A91),"","OV"&amp;COUNTA($A$71:A91))</f>
        <v>OV20</v>
      </c>
      <c r="C91" s="480" t="s">
        <v>114</v>
      </c>
      <c r="D91" s="79" t="s">
        <v>91</v>
      </c>
      <c r="E91" s="79" t="s">
        <v>24</v>
      </c>
      <c r="F91" s="608">
        <v>2600</v>
      </c>
      <c r="G91" s="608">
        <v>5200</v>
      </c>
      <c r="H91" s="608">
        <v>5200</v>
      </c>
      <c r="I91" s="608">
        <v>5200</v>
      </c>
      <c r="J91" s="144" t="s">
        <v>380</v>
      </c>
    </row>
    <row r="92" spans="1:11" s="38" customFormat="1" ht="18.75" customHeight="1" x14ac:dyDescent="0.25">
      <c r="A92" s="78" t="s">
        <v>81</v>
      </c>
      <c r="B92" s="78" t="str">
        <f>IF(ISBLANK(A92),"","OV"&amp;COUNTA($A$71:A92))</f>
        <v>OV21</v>
      </c>
      <c r="C92" s="480" t="s">
        <v>411</v>
      </c>
      <c r="D92" s="214" t="s">
        <v>91</v>
      </c>
      <c r="E92" s="71">
        <v>1</v>
      </c>
      <c r="F92" s="399">
        <v>1800</v>
      </c>
      <c r="G92" s="399">
        <v>1800</v>
      </c>
      <c r="H92" s="399">
        <v>1800</v>
      </c>
      <c r="I92" s="399">
        <v>1800</v>
      </c>
      <c r="J92" s="38" t="s">
        <v>462</v>
      </c>
    </row>
    <row r="93" spans="1:11" s="38" customFormat="1" ht="25.5" x14ac:dyDescent="0.25">
      <c r="A93" s="78" t="s">
        <v>81</v>
      </c>
      <c r="B93" s="78" t="str">
        <f>IF(ISBLANK(A93),"","OV"&amp;COUNTA($A$71:A93))</f>
        <v>OV22</v>
      </c>
      <c r="C93" s="569" t="s">
        <v>413</v>
      </c>
      <c r="D93" s="577" t="s">
        <v>91</v>
      </c>
      <c r="E93" s="573" t="s">
        <v>24</v>
      </c>
      <c r="F93" s="572">
        <v>1600</v>
      </c>
      <c r="G93" s="572">
        <v>1600</v>
      </c>
      <c r="H93" s="572"/>
      <c r="I93" s="572"/>
      <c r="J93" s="144"/>
    </row>
    <row r="94" spans="1:11" s="38" customFormat="1" ht="30" x14ac:dyDescent="0.25">
      <c r="A94" s="78"/>
      <c r="B94" s="78" t="str">
        <f>IF(ISBLANK(A94),"","OV"&amp;COUNTA($A$71:A94))</f>
        <v/>
      </c>
      <c r="C94" s="82" t="s">
        <v>117</v>
      </c>
      <c r="D94" s="96"/>
      <c r="E94" s="71"/>
      <c r="F94" s="4">
        <f>F89</f>
        <v>2023</v>
      </c>
      <c r="G94" s="4">
        <f>F94+1</f>
        <v>2024</v>
      </c>
      <c r="H94" s="4">
        <f>G94+1</f>
        <v>2025</v>
      </c>
      <c r="I94" s="4">
        <f>H94+1</f>
        <v>2026</v>
      </c>
    </row>
    <row r="95" spans="1:11" s="38" customFormat="1" x14ac:dyDescent="0.25">
      <c r="A95" s="78" t="s">
        <v>81</v>
      </c>
      <c r="B95" s="78" t="str">
        <f>IF(ISBLANK(A95),"","OV"&amp;COUNTA($A$71:A95))</f>
        <v>OV23</v>
      </c>
      <c r="C95" s="480" t="s">
        <v>118</v>
      </c>
      <c r="D95" s="72" t="s">
        <v>83</v>
      </c>
      <c r="E95" s="79" t="s">
        <v>84</v>
      </c>
      <c r="F95" s="217">
        <v>5500</v>
      </c>
      <c r="G95" s="217">
        <v>0</v>
      </c>
      <c r="H95" s="217">
        <v>0</v>
      </c>
      <c r="I95" s="217">
        <v>0</v>
      </c>
    </row>
    <row r="96" spans="1:11" s="38" customFormat="1" x14ac:dyDescent="0.25">
      <c r="A96" s="78" t="s">
        <v>81</v>
      </c>
      <c r="B96" s="78" t="str">
        <f>IF(ISBLANK(A96),"","OV"&amp;COUNTA($A$71:A96))</f>
        <v>OV24</v>
      </c>
      <c r="C96" s="480" t="s">
        <v>414</v>
      </c>
      <c r="D96" s="72" t="s">
        <v>89</v>
      </c>
      <c r="E96" s="111" t="s">
        <v>84</v>
      </c>
      <c r="F96" s="217">
        <v>5500</v>
      </c>
      <c r="G96" s="217">
        <v>0</v>
      </c>
      <c r="H96" s="217">
        <v>0</v>
      </c>
      <c r="I96" s="217">
        <v>0</v>
      </c>
    </row>
    <row r="97" spans="1:10" s="38" customFormat="1" x14ac:dyDescent="0.25">
      <c r="A97" s="78" t="s">
        <v>81</v>
      </c>
      <c r="B97" s="78" t="str">
        <f>IF(ISBLANK(A97),"","OV"&amp;COUNTA($A$71:A97))</f>
        <v>OV25</v>
      </c>
      <c r="C97" s="480" t="s">
        <v>120</v>
      </c>
      <c r="D97" s="72" t="s">
        <v>89</v>
      </c>
      <c r="E97" s="111" t="s">
        <v>84</v>
      </c>
      <c r="F97" s="217">
        <v>0</v>
      </c>
      <c r="G97" s="217">
        <v>4000</v>
      </c>
      <c r="H97" s="217">
        <v>4000</v>
      </c>
      <c r="I97" s="217">
        <v>4000</v>
      </c>
    </row>
    <row r="98" spans="1:10" s="38" customFormat="1" x14ac:dyDescent="0.25">
      <c r="A98" s="78" t="s">
        <v>81</v>
      </c>
      <c r="B98" s="78" t="str">
        <f>IF(ISBLANK(A98),"","OV"&amp;COUNTA($A$71:A98))</f>
        <v>OV26</v>
      </c>
      <c r="C98" s="480" t="s">
        <v>121</v>
      </c>
      <c r="D98" s="72" t="s">
        <v>83</v>
      </c>
      <c r="E98" s="111" t="s">
        <v>84</v>
      </c>
      <c r="F98" s="217">
        <v>-11000</v>
      </c>
      <c r="G98" s="217">
        <v>0</v>
      </c>
      <c r="H98" s="217">
        <v>0</v>
      </c>
      <c r="I98" s="217">
        <v>0</v>
      </c>
      <c r="J98" s="609">
        <v>25701156</v>
      </c>
    </row>
    <row r="99" spans="1:10" s="38" customFormat="1" x14ac:dyDescent="0.25">
      <c r="A99" s="78" t="s">
        <v>81</v>
      </c>
      <c r="B99" s="78" t="str">
        <f>IF(ISBLANK(A99),"","OV"&amp;COUNTA($A$71:A99))</f>
        <v>OV27</v>
      </c>
      <c r="C99" s="480" t="s">
        <v>415</v>
      </c>
      <c r="D99" s="72" t="s">
        <v>91</v>
      </c>
      <c r="E99" s="111" t="s">
        <v>24</v>
      </c>
      <c r="F99" s="217">
        <v>3200</v>
      </c>
      <c r="G99" s="217">
        <v>3200</v>
      </c>
      <c r="H99" s="217">
        <v>3200</v>
      </c>
      <c r="I99" s="217">
        <v>3200</v>
      </c>
      <c r="J99" s="38" t="s">
        <v>327</v>
      </c>
    </row>
    <row r="100" spans="1:10" s="38" customFormat="1" x14ac:dyDescent="0.25">
      <c r="A100" s="78" t="s">
        <v>81</v>
      </c>
      <c r="B100" s="78" t="str">
        <f>IF(ISBLANK(A100),"","OV"&amp;COUNTA($A$71:A100))</f>
        <v>OV28</v>
      </c>
      <c r="C100" s="569" t="s">
        <v>124</v>
      </c>
      <c r="D100" s="570" t="s">
        <v>91</v>
      </c>
      <c r="E100" s="571" t="s">
        <v>24</v>
      </c>
      <c r="F100" s="575">
        <v>300</v>
      </c>
      <c r="G100" s="575">
        <v>300</v>
      </c>
      <c r="H100" s="575"/>
      <c r="I100" s="575"/>
      <c r="J100" s="572" t="s">
        <v>329</v>
      </c>
    </row>
    <row r="101" spans="1:10" s="38" customFormat="1" x14ac:dyDescent="0.25">
      <c r="A101" s="78" t="s">
        <v>81</v>
      </c>
      <c r="B101" s="78" t="str">
        <f>IF(ISBLANK(A101),"","OV"&amp;COUNTA($A$71:A101))</f>
        <v>OV29</v>
      </c>
      <c r="C101" s="569" t="s">
        <v>417</v>
      </c>
      <c r="D101" s="570" t="s">
        <v>91</v>
      </c>
      <c r="E101" s="571" t="s">
        <v>24</v>
      </c>
      <c r="F101" s="575">
        <v>3200</v>
      </c>
      <c r="G101" s="575">
        <v>3200</v>
      </c>
      <c r="H101" s="575"/>
      <c r="I101" s="575"/>
      <c r="J101" s="572" t="s">
        <v>329</v>
      </c>
    </row>
    <row r="102" spans="1:10" s="38" customFormat="1" ht="25.5" x14ac:dyDescent="0.25">
      <c r="A102" s="78" t="s">
        <v>81</v>
      </c>
      <c r="B102" s="78" t="str">
        <f>IF(ISBLANK(A102),"","OV"&amp;COUNTA($A$71:A102))</f>
        <v>OV30</v>
      </c>
      <c r="C102" s="569" t="s">
        <v>418</v>
      </c>
      <c r="D102" s="570" t="s">
        <v>91</v>
      </c>
      <c r="E102" s="571" t="s">
        <v>24</v>
      </c>
      <c r="F102" s="575">
        <v>2400</v>
      </c>
      <c r="G102" s="575">
        <v>2400</v>
      </c>
      <c r="H102" s="575"/>
      <c r="I102" s="575"/>
    </row>
    <row r="103" spans="1:10" s="38" customFormat="1" x14ac:dyDescent="0.25">
      <c r="A103" s="43"/>
      <c r="B103" s="43" t="s">
        <v>127</v>
      </c>
      <c r="C103" s="3" t="s">
        <v>128</v>
      </c>
      <c r="D103" s="52"/>
      <c r="E103" s="52"/>
      <c r="F103" s="56">
        <f>SUMIF($A:$A,"OPP",F:F)</f>
        <v>106960</v>
      </c>
      <c r="G103" s="56">
        <f>SUMIF($A:$A,"OPP",G:G)</f>
        <v>116638</v>
      </c>
      <c r="H103" s="56">
        <f>SUMIF($A:$A,"OPP",H:H)</f>
        <v>98806</v>
      </c>
      <c r="I103" s="56">
        <f>SUMIF($A:$A,"OPP",I:I)</f>
        <v>97958</v>
      </c>
    </row>
    <row r="104" spans="1:10" s="38" customFormat="1" x14ac:dyDescent="0.25">
      <c r="A104" s="47"/>
      <c r="B104" s="78"/>
      <c r="C104" s="11"/>
      <c r="D104" s="49"/>
      <c r="E104" s="49"/>
      <c r="F104" s="57"/>
      <c r="G104" s="57"/>
      <c r="H104" s="57"/>
      <c r="I104" s="57"/>
    </row>
    <row r="105" spans="1:10" s="38" customFormat="1" x14ac:dyDescent="0.25">
      <c r="A105" s="48"/>
      <c r="B105" s="78"/>
      <c r="C105" s="13" t="s">
        <v>129</v>
      </c>
      <c r="D105" s="50"/>
      <c r="E105" s="61"/>
      <c r="F105" s="58"/>
      <c r="G105" s="58"/>
      <c r="H105" s="58"/>
      <c r="I105" s="58"/>
    </row>
    <row r="106" spans="1:10" s="38" customFormat="1" x14ac:dyDescent="0.25">
      <c r="A106" s="78"/>
      <c r="B106" s="78"/>
      <c r="C106" s="82" t="s">
        <v>130</v>
      </c>
      <c r="D106" s="72"/>
      <c r="E106" s="71"/>
      <c r="F106" s="4">
        <f>F94</f>
        <v>2023</v>
      </c>
      <c r="G106" s="4">
        <f>F106+1</f>
        <v>2024</v>
      </c>
      <c r="H106" s="4">
        <f>G106+1</f>
        <v>2025</v>
      </c>
      <c r="I106" s="4">
        <f>H106+1</f>
        <v>2026</v>
      </c>
    </row>
    <row r="107" spans="1:10" s="38" customFormat="1" x14ac:dyDescent="0.25">
      <c r="A107" s="78" t="s">
        <v>131</v>
      </c>
      <c r="B107" s="78" t="str">
        <f>IF(ISBLANK(A107),"","H"&amp;COUNTA($A$107:A107))</f>
        <v>H1</v>
      </c>
      <c r="C107" s="245" t="s">
        <v>330</v>
      </c>
      <c r="D107" s="72" t="s">
        <v>89</v>
      </c>
      <c r="E107" s="71" t="s">
        <v>84</v>
      </c>
      <c r="F107" s="74">
        <v>0</v>
      </c>
      <c r="G107" s="251">
        <v>9000</v>
      </c>
      <c r="H107" s="74">
        <v>9000</v>
      </c>
      <c r="I107" s="70">
        <v>9000</v>
      </c>
      <c r="J107" s="38" t="s">
        <v>419</v>
      </c>
    </row>
    <row r="108" spans="1:10" s="38" customFormat="1" x14ac:dyDescent="0.25">
      <c r="A108" s="78" t="s">
        <v>131</v>
      </c>
      <c r="B108" s="78" t="str">
        <f>IF(ISBLANK(A108),"","H"&amp;COUNTA($A$107:A108))</f>
        <v>H2</v>
      </c>
      <c r="C108" s="245" t="s">
        <v>420</v>
      </c>
      <c r="D108" s="72" t="s">
        <v>83</v>
      </c>
      <c r="E108" s="71" t="s">
        <v>84</v>
      </c>
      <c r="F108" s="481">
        <f>1650-1650</f>
        <v>0</v>
      </c>
      <c r="G108" s="481">
        <f>3600-3600</f>
        <v>0</v>
      </c>
      <c r="H108" s="481">
        <f>4900-4900</f>
        <v>0</v>
      </c>
      <c r="I108" s="481">
        <f>4900-4900</f>
        <v>0</v>
      </c>
    </row>
    <row r="109" spans="1:10" s="38" customFormat="1" x14ac:dyDescent="0.25">
      <c r="A109" s="78"/>
      <c r="B109" s="78"/>
      <c r="C109" s="480"/>
      <c r="D109" s="72"/>
      <c r="E109" s="71"/>
      <c r="F109" s="481"/>
      <c r="G109" s="481"/>
      <c r="H109" s="481"/>
      <c r="I109" s="481"/>
    </row>
    <row r="110" spans="1:10" s="38" customFormat="1" x14ac:dyDescent="0.25">
      <c r="A110" s="78"/>
      <c r="B110" s="78" t="str">
        <f>IF(ISBLANK(A110),"","H"&amp;COUNTA($A$107:A110))</f>
        <v/>
      </c>
      <c r="C110" s="82" t="s">
        <v>136</v>
      </c>
      <c r="D110" s="72"/>
      <c r="E110" s="71"/>
      <c r="F110" s="4">
        <f>F106</f>
        <v>2023</v>
      </c>
      <c r="G110" s="4">
        <f>F110+1</f>
        <v>2024</v>
      </c>
      <c r="H110" s="4">
        <f>G110+1</f>
        <v>2025</v>
      </c>
      <c r="I110" s="4">
        <f>H110+1</f>
        <v>2026</v>
      </c>
    </row>
    <row r="111" spans="1:10" s="38" customFormat="1" x14ac:dyDescent="0.25">
      <c r="A111" s="78" t="s">
        <v>131</v>
      </c>
      <c r="B111" s="78" t="str">
        <f>IF(ISBLANK(A111),"","H"&amp;COUNTA($A$107:A111))</f>
        <v>H3</v>
      </c>
      <c r="C111" s="245" t="s">
        <v>137</v>
      </c>
      <c r="D111" s="72" t="s">
        <v>89</v>
      </c>
      <c r="E111" s="71" t="s">
        <v>84</v>
      </c>
      <c r="F111" s="70">
        <v>2500</v>
      </c>
      <c r="G111" s="70">
        <v>5000</v>
      </c>
      <c r="H111" s="70">
        <v>7500</v>
      </c>
      <c r="I111" s="70">
        <v>10000</v>
      </c>
    </row>
    <row r="112" spans="1:10" s="38" customFormat="1" x14ac:dyDescent="0.25">
      <c r="A112" s="78"/>
      <c r="B112" s="78"/>
      <c r="C112" s="245"/>
      <c r="D112" s="72"/>
      <c r="E112" s="71"/>
      <c r="F112" s="217"/>
      <c r="G112" s="217"/>
      <c r="H112" s="217"/>
      <c r="I112" s="217"/>
    </row>
    <row r="113" spans="1:10" s="38" customFormat="1" x14ac:dyDescent="0.25">
      <c r="A113" s="341"/>
      <c r="B113" s="78" t="str">
        <f>IF(ISBLANK(A113),"","H"&amp;COUNTA($A$107:A113))</f>
        <v/>
      </c>
      <c r="C113" s="82" t="s">
        <v>142</v>
      </c>
      <c r="D113" s="83"/>
      <c r="E113" s="71"/>
      <c r="F113" s="4">
        <f>F110</f>
        <v>2023</v>
      </c>
      <c r="G113" s="4">
        <f>F113+1</f>
        <v>2024</v>
      </c>
      <c r="H113" s="4">
        <f>G113+1</f>
        <v>2025</v>
      </c>
      <c r="I113" s="4">
        <f>H113+1</f>
        <v>2026</v>
      </c>
    </row>
    <row r="114" spans="1:10" s="38" customFormat="1" x14ac:dyDescent="0.25">
      <c r="A114" s="78" t="s">
        <v>131</v>
      </c>
      <c r="B114" s="78" t="str">
        <f>IF(ISBLANK(A114),"","H"&amp;COUNTA($A$107:A114))</f>
        <v>H4</v>
      </c>
      <c r="C114" s="245" t="s">
        <v>143</v>
      </c>
      <c r="D114" s="72" t="s">
        <v>89</v>
      </c>
      <c r="E114" s="71" t="s">
        <v>84</v>
      </c>
      <c r="F114" s="70">
        <v>-300</v>
      </c>
      <c r="G114" s="70">
        <v>-900</v>
      </c>
      <c r="H114" s="70">
        <v>-1500</v>
      </c>
      <c r="I114" s="70">
        <v>-1500</v>
      </c>
    </row>
    <row r="115" spans="1:10" s="38" customFormat="1" x14ac:dyDescent="0.25">
      <c r="A115" s="78" t="s">
        <v>131</v>
      </c>
      <c r="B115" s="78" t="str">
        <f>IF(ISBLANK(A115),"","H"&amp;COUNTA($A$107:A115))</f>
        <v>H5</v>
      </c>
      <c r="C115" s="480" t="s">
        <v>144</v>
      </c>
      <c r="D115" s="72" t="s">
        <v>83</v>
      </c>
      <c r="E115" s="71" t="s">
        <v>84</v>
      </c>
      <c r="F115" s="398">
        <v>-27256</v>
      </c>
      <c r="G115" s="398">
        <v>-27256</v>
      </c>
      <c r="H115" s="398">
        <v>-27256</v>
      </c>
      <c r="I115" s="398">
        <v>-27256</v>
      </c>
    </row>
    <row r="116" spans="1:10" s="38" customFormat="1" x14ac:dyDescent="0.25">
      <c r="A116" s="78" t="s">
        <v>131</v>
      </c>
      <c r="B116" s="78" t="str">
        <f>IF(ISBLANK(A116),"","H"&amp;COUNTA($A$107:A116))</f>
        <v>H6</v>
      </c>
      <c r="C116" s="480" t="s">
        <v>145</v>
      </c>
      <c r="D116" s="72" t="s">
        <v>91</v>
      </c>
      <c r="E116" s="71">
        <v>1</v>
      </c>
      <c r="F116" s="398">
        <v>27256</v>
      </c>
      <c r="G116" s="398">
        <v>27256</v>
      </c>
      <c r="H116" s="398">
        <v>27256</v>
      </c>
      <c r="I116" s="398">
        <v>27256</v>
      </c>
    </row>
    <row r="117" spans="1:10" s="38" customFormat="1" x14ac:dyDescent="0.25">
      <c r="A117" s="78" t="s">
        <v>131</v>
      </c>
      <c r="B117" s="78" t="str">
        <f>IF(ISBLANK(A117),"","H"&amp;COUNTA($A$107:A117))</f>
        <v>H7</v>
      </c>
      <c r="C117" s="480" t="s">
        <v>146</v>
      </c>
      <c r="D117" s="72" t="s">
        <v>91</v>
      </c>
      <c r="E117" s="71" t="s">
        <v>24</v>
      </c>
      <c r="F117" s="398">
        <v>15000</v>
      </c>
      <c r="G117" s="398">
        <v>15000</v>
      </c>
      <c r="H117" s="398">
        <v>15000</v>
      </c>
      <c r="I117" s="398">
        <v>15000</v>
      </c>
    </row>
    <row r="118" spans="1:10" s="38" customFormat="1" x14ac:dyDescent="0.25">
      <c r="A118" s="78" t="s">
        <v>131</v>
      </c>
      <c r="B118" s="78" t="str">
        <f>IF(ISBLANK(A118),"","H"&amp;COUNTA($A$107:A118))</f>
        <v>H8</v>
      </c>
      <c r="C118" s="480" t="s">
        <v>147</v>
      </c>
      <c r="D118" s="72" t="s">
        <v>91</v>
      </c>
      <c r="E118" s="71" t="s">
        <v>24</v>
      </c>
      <c r="F118" s="421">
        <v>5000</v>
      </c>
      <c r="G118" s="217">
        <f>F118</f>
        <v>5000</v>
      </c>
      <c r="H118" s="217">
        <f>G118</f>
        <v>5000</v>
      </c>
      <c r="I118" s="217">
        <f>H118</f>
        <v>5000</v>
      </c>
    </row>
    <row r="119" spans="1:10" s="38" customFormat="1" x14ac:dyDescent="0.25">
      <c r="A119" s="78" t="s">
        <v>131</v>
      </c>
      <c r="B119" s="78" t="str">
        <f>IF(ISBLANK(A119),"","H"&amp;COUNTA($A$107:A119))</f>
        <v>H9</v>
      </c>
      <c r="C119" s="396" t="s">
        <v>148</v>
      </c>
      <c r="D119" s="72" t="s">
        <v>91</v>
      </c>
      <c r="E119" s="71" t="s">
        <v>24</v>
      </c>
      <c r="F119" s="217">
        <v>10000</v>
      </c>
      <c r="G119" s="217">
        <v>10000</v>
      </c>
      <c r="H119" s="217">
        <v>10000</v>
      </c>
      <c r="I119" s="217">
        <v>10000</v>
      </c>
    </row>
    <row r="120" spans="1:10" s="38" customFormat="1" ht="25.5" x14ac:dyDescent="0.25">
      <c r="A120" s="78" t="s">
        <v>131</v>
      </c>
      <c r="B120" s="78" t="str">
        <f>IF(ISBLANK(A120),"","H"&amp;COUNTA($A$107:A120))</f>
        <v>H10</v>
      </c>
      <c r="C120" s="582" t="s">
        <v>153</v>
      </c>
      <c r="D120" s="72" t="s">
        <v>91</v>
      </c>
      <c r="E120" s="71" t="s">
        <v>24</v>
      </c>
      <c r="F120" s="217">
        <v>-4000</v>
      </c>
      <c r="G120" s="217">
        <f t="shared" ref="G120:I122" si="0">F120</f>
        <v>-4000</v>
      </c>
      <c r="H120" s="217">
        <f t="shared" si="0"/>
        <v>-4000</v>
      </c>
      <c r="I120" s="217">
        <f t="shared" si="0"/>
        <v>-4000</v>
      </c>
      <c r="J120" s="38" t="s">
        <v>332</v>
      </c>
    </row>
    <row r="121" spans="1:10" s="38" customFormat="1" x14ac:dyDescent="0.25">
      <c r="A121" s="78" t="s">
        <v>131</v>
      </c>
      <c r="B121" s="78" t="str">
        <f>IF(ISBLANK(A121),"","H"&amp;COUNTA($A$107:A121))</f>
        <v>H11</v>
      </c>
      <c r="C121" s="582" t="s">
        <v>149</v>
      </c>
      <c r="D121" s="72" t="s">
        <v>91</v>
      </c>
      <c r="E121" s="71" t="s">
        <v>24</v>
      </c>
      <c r="F121" s="217">
        <v>700</v>
      </c>
      <c r="G121" s="217">
        <f t="shared" si="0"/>
        <v>700</v>
      </c>
      <c r="H121" s="217">
        <f t="shared" si="0"/>
        <v>700</v>
      </c>
      <c r="I121" s="217">
        <f t="shared" si="0"/>
        <v>700</v>
      </c>
      <c r="J121" s="38" t="s">
        <v>332</v>
      </c>
    </row>
    <row r="122" spans="1:10" s="38" customFormat="1" x14ac:dyDescent="0.25">
      <c r="A122" s="78" t="s">
        <v>131</v>
      </c>
      <c r="B122" s="78" t="str">
        <f>IF(ISBLANK(A122),"","H"&amp;COUNTA($A$107:A122))</f>
        <v>H12</v>
      </c>
      <c r="C122" s="582" t="s">
        <v>150</v>
      </c>
      <c r="D122" s="72" t="s">
        <v>91</v>
      </c>
      <c r="E122" s="71" t="s">
        <v>24</v>
      </c>
      <c r="F122" s="217">
        <v>1000</v>
      </c>
      <c r="G122" s="217">
        <f t="shared" si="0"/>
        <v>1000</v>
      </c>
      <c r="H122" s="217">
        <f t="shared" si="0"/>
        <v>1000</v>
      </c>
      <c r="I122" s="217">
        <f t="shared" si="0"/>
        <v>1000</v>
      </c>
      <c r="J122" s="38" t="s">
        <v>332</v>
      </c>
    </row>
    <row r="123" spans="1:10" s="38" customFormat="1" x14ac:dyDescent="0.25">
      <c r="A123" s="78" t="s">
        <v>131</v>
      </c>
      <c r="B123" s="78" t="str">
        <f>IF(ISBLANK(A123),"","H"&amp;COUNTA($A$107:A123))</f>
        <v>H13</v>
      </c>
      <c r="C123" s="584" t="s">
        <v>463</v>
      </c>
      <c r="D123" s="72" t="s">
        <v>91</v>
      </c>
      <c r="E123" s="71" t="s">
        <v>24</v>
      </c>
      <c r="F123" s="217">
        <v>1100</v>
      </c>
      <c r="G123" s="217">
        <v>1100</v>
      </c>
      <c r="H123" s="217">
        <v>1100</v>
      </c>
      <c r="I123" s="217">
        <v>1100</v>
      </c>
      <c r="J123" s="38" t="s">
        <v>332</v>
      </c>
    </row>
    <row r="124" spans="1:10" s="38" customFormat="1" x14ac:dyDescent="0.25">
      <c r="A124" s="78" t="s">
        <v>131</v>
      </c>
      <c r="B124" s="78" t="str">
        <f>IF(ISBLANK(A124),"","H"&amp;COUNTA($A$107:A124))</f>
        <v>H14</v>
      </c>
      <c r="C124" s="584" t="s">
        <v>464</v>
      </c>
      <c r="D124" s="72" t="s">
        <v>91</v>
      </c>
      <c r="E124" s="71" t="s">
        <v>24</v>
      </c>
      <c r="F124" s="217">
        <v>1200</v>
      </c>
      <c r="G124" s="217">
        <v>1200</v>
      </c>
      <c r="H124" s="217">
        <v>1200</v>
      </c>
      <c r="I124" s="217">
        <v>1200</v>
      </c>
      <c r="J124" s="38" t="s">
        <v>332</v>
      </c>
    </row>
    <row r="125" spans="1:10" s="38" customFormat="1" x14ac:dyDescent="0.25">
      <c r="A125" s="78"/>
      <c r="B125" s="78" t="str">
        <f>IF(ISBLANK(A125),"","H"&amp;COUNTA($A$107:A125))</f>
        <v/>
      </c>
      <c r="C125" s="82" t="s">
        <v>156</v>
      </c>
      <c r="D125" s="72"/>
      <c r="E125" s="71"/>
      <c r="F125" s="4">
        <f>F113</f>
        <v>2023</v>
      </c>
      <c r="G125" s="4">
        <f>F125+1</f>
        <v>2024</v>
      </c>
      <c r="H125" s="4">
        <f>G125+1</f>
        <v>2025</v>
      </c>
      <c r="I125" s="4">
        <f>H125+1</f>
        <v>2026</v>
      </c>
    </row>
    <row r="126" spans="1:10" s="38" customFormat="1" ht="25.5" x14ac:dyDescent="0.25">
      <c r="A126" s="78" t="s">
        <v>131</v>
      </c>
      <c r="B126" s="78" t="str">
        <f>IF(ISBLANK(A126),"","H"&amp;COUNTA($A$107:A126))</f>
        <v>H15</v>
      </c>
      <c r="C126" s="245" t="s">
        <v>157</v>
      </c>
      <c r="D126" s="72" t="s">
        <v>83</v>
      </c>
      <c r="E126" s="71" t="s">
        <v>84</v>
      </c>
      <c r="F126" s="217">
        <v>1200</v>
      </c>
      <c r="G126" s="217">
        <v>1700</v>
      </c>
      <c r="H126" s="217">
        <v>2100</v>
      </c>
      <c r="I126" s="217">
        <v>2500</v>
      </c>
      <c r="J126" s="144" t="s">
        <v>421</v>
      </c>
    </row>
    <row r="127" spans="1:10" s="38" customFormat="1" x14ac:dyDescent="0.25">
      <c r="A127" s="78" t="s">
        <v>131</v>
      </c>
      <c r="B127" s="78" t="str">
        <f>IF(ISBLANK(A127),"","H"&amp;COUNTA($A$107:A127))</f>
        <v>H16</v>
      </c>
      <c r="C127" s="245" t="s">
        <v>159</v>
      </c>
      <c r="D127" s="72" t="s">
        <v>91</v>
      </c>
      <c r="E127" s="71" t="s">
        <v>24</v>
      </c>
      <c r="F127" s="217">
        <v>600</v>
      </c>
      <c r="G127" s="217">
        <f>F127</f>
        <v>600</v>
      </c>
      <c r="H127" s="217">
        <f>G127</f>
        <v>600</v>
      </c>
      <c r="I127" s="217">
        <f>H127</f>
        <v>600</v>
      </c>
      <c r="J127" s="144"/>
    </row>
    <row r="128" spans="1:10" s="38" customFormat="1" x14ac:dyDescent="0.25">
      <c r="A128" s="78" t="s">
        <v>131</v>
      </c>
      <c r="B128" s="78" t="str">
        <f>IF(ISBLANK(A128),"","H"&amp;COUNTA($A$107:A128))</f>
        <v>H17</v>
      </c>
      <c r="C128" s="245" t="s">
        <v>422</v>
      </c>
      <c r="D128" s="72" t="s">
        <v>91</v>
      </c>
      <c r="E128" s="71" t="s">
        <v>24</v>
      </c>
      <c r="F128" s="70">
        <v>1530</v>
      </c>
      <c r="G128" s="70">
        <v>1530</v>
      </c>
      <c r="H128" s="70">
        <v>1530</v>
      </c>
      <c r="I128" s="70">
        <v>1530</v>
      </c>
      <c r="J128" s="38" t="s">
        <v>423</v>
      </c>
    </row>
    <row r="129" spans="1:11" s="38" customFormat="1" ht="25.5" x14ac:dyDescent="0.25">
      <c r="A129" s="78" t="s">
        <v>131</v>
      </c>
      <c r="B129" s="78" t="str">
        <f>IF(ISBLANK(A129),"","H"&amp;COUNTA($A$107:A129))</f>
        <v>H18</v>
      </c>
      <c r="C129" s="581" t="s">
        <v>424</v>
      </c>
      <c r="D129" s="72" t="s">
        <v>91</v>
      </c>
      <c r="E129" s="71" t="s">
        <v>24</v>
      </c>
      <c r="F129" s="421">
        <v>1700</v>
      </c>
      <c r="G129" s="421">
        <v>1700</v>
      </c>
      <c r="H129" s="421">
        <v>1700</v>
      </c>
      <c r="I129" s="421">
        <v>1700</v>
      </c>
      <c r="J129" s="293" t="s">
        <v>425</v>
      </c>
    </row>
    <row r="130" spans="1:11" s="38" customFormat="1" x14ac:dyDescent="0.25">
      <c r="A130" s="78"/>
      <c r="B130" s="78" t="str">
        <f>IF(ISBLANK(A130),"","H"&amp;COUNTA($A$107:A130))</f>
        <v/>
      </c>
      <c r="D130" s="83"/>
      <c r="E130" s="71"/>
      <c r="F130" s="4">
        <f>F125</f>
        <v>2023</v>
      </c>
      <c r="G130" s="4">
        <f>F130+1</f>
        <v>2024</v>
      </c>
      <c r="H130" s="4">
        <f>G130+1</f>
        <v>2025</v>
      </c>
      <c r="I130" s="4">
        <f>H130+1</f>
        <v>2026</v>
      </c>
    </row>
    <row r="131" spans="1:11" s="38" customFormat="1" x14ac:dyDescent="0.25">
      <c r="A131" s="78"/>
      <c r="B131" s="78"/>
      <c r="C131" s="82" t="s">
        <v>172</v>
      </c>
      <c r="D131" s="83"/>
      <c r="E131" s="71"/>
      <c r="F131" s="4"/>
      <c r="G131" s="4"/>
      <c r="H131" s="4"/>
      <c r="I131" s="4"/>
    </row>
    <row r="132" spans="1:11" s="38" customFormat="1" x14ac:dyDescent="0.25">
      <c r="A132" s="78" t="s">
        <v>131</v>
      </c>
      <c r="B132" s="78" t="str">
        <f>IF(ISBLANK(A132),"","H"&amp;COUNTA($A$107:A132))</f>
        <v>H19</v>
      </c>
      <c r="C132" s="245" t="s">
        <v>173</v>
      </c>
      <c r="D132" s="72" t="s">
        <v>83</v>
      </c>
      <c r="E132" s="71" t="s">
        <v>84</v>
      </c>
      <c r="F132" s="575">
        <v>-6879</v>
      </c>
      <c r="G132" s="575">
        <v>-5056</v>
      </c>
      <c r="H132" s="575">
        <v>705</v>
      </c>
      <c r="I132" s="575">
        <v>2528</v>
      </c>
      <c r="J132" s="144" t="s">
        <v>431</v>
      </c>
    </row>
    <row r="133" spans="1:11" s="38" customFormat="1" x14ac:dyDescent="0.25">
      <c r="A133" s="78" t="s">
        <v>131</v>
      </c>
      <c r="B133" s="78" t="str">
        <f>IF(ISBLANK(A133),"","H"&amp;COUNTA($A$107:A133))</f>
        <v>H20</v>
      </c>
      <c r="C133" s="245" t="s">
        <v>174</v>
      </c>
      <c r="D133" s="72" t="s">
        <v>83</v>
      </c>
      <c r="E133" s="71" t="s">
        <v>84</v>
      </c>
      <c r="F133" s="575">
        <v>39000</v>
      </c>
      <c r="G133" s="575">
        <v>20000</v>
      </c>
      <c r="H133" s="575">
        <v>5000</v>
      </c>
      <c r="I133" s="575">
        <v>5000</v>
      </c>
      <c r="J133" s="144" t="s">
        <v>431</v>
      </c>
    </row>
    <row r="134" spans="1:11" s="38" customFormat="1" ht="25.5" x14ac:dyDescent="0.25">
      <c r="A134" s="78" t="s">
        <v>131</v>
      </c>
      <c r="B134" s="78" t="str">
        <f>IF(ISBLANK(A134),"","H"&amp;COUNTA($A$107:A134))</f>
        <v>H21</v>
      </c>
      <c r="C134" s="245" t="s">
        <v>432</v>
      </c>
      <c r="D134" s="72" t="s">
        <v>91</v>
      </c>
      <c r="E134" s="71" t="s">
        <v>24</v>
      </c>
      <c r="F134" s="398">
        <v>18000</v>
      </c>
      <c r="G134" s="398">
        <v>18000</v>
      </c>
      <c r="H134" s="398">
        <v>18000</v>
      </c>
      <c r="I134" s="398">
        <v>18000</v>
      </c>
      <c r="J134" s="144"/>
    </row>
    <row r="135" spans="1:11" s="38" customFormat="1" x14ac:dyDescent="0.25">
      <c r="A135" s="78" t="s">
        <v>131</v>
      </c>
      <c r="B135" s="78" t="str">
        <f>IF(ISBLANK(A135),"","H"&amp;COUNTA($A$107:A135))</f>
        <v>H22</v>
      </c>
      <c r="C135" s="569" t="s">
        <v>433</v>
      </c>
      <c r="D135" s="570" t="s">
        <v>91</v>
      </c>
      <c r="E135" s="573" t="s">
        <v>24</v>
      </c>
      <c r="F135" s="575">
        <v>1400</v>
      </c>
      <c r="G135" s="575">
        <v>1400</v>
      </c>
      <c r="H135" s="575"/>
      <c r="I135" s="575"/>
      <c r="J135" s="572" t="s">
        <v>342</v>
      </c>
      <c r="K135" s="572"/>
    </row>
    <row r="136" spans="1:11" s="38" customFormat="1" ht="38.25" x14ac:dyDescent="0.25">
      <c r="A136" s="78" t="s">
        <v>131</v>
      </c>
      <c r="B136" s="78" t="str">
        <f>IF(ISBLANK(A136),"","H"&amp;COUNTA($A$107:A136))</f>
        <v>H23</v>
      </c>
      <c r="C136" s="569" t="s">
        <v>434</v>
      </c>
      <c r="D136" s="570" t="s">
        <v>91</v>
      </c>
      <c r="E136" s="573" t="s">
        <v>24</v>
      </c>
      <c r="F136" s="575">
        <v>2700</v>
      </c>
      <c r="G136" s="575">
        <v>2700</v>
      </c>
      <c r="H136" s="575"/>
      <c r="I136" s="575"/>
      <c r="J136" s="572" t="s">
        <v>329</v>
      </c>
    </row>
    <row r="137" spans="1:11" s="38" customFormat="1" ht="25.5" x14ac:dyDescent="0.25">
      <c r="A137" s="78" t="s">
        <v>131</v>
      </c>
      <c r="B137" s="78" t="str">
        <f>IF(ISBLANK(A137),"","H"&amp;COUNTA($A$107:A137))</f>
        <v>H24</v>
      </c>
      <c r="C137" s="569" t="s">
        <v>435</v>
      </c>
      <c r="D137" s="570" t="s">
        <v>91</v>
      </c>
      <c r="E137" s="573" t="s">
        <v>24</v>
      </c>
      <c r="F137" s="574">
        <f>6400+1000</f>
        <v>7400</v>
      </c>
      <c r="G137" s="574">
        <f t="shared" ref="G137" si="1">6400+1000</f>
        <v>7400</v>
      </c>
      <c r="H137" s="574"/>
      <c r="I137" s="574"/>
      <c r="J137" s="572" t="s">
        <v>329</v>
      </c>
    </row>
    <row r="138" spans="1:11" s="38" customFormat="1" x14ac:dyDescent="0.25">
      <c r="A138" s="78" t="s">
        <v>131</v>
      </c>
      <c r="B138" s="78" t="str">
        <f>IF(ISBLANK(A138),"","H"&amp;COUNTA($A$107:A138))</f>
        <v>H25</v>
      </c>
      <c r="C138" s="569" t="s">
        <v>436</v>
      </c>
      <c r="D138" s="570" t="s">
        <v>91</v>
      </c>
      <c r="E138" s="573" t="s">
        <v>24</v>
      </c>
      <c r="F138" s="574">
        <v>-3200</v>
      </c>
      <c r="G138" s="574">
        <v>-3200</v>
      </c>
      <c r="H138" s="574"/>
      <c r="I138" s="574"/>
      <c r="J138" s="572"/>
    </row>
    <row r="139" spans="1:11" s="38" customFormat="1" x14ac:dyDescent="0.25">
      <c r="A139" s="78"/>
      <c r="B139" s="78"/>
      <c r="C139" s="480"/>
      <c r="D139" s="72"/>
      <c r="E139" s="71"/>
      <c r="F139" s="546"/>
      <c r="G139" s="546"/>
      <c r="H139" s="546"/>
      <c r="I139" s="546"/>
    </row>
    <row r="140" spans="1:11" s="38" customFormat="1" x14ac:dyDescent="0.25">
      <c r="A140" s="78"/>
      <c r="B140" s="78" t="str">
        <f>IF(ISBLANK(A140),"","H"&amp;COUNTA($A$107:A140))</f>
        <v/>
      </c>
      <c r="C140" s="82" t="s">
        <v>179</v>
      </c>
      <c r="D140" s="83"/>
      <c r="E140" s="71"/>
      <c r="F140" s="4">
        <f>F130</f>
        <v>2023</v>
      </c>
      <c r="G140" s="4">
        <f>F140+1</f>
        <v>2024</v>
      </c>
      <c r="H140" s="4">
        <f>G140+1</f>
        <v>2025</v>
      </c>
      <c r="I140" s="4">
        <f>H140+1</f>
        <v>2026</v>
      </c>
    </row>
    <row r="141" spans="1:11" s="38" customFormat="1" x14ac:dyDescent="0.25">
      <c r="A141" s="78" t="s">
        <v>131</v>
      </c>
      <c r="B141" s="78" t="str">
        <f>IF(ISBLANK(A141),"","H"&amp;COUNTA($A$107:A141))</f>
        <v>H26</v>
      </c>
      <c r="C141" s="245" t="s">
        <v>180</v>
      </c>
      <c r="D141" s="72" t="s">
        <v>89</v>
      </c>
      <c r="E141" s="71" t="s">
        <v>84</v>
      </c>
      <c r="F141" s="70">
        <v>0</v>
      </c>
      <c r="G141" s="70">
        <v>1000</v>
      </c>
      <c r="H141" s="70">
        <v>12000</v>
      </c>
      <c r="I141" s="191">
        <v>12000</v>
      </c>
    </row>
    <row r="142" spans="1:11" s="38" customFormat="1" x14ac:dyDescent="0.25">
      <c r="A142" s="78" t="s">
        <v>131</v>
      </c>
      <c r="B142" s="78" t="str">
        <f>IF(ISBLANK(A142),"","H"&amp;COUNTA($A$107:A142))</f>
        <v>H27</v>
      </c>
      <c r="C142" s="245" t="s">
        <v>181</v>
      </c>
      <c r="D142" s="72" t="s">
        <v>89</v>
      </c>
      <c r="E142" s="71" t="s">
        <v>84</v>
      </c>
      <c r="F142" s="191">
        <v>0</v>
      </c>
      <c r="G142" s="191">
        <v>-4000</v>
      </c>
      <c r="H142" s="191">
        <v>-6000</v>
      </c>
      <c r="I142" s="191">
        <v>-6000</v>
      </c>
    </row>
    <row r="143" spans="1:11" s="38" customFormat="1" x14ac:dyDescent="0.25">
      <c r="A143" s="43"/>
      <c r="B143" s="43" t="s">
        <v>127</v>
      </c>
      <c r="C143" s="3" t="s">
        <v>182</v>
      </c>
      <c r="D143" s="52"/>
      <c r="E143" s="52"/>
      <c r="F143" s="56">
        <f>SUMIF($A:$A,"H&amp;V",F:F)</f>
        <v>95651</v>
      </c>
      <c r="G143" s="56">
        <f>SUMIF($A:$A,"H&amp;V",G:G)</f>
        <v>86874</v>
      </c>
      <c r="H143" s="56">
        <f>SUMIF($A:$A,"H&amp;V",H:H)</f>
        <v>80635</v>
      </c>
      <c r="I143" s="56">
        <f>SUMIF($A:$A,"H&amp;V",I:I)</f>
        <v>85358</v>
      </c>
    </row>
    <row r="144" spans="1:11" s="38" customFormat="1" x14ac:dyDescent="0.25">
      <c r="A144" s="47"/>
      <c r="B144" s="78"/>
      <c r="C144" s="11"/>
      <c r="D144" s="49"/>
      <c r="E144" s="49"/>
      <c r="F144" s="57"/>
      <c r="G144" s="57"/>
      <c r="H144" s="57"/>
      <c r="I144" s="57"/>
    </row>
    <row r="145" spans="1:10" s="38" customFormat="1" x14ac:dyDescent="0.25">
      <c r="A145" s="48"/>
      <c r="B145" s="78"/>
      <c r="C145" s="13" t="s">
        <v>183</v>
      </c>
      <c r="D145" s="50"/>
      <c r="E145" s="61"/>
      <c r="F145" s="58"/>
      <c r="G145" s="58"/>
      <c r="H145" s="58"/>
      <c r="I145" s="58"/>
    </row>
    <row r="146" spans="1:10" s="38" customFormat="1" x14ac:dyDescent="0.25">
      <c r="A146" s="341"/>
      <c r="B146" s="78"/>
      <c r="C146" s="82" t="s">
        <v>184</v>
      </c>
      <c r="D146" s="83"/>
      <c r="E146" s="71"/>
      <c r="F146" s="4">
        <f>F140</f>
        <v>2023</v>
      </c>
      <c r="G146" s="4">
        <f>F146+1</f>
        <v>2024</v>
      </c>
      <c r="H146" s="4">
        <f>G146+1</f>
        <v>2025</v>
      </c>
      <c r="I146" s="4">
        <f>H146+1</f>
        <v>2026</v>
      </c>
    </row>
    <row r="147" spans="1:10" s="38" customFormat="1" x14ac:dyDescent="0.25">
      <c r="A147" s="78" t="s">
        <v>186</v>
      </c>
      <c r="B147" s="78" t="str">
        <f>IF(ISBLANK(A147),"","K"&amp;COUNTA($A$147:A147))</f>
        <v>K1</v>
      </c>
      <c r="C147" s="212"/>
      <c r="D147" s="79"/>
      <c r="E147" s="71"/>
      <c r="F147" s="255"/>
      <c r="G147" s="255"/>
      <c r="H147" s="255"/>
      <c r="I147" s="255"/>
    </row>
    <row r="148" spans="1:10" s="38" customFormat="1" x14ac:dyDescent="0.25">
      <c r="A148" s="78"/>
      <c r="B148" s="78" t="str">
        <f>IF(ISBLANK(A148),"","K"&amp;COUNTA($A$147:A148))</f>
        <v/>
      </c>
      <c r="C148" s="82" t="s">
        <v>185</v>
      </c>
      <c r="D148" s="79"/>
      <c r="E148" s="71"/>
      <c r="F148" s="191"/>
      <c r="G148" s="191"/>
      <c r="H148" s="191"/>
      <c r="I148" s="191"/>
    </row>
    <row r="149" spans="1:10" s="38" customFormat="1" x14ac:dyDescent="0.25">
      <c r="A149" s="78" t="s">
        <v>186</v>
      </c>
      <c r="B149" s="78" t="str">
        <f>IF(ISBLANK(A149),"","K"&amp;COUNTA($A$147:A149))</f>
        <v>K2</v>
      </c>
      <c r="C149" s="213" t="s">
        <v>187</v>
      </c>
      <c r="D149" s="72" t="s">
        <v>89</v>
      </c>
      <c r="E149" s="71" t="s">
        <v>84</v>
      </c>
      <c r="F149" s="70"/>
      <c r="G149" s="70">
        <v>-100</v>
      </c>
      <c r="H149" s="70">
        <v>-100</v>
      </c>
      <c r="I149" s="70">
        <v>-100</v>
      </c>
    </row>
    <row r="150" spans="1:10" s="38" customFormat="1" x14ac:dyDescent="0.25">
      <c r="A150" s="78" t="s">
        <v>186</v>
      </c>
      <c r="B150" s="78" t="str">
        <f>IF(ISBLANK(A150),"","K"&amp;COUNTA($A$147:A150))</f>
        <v>K3</v>
      </c>
      <c r="C150" s="212" t="s">
        <v>437</v>
      </c>
      <c r="D150" s="72" t="s">
        <v>91</v>
      </c>
      <c r="E150" s="71">
        <v>1</v>
      </c>
      <c r="F150" s="191">
        <v>750</v>
      </c>
      <c r="G150" s="191">
        <v>750</v>
      </c>
      <c r="H150" s="191">
        <v>750</v>
      </c>
      <c r="I150" s="191">
        <v>750</v>
      </c>
    </row>
    <row r="151" spans="1:10" s="38" customFormat="1" x14ac:dyDescent="0.25">
      <c r="A151" s="78" t="s">
        <v>186</v>
      </c>
      <c r="B151" s="78" t="str">
        <f>IF(ISBLANK(A151),"","K"&amp;COUNTA($A$147:A151))</f>
        <v>K4</v>
      </c>
      <c r="C151" s="212" t="s">
        <v>438</v>
      </c>
      <c r="D151" s="72" t="s">
        <v>91</v>
      </c>
      <c r="E151" s="71">
        <v>1</v>
      </c>
      <c r="F151" s="191">
        <v>-750</v>
      </c>
      <c r="G151" s="191">
        <v>-750</v>
      </c>
      <c r="H151" s="191"/>
      <c r="I151" s="191"/>
    </row>
    <row r="152" spans="1:10" s="38" customFormat="1" x14ac:dyDescent="0.25">
      <c r="A152" s="78" t="s">
        <v>186</v>
      </c>
      <c r="B152" s="78" t="str">
        <f>IF(ISBLANK(A152),"","K"&amp;COUNTA($A$147:A152))</f>
        <v>K5</v>
      </c>
      <c r="C152" s="616" t="s">
        <v>465</v>
      </c>
      <c r="D152" s="72" t="s">
        <v>91</v>
      </c>
      <c r="E152" s="71"/>
      <c r="F152" s="191">
        <v>136</v>
      </c>
      <c r="G152" s="191">
        <v>136</v>
      </c>
      <c r="H152" s="191">
        <v>136</v>
      </c>
      <c r="I152" s="191">
        <v>136</v>
      </c>
      <c r="J152" s="38" t="s">
        <v>344</v>
      </c>
    </row>
    <row r="153" spans="1:10" s="38" customFormat="1" x14ac:dyDescent="0.25">
      <c r="A153" s="43"/>
      <c r="B153" s="43" t="s">
        <v>127</v>
      </c>
      <c r="C153" s="3" t="s">
        <v>203</v>
      </c>
      <c r="D153" s="52"/>
      <c r="E153" s="52"/>
      <c r="F153" s="56">
        <f>SUMIF($A:$A,"KuN",F:F)</f>
        <v>136</v>
      </c>
      <c r="G153" s="56">
        <f>SUMIF($A:$A,"KuN",G:G)</f>
        <v>36</v>
      </c>
      <c r="H153" s="56">
        <f>SUMIF($A:$A,"KuN",H:H)</f>
        <v>786</v>
      </c>
      <c r="I153" s="56">
        <f>SUMIF($A:$A,"KuN",I:I)</f>
        <v>786</v>
      </c>
    </row>
    <row r="154" spans="1:10" s="38" customFormat="1" x14ac:dyDescent="0.25">
      <c r="A154" s="47"/>
      <c r="B154" s="78"/>
      <c r="C154" s="11"/>
      <c r="D154" s="49"/>
      <c r="E154" s="49"/>
      <c r="F154" s="57"/>
      <c r="G154" s="57"/>
      <c r="H154" s="57"/>
      <c r="I154" s="57"/>
    </row>
    <row r="155" spans="1:10" s="38" customFormat="1" x14ac:dyDescent="0.25">
      <c r="A155" s="48"/>
      <c r="B155" s="78"/>
      <c r="C155" s="248" t="s">
        <v>204</v>
      </c>
      <c r="D155" s="83"/>
      <c r="E155" s="71"/>
      <c r="F155" s="4">
        <f>F146</f>
        <v>2023</v>
      </c>
      <c r="G155" s="4">
        <f>F155+1</f>
        <v>2024</v>
      </c>
      <c r="H155" s="4">
        <f>G155+1</f>
        <v>2025</v>
      </c>
      <c r="I155" s="4">
        <f>H155+1</f>
        <v>2026</v>
      </c>
    </row>
    <row r="156" spans="1:10" s="38" customFormat="1" x14ac:dyDescent="0.25">
      <c r="A156" s="78" t="s">
        <v>206</v>
      </c>
      <c r="B156" s="78" t="str">
        <f>IF(ISBLANK(A156),"","T"&amp;COUNTA($A156:A$156))</f>
        <v>T1</v>
      </c>
      <c r="C156" s="344" t="s">
        <v>440</v>
      </c>
      <c r="D156" s="72" t="s">
        <v>91</v>
      </c>
      <c r="E156" s="71">
        <v>1</v>
      </c>
      <c r="F156" s="398">
        <v>5531</v>
      </c>
      <c r="G156" s="398">
        <v>5531</v>
      </c>
      <c r="H156" s="398">
        <v>5531</v>
      </c>
      <c r="I156" s="398">
        <v>5531</v>
      </c>
    </row>
    <row r="157" spans="1:10" s="38" customFormat="1" x14ac:dyDescent="0.25">
      <c r="A157" s="78"/>
      <c r="B157" s="78"/>
      <c r="C157" s="208" t="s">
        <v>205</v>
      </c>
      <c r="D157" s="83"/>
      <c r="E157" s="71"/>
      <c r="F157" s="4">
        <f>F155</f>
        <v>2023</v>
      </c>
      <c r="G157" s="4">
        <f>F157+1</f>
        <v>2024</v>
      </c>
      <c r="H157" s="4">
        <f>G157+1</f>
        <v>2025</v>
      </c>
      <c r="I157" s="4">
        <f>H157+1</f>
        <v>2026</v>
      </c>
    </row>
    <row r="158" spans="1:10" s="38" customFormat="1" ht="25.5" x14ac:dyDescent="0.25">
      <c r="A158" s="78" t="s">
        <v>206</v>
      </c>
      <c r="B158" s="78" t="str">
        <f>IF(ISBLANK(A158),"","T"&amp;COUNTA($A$156:A158))</f>
        <v>T2</v>
      </c>
      <c r="C158" s="212" t="s">
        <v>207</v>
      </c>
      <c r="D158" s="72" t="s">
        <v>83</v>
      </c>
      <c r="E158" s="231"/>
      <c r="F158" s="217"/>
      <c r="G158" s="217"/>
      <c r="H158" s="217"/>
      <c r="I158" s="217">
        <v>1000</v>
      </c>
      <c r="J158" s="144" t="s">
        <v>345</v>
      </c>
    </row>
    <row r="159" spans="1:10" s="38" customFormat="1" x14ac:dyDescent="0.25">
      <c r="A159" s="78" t="s">
        <v>206</v>
      </c>
      <c r="B159" s="78" t="str">
        <f>IF(ISBLANK(A159),"","T"&amp;COUNTA($A$156:A159))</f>
        <v>T3</v>
      </c>
      <c r="C159" s="212" t="s">
        <v>208</v>
      </c>
      <c r="D159" s="72" t="s">
        <v>91</v>
      </c>
      <c r="E159" s="71" t="s">
        <v>24</v>
      </c>
      <c r="F159" s="217">
        <v>150</v>
      </c>
      <c r="G159" s="217">
        <v>150</v>
      </c>
      <c r="H159" s="217">
        <v>150</v>
      </c>
      <c r="I159" s="217">
        <v>150</v>
      </c>
    </row>
    <row r="160" spans="1:10" s="38" customFormat="1" x14ac:dyDescent="0.25">
      <c r="A160" s="78"/>
      <c r="B160" s="78"/>
      <c r="C160" s="212"/>
      <c r="D160" s="72"/>
      <c r="E160" s="71"/>
      <c r="F160" s="398"/>
      <c r="G160" s="398"/>
      <c r="H160" s="398"/>
      <c r="I160" s="398"/>
    </row>
    <row r="161" spans="1:10" s="38" customFormat="1" x14ac:dyDescent="0.25">
      <c r="A161" s="78"/>
      <c r="B161" s="78" t="str">
        <f>IF(ISBLANK(A161),"","T"&amp;COUNTA($A$156:A161))</f>
        <v/>
      </c>
      <c r="C161" s="208" t="s">
        <v>209</v>
      </c>
      <c r="D161" s="72"/>
      <c r="E161" s="71"/>
      <c r="F161" s="4">
        <f>F157</f>
        <v>2023</v>
      </c>
      <c r="G161" s="4">
        <f>F161+1</f>
        <v>2024</v>
      </c>
      <c r="H161" s="4">
        <f>G161+1</f>
        <v>2025</v>
      </c>
      <c r="I161" s="4">
        <f>H161+1</f>
        <v>2026</v>
      </c>
    </row>
    <row r="162" spans="1:10" s="38" customFormat="1" x14ac:dyDescent="0.25">
      <c r="A162" s="78" t="s">
        <v>206</v>
      </c>
      <c r="B162" s="78" t="str">
        <f>IF(ISBLANK(A162),"","T"&amp;COUNTA($A$156:A162))</f>
        <v>T4</v>
      </c>
      <c r="C162" s="344" t="s">
        <v>210</v>
      </c>
      <c r="D162" s="72" t="s">
        <v>91</v>
      </c>
      <c r="E162" s="231"/>
      <c r="F162" s="217">
        <v>15000</v>
      </c>
      <c r="G162" s="217">
        <v>15000</v>
      </c>
      <c r="H162" s="217"/>
      <c r="I162" s="217"/>
      <c r="J162" s="38" t="s">
        <v>346</v>
      </c>
    </row>
    <row r="163" spans="1:10" s="38" customFormat="1" x14ac:dyDescent="0.25">
      <c r="A163" s="78" t="s">
        <v>206</v>
      </c>
      <c r="B163" s="78" t="str">
        <f>IF(ISBLANK(A163),"","T"&amp;COUNTA($A$156:A163))</f>
        <v>T5</v>
      </c>
      <c r="C163" s="344" t="s">
        <v>211</v>
      </c>
      <c r="D163" s="72" t="s">
        <v>91</v>
      </c>
      <c r="E163" s="71" t="s">
        <v>24</v>
      </c>
      <c r="F163" s="217">
        <v>450</v>
      </c>
      <c r="G163" s="217"/>
      <c r="H163" s="217"/>
      <c r="I163" s="217"/>
    </row>
    <row r="164" spans="1:10" s="38" customFormat="1" x14ac:dyDescent="0.25">
      <c r="A164" s="78"/>
      <c r="B164" s="78"/>
      <c r="C164" s="344"/>
      <c r="D164" s="72"/>
      <c r="E164" s="71"/>
      <c r="F164" s="217"/>
      <c r="G164" s="217"/>
      <c r="H164" s="217"/>
      <c r="I164" s="217"/>
    </row>
    <row r="165" spans="1:10" s="38" customFormat="1" x14ac:dyDescent="0.25">
      <c r="A165" s="78"/>
      <c r="B165" s="78" t="str">
        <f>IF(ISBLANK(A165),"","T"&amp;COUNTA($A$156:A165))</f>
        <v/>
      </c>
      <c r="C165" s="208" t="s">
        <v>212</v>
      </c>
      <c r="D165" s="72"/>
      <c r="E165" s="71"/>
      <c r="F165" s="4">
        <f>+F161</f>
        <v>2023</v>
      </c>
      <c r="G165" s="4">
        <f>F165+1</f>
        <v>2024</v>
      </c>
      <c r="H165" s="4">
        <f>G165+1</f>
        <v>2025</v>
      </c>
      <c r="I165" s="4">
        <f>H165+1</f>
        <v>2026</v>
      </c>
    </row>
    <row r="166" spans="1:10" s="38" customFormat="1" x14ac:dyDescent="0.25">
      <c r="A166" s="78"/>
      <c r="B166" s="78"/>
      <c r="C166" s="344"/>
      <c r="D166" s="72"/>
      <c r="E166" s="609"/>
      <c r="F166" s="217"/>
      <c r="G166" s="217"/>
      <c r="H166" s="217"/>
      <c r="I166" s="217"/>
      <c r="J166" s="144"/>
    </row>
    <row r="167" spans="1:10" s="38" customFormat="1" x14ac:dyDescent="0.25">
      <c r="A167" s="78"/>
      <c r="B167" s="78" t="str">
        <f>IF(ISBLANK(A167),"","T"&amp;COUNTA($A$156:A167))</f>
        <v/>
      </c>
      <c r="C167" s="208" t="s">
        <v>213</v>
      </c>
      <c r="D167" s="72"/>
      <c r="E167" s="71"/>
      <c r="F167" s="4">
        <f>F161</f>
        <v>2023</v>
      </c>
      <c r="G167" s="4">
        <f>F167+1</f>
        <v>2024</v>
      </c>
      <c r="H167" s="4">
        <f>G167+1</f>
        <v>2025</v>
      </c>
      <c r="I167" s="4">
        <f>H167+1</f>
        <v>2026</v>
      </c>
    </row>
    <row r="168" spans="1:10" s="38" customFormat="1" ht="25.5" x14ac:dyDescent="0.25">
      <c r="A168" s="45" t="s">
        <v>206</v>
      </c>
      <c r="B168" s="78" t="str">
        <f>IF(ISBLANK(A168),"","T"&amp;COUNTA($A$156:A168))</f>
        <v>T6</v>
      </c>
      <c r="C168" s="212" t="s">
        <v>214</v>
      </c>
      <c r="D168" s="72" t="s">
        <v>83</v>
      </c>
      <c r="E168" s="71" t="s">
        <v>84</v>
      </c>
      <c r="F168" s="546">
        <v>10</v>
      </c>
      <c r="G168" s="546">
        <v>20</v>
      </c>
      <c r="H168" s="546">
        <v>30</v>
      </c>
      <c r="I168" s="546">
        <v>40</v>
      </c>
      <c r="J168" s="144" t="s">
        <v>441</v>
      </c>
    </row>
    <row r="169" spans="1:10" s="38" customFormat="1" ht="30" x14ac:dyDescent="0.25">
      <c r="A169" s="45" t="s">
        <v>206</v>
      </c>
      <c r="B169" s="78" t="str">
        <f>IF(ISBLANK(A169),"","T"&amp;COUNTA($A$156:A169))</f>
        <v>T7</v>
      </c>
      <c r="C169" s="212" t="s">
        <v>217</v>
      </c>
      <c r="D169" s="72" t="s">
        <v>83</v>
      </c>
      <c r="E169" s="71" t="s">
        <v>24</v>
      </c>
      <c r="F169" s="546">
        <v>-1437</v>
      </c>
      <c r="G169" s="546">
        <v>-1437</v>
      </c>
      <c r="H169" s="546">
        <v>-1437</v>
      </c>
      <c r="I169" s="546">
        <v>-1437</v>
      </c>
      <c r="J169" s="295" t="s">
        <v>348</v>
      </c>
    </row>
    <row r="170" spans="1:10" s="38" customFormat="1" x14ac:dyDescent="0.25">
      <c r="A170" s="45" t="s">
        <v>206</v>
      </c>
      <c r="B170" s="78" t="str">
        <f>IF(ISBLANK(A170),"","T"&amp;COUNTA($A$156:A170))</f>
        <v>T8</v>
      </c>
      <c r="C170" s="212" t="s">
        <v>218</v>
      </c>
      <c r="D170" s="72" t="s">
        <v>83</v>
      </c>
      <c r="E170" s="71" t="s">
        <v>24</v>
      </c>
      <c r="F170" s="546">
        <v>1300</v>
      </c>
      <c r="G170" s="546">
        <v>1300</v>
      </c>
      <c r="H170" s="546">
        <v>1300</v>
      </c>
      <c r="I170" s="546">
        <v>1300</v>
      </c>
      <c r="J170" s="38" t="s">
        <v>349</v>
      </c>
    </row>
    <row r="171" spans="1:10" s="38" customFormat="1" x14ac:dyDescent="0.25">
      <c r="A171" s="45"/>
      <c r="B171" s="78" t="str">
        <f>IF(ISBLANK(A171),"","T"&amp;COUNTA($A$156:A171))</f>
        <v/>
      </c>
      <c r="C171" s="208" t="s">
        <v>224</v>
      </c>
      <c r="D171" s="72"/>
      <c r="E171" s="71"/>
      <c r="F171" s="4">
        <f>+F167</f>
        <v>2023</v>
      </c>
      <c r="G171" s="4">
        <f>F171+1</f>
        <v>2024</v>
      </c>
      <c r="H171" s="4">
        <f>G171+1</f>
        <v>2025</v>
      </c>
      <c r="I171" s="4">
        <f>H171+1</f>
        <v>2026</v>
      </c>
    </row>
    <row r="172" spans="1:10" s="38" customFormat="1" ht="30" x14ac:dyDescent="0.25">
      <c r="A172" s="45" t="s">
        <v>206</v>
      </c>
      <c r="B172" s="78" t="str">
        <f>IF(ISBLANK(A172),"","T"&amp;COUNTA($A$156:A172))</f>
        <v>T9</v>
      </c>
      <c r="C172" s="212" t="s">
        <v>225</v>
      </c>
      <c r="D172" s="72" t="s">
        <v>91</v>
      </c>
      <c r="E172" s="71" t="s">
        <v>24</v>
      </c>
      <c r="F172" s="546">
        <v>1300</v>
      </c>
      <c r="G172" s="546">
        <v>1300</v>
      </c>
      <c r="H172" s="546">
        <v>600</v>
      </c>
      <c r="I172" s="546">
        <v>500</v>
      </c>
      <c r="J172" s="295" t="s">
        <v>350</v>
      </c>
    </row>
    <row r="173" spans="1:10" s="38" customFormat="1" ht="45" x14ac:dyDescent="0.25">
      <c r="A173" s="45" t="s">
        <v>206</v>
      </c>
      <c r="B173" s="78" t="str">
        <f>IF(ISBLANK(A173),"","T"&amp;COUNTA($A$156:A173))</f>
        <v>T10</v>
      </c>
      <c r="C173" s="212" t="s">
        <v>226</v>
      </c>
      <c r="D173" s="72" t="s">
        <v>91</v>
      </c>
      <c r="E173" s="71" t="s">
        <v>24</v>
      </c>
      <c r="F173" s="546">
        <v>250</v>
      </c>
      <c r="G173" s="546">
        <v>250</v>
      </c>
      <c r="H173" s="546">
        <v>250</v>
      </c>
      <c r="I173" s="546">
        <v>250</v>
      </c>
      <c r="J173" s="295" t="s">
        <v>351</v>
      </c>
    </row>
    <row r="174" spans="1:10" s="38" customFormat="1" ht="45" x14ac:dyDescent="0.25">
      <c r="A174" s="45" t="s">
        <v>206</v>
      </c>
      <c r="B174" s="78" t="str">
        <f>IF(ISBLANK(A174),"","T"&amp;COUNTA($A$156:A174))</f>
        <v>T11</v>
      </c>
      <c r="C174" s="212" t="s">
        <v>227</v>
      </c>
      <c r="D174" s="72" t="s">
        <v>91</v>
      </c>
      <c r="E174" s="71" t="s">
        <v>24</v>
      </c>
      <c r="F174" s="546">
        <v>150</v>
      </c>
      <c r="G174" s="546">
        <v>150</v>
      </c>
      <c r="H174" s="546">
        <v>150</v>
      </c>
      <c r="I174" s="546">
        <v>150</v>
      </c>
      <c r="J174" s="295" t="s">
        <v>351</v>
      </c>
    </row>
    <row r="175" spans="1:10" s="38" customFormat="1" x14ac:dyDescent="0.25">
      <c r="A175" s="45"/>
      <c r="B175" s="78" t="str">
        <f>IF(ISBLANK(A175),"","T"&amp;COUNTA($A$156:A175))</f>
        <v/>
      </c>
      <c r="C175" s="208" t="s">
        <v>228</v>
      </c>
      <c r="D175" s="72"/>
      <c r="E175" s="71"/>
      <c r="F175" s="4">
        <f>+F171</f>
        <v>2023</v>
      </c>
      <c r="G175" s="4">
        <f>F175+1</f>
        <v>2024</v>
      </c>
      <c r="H175" s="4">
        <f>G175+1</f>
        <v>2025</v>
      </c>
      <c r="I175" s="4">
        <f>H175+1</f>
        <v>2026</v>
      </c>
    </row>
    <row r="176" spans="1:10" s="38" customFormat="1" x14ac:dyDescent="0.25">
      <c r="A176" s="45" t="s">
        <v>206</v>
      </c>
      <c r="B176" s="78" t="str">
        <f>IF(ISBLANK(A176),"","T"&amp;COUNTA($A$156:A176))</f>
        <v>T12</v>
      </c>
      <c r="C176" s="385" t="s">
        <v>442</v>
      </c>
      <c r="D176" s="214" t="s">
        <v>91</v>
      </c>
      <c r="E176" s="111" t="s">
        <v>24</v>
      </c>
      <c r="F176" s="547">
        <v>1000</v>
      </c>
      <c r="G176" s="547">
        <v>1000</v>
      </c>
      <c r="H176" s="547">
        <v>1000</v>
      </c>
      <c r="I176" s="547">
        <v>1000</v>
      </c>
    </row>
    <row r="177" spans="1:10" s="38" customFormat="1" x14ac:dyDescent="0.25">
      <c r="A177" s="45"/>
      <c r="B177" s="78"/>
      <c r="C177" s="212"/>
      <c r="D177" s="214"/>
      <c r="E177" s="111"/>
      <c r="F177" s="217"/>
      <c r="G177" s="217"/>
      <c r="H177" s="217"/>
      <c r="I177" s="217"/>
    </row>
    <row r="178" spans="1:10" s="38" customFormat="1" x14ac:dyDescent="0.25">
      <c r="A178" s="43"/>
      <c r="B178" s="43" t="s">
        <v>127</v>
      </c>
      <c r="C178" s="3" t="s">
        <v>230</v>
      </c>
      <c r="D178" s="52"/>
      <c r="E178" s="52"/>
      <c r="F178" s="56">
        <f>SUMIF($A:$A,"byte",F:F)</f>
        <v>23704</v>
      </c>
      <c r="G178" s="56">
        <f>SUMIF($A:$A,"byte",G:G)</f>
        <v>23264</v>
      </c>
      <c r="H178" s="56">
        <f>SUMIF($A:$A,"byte",H:H)</f>
        <v>7574</v>
      </c>
      <c r="I178" s="56">
        <f>SUMIF($A:$A,"byte",I:I)</f>
        <v>8484</v>
      </c>
    </row>
    <row r="179" spans="1:10" s="38" customFormat="1" x14ac:dyDescent="0.25">
      <c r="A179"/>
      <c r="B179" s="78"/>
      <c r="C179"/>
      <c r="D179"/>
      <c r="E179"/>
      <c r="F179"/>
      <c r="G179"/>
      <c r="H179"/>
      <c r="I179"/>
    </row>
    <row r="180" spans="1:10" s="38" customFormat="1" x14ac:dyDescent="0.25">
      <c r="A180" s="78"/>
      <c r="B180" s="78"/>
      <c r="C180" s="208" t="s">
        <v>231</v>
      </c>
      <c r="D180" s="72"/>
      <c r="E180" s="71"/>
      <c r="F180" s="4">
        <f>F167</f>
        <v>2023</v>
      </c>
      <c r="G180" s="4">
        <f>F180+1</f>
        <v>2024</v>
      </c>
      <c r="H180" s="4">
        <f>G180+1</f>
        <v>2025</v>
      </c>
      <c r="I180" s="4">
        <f>H180+1</f>
        <v>2026</v>
      </c>
    </row>
    <row r="181" spans="1:10" s="38" customFormat="1" x14ac:dyDescent="0.25">
      <c r="A181" s="78" t="s">
        <v>232</v>
      </c>
      <c r="B181" s="78" t="str">
        <f>IF(ISBLANK(A181),"","O"&amp;COUNTA($A$181:A181))</f>
        <v>O1</v>
      </c>
      <c r="C181" s="84" t="s">
        <v>233</v>
      </c>
      <c r="D181" s="72" t="s">
        <v>89</v>
      </c>
      <c r="E181" s="71" t="s">
        <v>84</v>
      </c>
      <c r="F181" s="70"/>
      <c r="G181" s="70">
        <v>5000</v>
      </c>
      <c r="H181" s="70">
        <v>10000</v>
      </c>
      <c r="I181" s="70">
        <v>10000</v>
      </c>
    </row>
    <row r="182" spans="1:10" s="38" customFormat="1" x14ac:dyDescent="0.25">
      <c r="A182" s="78" t="s">
        <v>232</v>
      </c>
      <c r="B182" s="78" t="str">
        <f>IF(ISBLANK(A182),"","O"&amp;COUNTA($A$181:A182))</f>
        <v>O2</v>
      </c>
      <c r="C182" s="84" t="s">
        <v>234</v>
      </c>
      <c r="D182" s="72" t="s">
        <v>89</v>
      </c>
      <c r="E182" s="71" t="s">
        <v>84</v>
      </c>
      <c r="F182" s="70"/>
      <c r="G182" s="70">
        <v>-6400</v>
      </c>
      <c r="H182" s="70">
        <v>-6400</v>
      </c>
      <c r="I182" s="70">
        <v>-6400</v>
      </c>
    </row>
    <row r="183" spans="1:10" s="38" customFormat="1" x14ac:dyDescent="0.25">
      <c r="A183" s="78" t="s">
        <v>232</v>
      </c>
      <c r="B183" s="78" t="str">
        <f>IF(ISBLANK(A183),"","O"&amp;COUNTA($A$181:A183))</f>
        <v>O3</v>
      </c>
      <c r="C183" s="84" t="s">
        <v>466</v>
      </c>
      <c r="D183" s="72" t="s">
        <v>91</v>
      </c>
      <c r="E183" s="414">
        <v>1</v>
      </c>
      <c r="F183" s="70">
        <v>700</v>
      </c>
      <c r="G183" s="70">
        <v>700</v>
      </c>
      <c r="H183" s="70">
        <v>700</v>
      </c>
      <c r="I183" s="70">
        <v>700</v>
      </c>
    </row>
    <row r="184" spans="1:10" s="38" customFormat="1" x14ac:dyDescent="0.25">
      <c r="A184" s="78" t="s">
        <v>232</v>
      </c>
      <c r="B184" s="78" t="str">
        <f>IF(ISBLANK(A184),"","O"&amp;COUNTA($A$181:A184))</f>
        <v>O4</v>
      </c>
      <c r="C184" s="84" t="s">
        <v>445</v>
      </c>
      <c r="D184" s="72" t="s">
        <v>91</v>
      </c>
      <c r="E184" s="71" t="s">
        <v>24</v>
      </c>
      <c r="F184" s="70">
        <v>1200</v>
      </c>
      <c r="G184" s="70">
        <v>1200</v>
      </c>
      <c r="H184" s="70">
        <v>1200</v>
      </c>
      <c r="I184" s="70">
        <v>1200</v>
      </c>
    </row>
    <row r="185" spans="1:10" s="38" customFormat="1" x14ac:dyDescent="0.25">
      <c r="A185" s="78" t="s">
        <v>232</v>
      </c>
      <c r="B185" s="78" t="str">
        <f>IF(ISBLANK(A185),"","O"&amp;COUNTA($A$181:A185))</f>
        <v>O5</v>
      </c>
      <c r="C185" s="344" t="s">
        <v>238</v>
      </c>
      <c r="D185" s="72" t="s">
        <v>91</v>
      </c>
      <c r="E185" s="71"/>
      <c r="F185" s="254">
        <v>1000</v>
      </c>
      <c r="G185" s="254">
        <v>1000</v>
      </c>
      <c r="H185" s="254"/>
      <c r="I185" s="254"/>
      <c r="J185" s="38" t="s">
        <v>352</v>
      </c>
    </row>
    <row r="186" spans="1:10" s="38" customFormat="1" x14ac:dyDescent="0.25">
      <c r="A186" s="78" t="s">
        <v>232</v>
      </c>
      <c r="B186" s="78" t="str">
        <f>IF(ISBLANK(A186),"","O"&amp;COUNTA($A$181:A186))</f>
        <v>O6</v>
      </c>
      <c r="C186" s="344" t="s">
        <v>446</v>
      </c>
      <c r="D186" s="72" t="s">
        <v>91</v>
      </c>
      <c r="E186" s="71"/>
      <c r="F186" s="254">
        <v>-1000</v>
      </c>
      <c r="G186" s="254">
        <v>-1000</v>
      </c>
      <c r="H186" s="254"/>
      <c r="I186" s="254"/>
    </row>
    <row r="187" spans="1:10" s="38" customFormat="1" x14ac:dyDescent="0.25">
      <c r="A187" s="43"/>
      <c r="B187" s="43" t="s">
        <v>127</v>
      </c>
      <c r="C187" s="3" t="s">
        <v>240</v>
      </c>
      <c r="D187" s="52"/>
      <c r="E187" s="52"/>
      <c r="F187" s="56">
        <f>SUMIF($A:$A,"ORG",F:F)</f>
        <v>1900</v>
      </c>
      <c r="G187" s="56">
        <f>SUMIF($A:$A,"ORG",G:G)</f>
        <v>500</v>
      </c>
      <c r="H187" s="56">
        <f>SUMIF($A:$A,"ORG",H:H)</f>
        <v>5500</v>
      </c>
      <c r="I187" s="56">
        <f>SUMIF($A:$A,"ORG",I:I)</f>
        <v>5500</v>
      </c>
    </row>
    <row r="188" spans="1:10" s="38" customFormat="1" x14ac:dyDescent="0.25">
      <c r="A188" s="47"/>
      <c r="B188" s="78"/>
      <c r="C188" s="11"/>
      <c r="D188" s="49"/>
      <c r="E188" s="49"/>
      <c r="F188" s="57"/>
      <c r="G188" s="57"/>
      <c r="H188" s="57"/>
      <c r="I188" s="57"/>
    </row>
    <row r="189" spans="1:10" s="38" customFormat="1" x14ac:dyDescent="0.25">
      <c r="A189" s="48"/>
      <c r="B189" s="78"/>
      <c r="C189" s="13" t="s">
        <v>241</v>
      </c>
      <c r="D189" s="50"/>
      <c r="E189" s="61"/>
      <c r="F189" s="4">
        <f>F180</f>
        <v>2023</v>
      </c>
      <c r="G189" s="4">
        <f>F189+1</f>
        <v>2024</v>
      </c>
      <c r="H189" s="4">
        <f>G189+1</f>
        <v>2025</v>
      </c>
      <c r="I189" s="4">
        <f>H189+1</f>
        <v>2026</v>
      </c>
    </row>
    <row r="190" spans="1:10" s="38" customFormat="1" x14ac:dyDescent="0.25">
      <c r="A190" s="45" t="s">
        <v>242</v>
      </c>
      <c r="B190" s="78" t="str">
        <f>IF(ISBLANK(A190),"","Ø"&amp;COUNTA($A$190:A190))</f>
        <v>Ø1</v>
      </c>
      <c r="C190" s="346" t="s">
        <v>447</v>
      </c>
      <c r="D190" s="72" t="s">
        <v>91</v>
      </c>
      <c r="E190" s="71">
        <v>1</v>
      </c>
      <c r="F190" s="70">
        <v>1400</v>
      </c>
      <c r="G190" s="70">
        <v>1400</v>
      </c>
      <c r="H190" s="70">
        <v>1400</v>
      </c>
      <c r="I190" s="70">
        <v>1400</v>
      </c>
    </row>
    <row r="191" spans="1:10" s="38" customFormat="1" x14ac:dyDescent="0.25">
      <c r="A191" s="45" t="s">
        <v>242</v>
      </c>
      <c r="B191" s="78" t="str">
        <f>IF(ISBLANK(A191),"","Ø"&amp;COUNTA($A$190:A191))</f>
        <v>Ø2</v>
      </c>
      <c r="C191" s="347" t="s">
        <v>245</v>
      </c>
      <c r="D191" s="72" t="s">
        <v>91</v>
      </c>
      <c r="E191" s="71">
        <v>1</v>
      </c>
      <c r="F191" s="421">
        <f>1600-1600</f>
        <v>0</v>
      </c>
      <c r="G191" s="70">
        <v>1600</v>
      </c>
      <c r="H191" s="70">
        <v>1600</v>
      </c>
      <c r="I191" s="70">
        <v>1600</v>
      </c>
      <c r="J191" s="38" t="s">
        <v>467</v>
      </c>
    </row>
    <row r="192" spans="1:10" s="38" customFormat="1" x14ac:dyDescent="0.25">
      <c r="A192" s="45" t="s">
        <v>242</v>
      </c>
      <c r="B192" s="78" t="str">
        <f>IF(ISBLANK(A192),"","Ø"&amp;COUNTA($A$190:A192))</f>
        <v>Ø3</v>
      </c>
      <c r="C192" s="347" t="s">
        <v>382</v>
      </c>
      <c r="D192" s="72" t="s">
        <v>91</v>
      </c>
      <c r="E192" s="71">
        <v>1</v>
      </c>
      <c r="F192" s="70"/>
      <c r="G192" s="70"/>
      <c r="H192" s="70"/>
      <c r="I192" s="70"/>
      <c r="J192" s="38" t="s">
        <v>383</v>
      </c>
    </row>
    <row r="193" spans="1:10" s="38" customFormat="1" x14ac:dyDescent="0.25">
      <c r="A193" s="45" t="s">
        <v>242</v>
      </c>
      <c r="B193" s="78" t="str">
        <f>IF(ISBLANK(A193),"","Ø"&amp;COUNTA($A$190:A193))</f>
        <v>Ø4</v>
      </c>
      <c r="C193" s="347" t="s">
        <v>449</v>
      </c>
      <c r="D193" s="72" t="s">
        <v>91</v>
      </c>
      <c r="E193" s="71"/>
      <c r="F193" s="70"/>
      <c r="G193" s="70">
        <v>800</v>
      </c>
      <c r="H193" s="70">
        <v>800</v>
      </c>
      <c r="I193" s="70">
        <v>800</v>
      </c>
    </row>
    <row r="194" spans="1:10" s="38" customFormat="1" x14ac:dyDescent="0.25">
      <c r="A194" s="43"/>
      <c r="B194" s="43" t="s">
        <v>127</v>
      </c>
      <c r="C194" s="3" t="s">
        <v>248</v>
      </c>
      <c r="D194" s="52"/>
      <c r="E194" s="52"/>
      <c r="F194" s="56">
        <f>SUMIF($A:$A,"ØK",F:F)</f>
        <v>1400</v>
      </c>
      <c r="G194" s="56">
        <f>SUMIF($A:$A,"ØK",G:G)</f>
        <v>3800</v>
      </c>
      <c r="H194" s="56">
        <f>SUMIF($A:$A,"ØK",H:H)</f>
        <v>3800</v>
      </c>
      <c r="I194" s="56">
        <f>SUMIF($A:$A,"ØK",I:I)</f>
        <v>3800</v>
      </c>
    </row>
    <row r="195" spans="1:10" s="38" customFormat="1" x14ac:dyDescent="0.25">
      <c r="A195" s="47"/>
      <c r="B195" s="78"/>
      <c r="C195" s="11"/>
      <c r="D195" s="49"/>
      <c r="E195" s="49"/>
      <c r="F195" s="57"/>
      <c r="G195" s="57"/>
      <c r="H195" s="57"/>
      <c r="I195" s="57"/>
    </row>
    <row r="196" spans="1:10" s="38" customFormat="1" ht="30" x14ac:dyDescent="0.25">
      <c r="A196" s="48"/>
      <c r="B196" s="78"/>
      <c r="C196" s="13" t="s">
        <v>249</v>
      </c>
      <c r="D196" s="50"/>
      <c r="E196" s="61"/>
      <c r="F196" s="58"/>
      <c r="G196" s="58"/>
      <c r="H196" s="58"/>
      <c r="I196" s="58"/>
    </row>
    <row r="197" spans="1:10" s="38" customFormat="1" x14ac:dyDescent="0.25">
      <c r="A197" s="249"/>
      <c r="B197" s="78"/>
      <c r="C197" s="82" t="s">
        <v>250</v>
      </c>
      <c r="D197" s="83"/>
      <c r="E197" s="71"/>
      <c r="F197" s="4">
        <f>F189</f>
        <v>2023</v>
      </c>
      <c r="G197" s="4">
        <f>F197+1</f>
        <v>2024</v>
      </c>
      <c r="H197" s="4">
        <f>G197+1</f>
        <v>2025</v>
      </c>
      <c r="I197" s="4">
        <f>H197+1</f>
        <v>2026</v>
      </c>
    </row>
    <row r="198" spans="1:10" s="38" customFormat="1" x14ac:dyDescent="0.25">
      <c r="A198" s="72" t="s">
        <v>251</v>
      </c>
      <c r="B198" s="78" t="str">
        <f>IF(ISBLANK(A198),"","F"&amp;COUNTA($A$198:A198))</f>
        <v>F1</v>
      </c>
      <c r="C198" s="245" t="s">
        <v>450</v>
      </c>
      <c r="D198" s="79" t="s">
        <v>91</v>
      </c>
      <c r="E198" s="71" t="s">
        <v>24</v>
      </c>
      <c r="F198" s="191">
        <v>150</v>
      </c>
      <c r="G198" s="191">
        <v>150</v>
      </c>
      <c r="H198" s="191">
        <v>150</v>
      </c>
      <c r="I198" s="191">
        <v>150</v>
      </c>
    </row>
    <row r="199" spans="1:10" s="38" customFormat="1" x14ac:dyDescent="0.25">
      <c r="A199" s="72"/>
      <c r="B199" s="78" t="str">
        <f>IF(ISBLANK(A199),"","F"&amp;COUNTA($A$198:A199))</f>
        <v/>
      </c>
      <c r="C199" s="82" t="s">
        <v>257</v>
      </c>
      <c r="D199" s="83"/>
      <c r="E199" s="71"/>
      <c r="F199" s="300">
        <f>F197</f>
        <v>2023</v>
      </c>
      <c r="G199" s="300">
        <f>F199+1</f>
        <v>2024</v>
      </c>
      <c r="H199" s="300">
        <f>G199+1</f>
        <v>2025</v>
      </c>
      <c r="I199" s="300">
        <f>H199+1</f>
        <v>2026</v>
      </c>
    </row>
    <row r="200" spans="1:10" s="38" customFormat="1" x14ac:dyDescent="0.25">
      <c r="A200" s="72" t="s">
        <v>251</v>
      </c>
      <c r="B200" s="78" t="str">
        <f>IF(ISBLANK(A200),"","F"&amp;COUNTA($A$198:A200))</f>
        <v>F2</v>
      </c>
      <c r="C200" s="84" t="s">
        <v>384</v>
      </c>
      <c r="D200" s="72" t="s">
        <v>89</v>
      </c>
      <c r="E200" s="71" t="s">
        <v>84</v>
      </c>
      <c r="F200" s="612">
        <v>2500</v>
      </c>
      <c r="G200" s="612">
        <v>2500</v>
      </c>
      <c r="H200" s="612">
        <v>2500</v>
      </c>
      <c r="I200" s="612">
        <v>2500</v>
      </c>
      <c r="J200" s="144" t="s">
        <v>385</v>
      </c>
    </row>
    <row r="201" spans="1:10" s="38" customFormat="1" x14ac:dyDescent="0.25">
      <c r="A201" s="72" t="s">
        <v>251</v>
      </c>
      <c r="B201" s="78" t="str">
        <f>IF(ISBLANK(A201),"","F"&amp;COUNTA($A$198:A201))</f>
        <v>F3</v>
      </c>
      <c r="C201" s="84" t="s">
        <v>386</v>
      </c>
      <c r="D201" s="72" t="s">
        <v>89</v>
      </c>
      <c r="E201" s="71" t="s">
        <v>84</v>
      </c>
      <c r="F201" s="612">
        <v>-2000</v>
      </c>
      <c r="G201" s="612">
        <v>-600</v>
      </c>
      <c r="H201" s="612">
        <v>-600</v>
      </c>
      <c r="I201" s="612">
        <v>-600</v>
      </c>
      <c r="J201" s="611" t="s">
        <v>387</v>
      </c>
    </row>
    <row r="202" spans="1:10" s="38" customFormat="1" x14ac:dyDescent="0.25">
      <c r="A202" s="72" t="s">
        <v>251</v>
      </c>
      <c r="B202" s="78" t="str">
        <f>IF(ISBLANK(A202),"","F"&amp;COUNTA($A$198:A202))</f>
        <v>F4</v>
      </c>
      <c r="C202" s="84" t="s">
        <v>260</v>
      </c>
      <c r="D202" s="72" t="s">
        <v>83</v>
      </c>
      <c r="E202" s="71" t="s">
        <v>24</v>
      </c>
      <c r="F202" s="282">
        <v>132000</v>
      </c>
      <c r="G202" s="282">
        <v>132000</v>
      </c>
      <c r="H202" s="282">
        <v>132000</v>
      </c>
      <c r="I202" s="282">
        <v>132000</v>
      </c>
      <c r="J202" s="38" t="s">
        <v>388</v>
      </c>
    </row>
    <row r="203" spans="1:10" s="38" customFormat="1" ht="25.5" x14ac:dyDescent="0.25">
      <c r="A203" s="72" t="s">
        <v>251</v>
      </c>
      <c r="B203" s="78" t="str">
        <f>IF(ISBLANK(A203),"","F"&amp;COUNTA($A$198:A203))</f>
        <v>F5</v>
      </c>
      <c r="C203" s="84" t="s">
        <v>451</v>
      </c>
      <c r="D203" s="72" t="s">
        <v>89</v>
      </c>
      <c r="E203" s="71" t="s">
        <v>84</v>
      </c>
      <c r="F203" s="528"/>
      <c r="G203" s="528">
        <v>-575</v>
      </c>
      <c r="H203" s="528">
        <v>-575</v>
      </c>
      <c r="I203" s="528">
        <v>-575</v>
      </c>
    </row>
    <row r="204" spans="1:10" s="38" customFormat="1" ht="25.5" x14ac:dyDescent="0.25">
      <c r="A204" s="72" t="s">
        <v>251</v>
      </c>
      <c r="B204" s="78" t="str">
        <f>IF(ISBLANK(A204),"","F"&amp;COUNTA($A$198:A204))</f>
        <v>F6</v>
      </c>
      <c r="C204" s="84" t="s">
        <v>263</v>
      </c>
      <c r="D204" s="72" t="s">
        <v>89</v>
      </c>
      <c r="E204" s="71" t="s">
        <v>84</v>
      </c>
      <c r="F204" s="255"/>
      <c r="G204" s="255"/>
      <c r="H204" s="255"/>
      <c r="I204" s="255">
        <v>-450</v>
      </c>
    </row>
    <row r="205" spans="1:10" s="38" customFormat="1" x14ac:dyDescent="0.25">
      <c r="A205" s="72" t="s">
        <v>251</v>
      </c>
      <c r="B205" s="78" t="str">
        <f>IF(ISBLANK(A205),"","F"&amp;COUNTA($A$198:A205))</f>
        <v>F7</v>
      </c>
      <c r="C205" s="604" t="s">
        <v>452</v>
      </c>
      <c r="D205" s="72" t="s">
        <v>91</v>
      </c>
      <c r="E205" s="71" t="s">
        <v>24</v>
      </c>
      <c r="F205" s="615">
        <v>0</v>
      </c>
      <c r="G205" s="615">
        <v>0</v>
      </c>
      <c r="H205" s="615">
        <v>0</v>
      </c>
      <c r="I205" s="615"/>
      <c r="J205" s="611" t="s">
        <v>453</v>
      </c>
    </row>
    <row r="206" spans="1:10" s="38" customFormat="1" x14ac:dyDescent="0.25">
      <c r="A206" s="72" t="s">
        <v>251</v>
      </c>
      <c r="B206" s="78" t="str">
        <f>IF(ISBLANK(A206),"","F"&amp;COUNTA($A$198:A206))</f>
        <v>F8</v>
      </c>
      <c r="C206" s="604" t="s">
        <v>265</v>
      </c>
      <c r="D206" s="72" t="s">
        <v>91</v>
      </c>
      <c r="E206" s="71">
        <v>2</v>
      </c>
      <c r="F206" s="613">
        <v>700</v>
      </c>
      <c r="G206" s="613">
        <v>700</v>
      </c>
      <c r="H206" s="613">
        <v>800</v>
      </c>
      <c r="I206" s="613">
        <v>800</v>
      </c>
      <c r="J206" s="611" t="s">
        <v>359</v>
      </c>
    </row>
    <row r="207" spans="1:10" s="38" customFormat="1" x14ac:dyDescent="0.25">
      <c r="A207" s="72" t="s">
        <v>251</v>
      </c>
      <c r="B207" s="78" t="str">
        <f>IF(ISBLANK(A207),"","F"&amp;COUNTA($A$198:A207))</f>
        <v>F9</v>
      </c>
      <c r="C207" s="604" t="s">
        <v>454</v>
      </c>
      <c r="D207" s="72" t="s">
        <v>91</v>
      </c>
      <c r="E207" s="71" t="s">
        <v>24</v>
      </c>
      <c r="F207" s="290">
        <v>0</v>
      </c>
      <c r="G207" s="290">
        <v>0</v>
      </c>
      <c r="H207" s="290">
        <v>0</v>
      </c>
      <c r="I207" s="290">
        <v>0</v>
      </c>
      <c r="J207" s="144" t="s">
        <v>455</v>
      </c>
    </row>
    <row r="208" spans="1:10" s="38" customFormat="1" x14ac:dyDescent="0.25">
      <c r="A208" s="72" t="s">
        <v>251</v>
      </c>
      <c r="B208" s="78" t="str">
        <f>IF(ISBLANK(A208),"","F"&amp;COUNTA($A$198:A208))</f>
        <v>F10</v>
      </c>
      <c r="C208" s="614" t="s">
        <v>468</v>
      </c>
      <c r="D208" s="72" t="s">
        <v>91</v>
      </c>
      <c r="E208" s="71">
        <v>1</v>
      </c>
      <c r="F208" s="613">
        <f>480-480</f>
        <v>0</v>
      </c>
      <c r="G208" s="606"/>
      <c r="H208" s="606"/>
      <c r="I208" s="606"/>
      <c r="J208" s="144" t="s">
        <v>469</v>
      </c>
    </row>
    <row r="209" spans="1:11" s="38" customFormat="1" x14ac:dyDescent="0.25">
      <c r="A209" s="72" t="s">
        <v>251</v>
      </c>
      <c r="B209" s="78" t="str">
        <f>IF(ISBLANK(A209),"","F"&amp;COUNTA($A$198:A209))</f>
        <v>F11</v>
      </c>
      <c r="C209" s="604" t="s">
        <v>389</v>
      </c>
      <c r="D209" s="72" t="s">
        <v>91</v>
      </c>
      <c r="E209" s="71" t="s">
        <v>24</v>
      </c>
      <c r="F209" s="613">
        <v>1000</v>
      </c>
      <c r="G209" s="613">
        <v>1000</v>
      </c>
      <c r="H209" s="613">
        <v>1000</v>
      </c>
      <c r="I209" s="613">
        <v>1000</v>
      </c>
      <c r="J209" s="611" t="s">
        <v>387</v>
      </c>
      <c r="K209" s="38" t="s">
        <v>360</v>
      </c>
    </row>
    <row r="210" spans="1:11" s="38" customFormat="1" x14ac:dyDescent="0.25">
      <c r="A210" s="72" t="s">
        <v>251</v>
      </c>
      <c r="B210" s="78" t="str">
        <f>IF(ISBLANK(A210),"","F"&amp;COUNTA($A$198:A210))</f>
        <v>F12</v>
      </c>
      <c r="C210" s="604" t="s">
        <v>390</v>
      </c>
      <c r="D210" s="72" t="s">
        <v>91</v>
      </c>
      <c r="E210" s="71" t="s">
        <v>24</v>
      </c>
      <c r="F210" s="613">
        <v>365</v>
      </c>
      <c r="G210" s="613">
        <v>365</v>
      </c>
      <c r="H210" s="613">
        <v>365</v>
      </c>
      <c r="I210" s="613">
        <v>365</v>
      </c>
      <c r="J210" s="144" t="s">
        <v>361</v>
      </c>
    </row>
    <row r="211" spans="1:11" s="38" customFormat="1" x14ac:dyDescent="0.25">
      <c r="A211" s="72" t="s">
        <v>251</v>
      </c>
      <c r="B211" s="78" t="str">
        <f>IF(ISBLANK(A211),"","F"&amp;COUNTA($A$198:A211))</f>
        <v>F13</v>
      </c>
      <c r="C211" s="604" t="s">
        <v>391</v>
      </c>
      <c r="D211" s="72" t="s">
        <v>91</v>
      </c>
      <c r="E211" s="71" t="s">
        <v>24</v>
      </c>
      <c r="F211" s="613">
        <v>50</v>
      </c>
      <c r="G211" s="613">
        <v>50</v>
      </c>
      <c r="H211" s="613">
        <v>50</v>
      </c>
      <c r="I211" s="613">
        <v>50</v>
      </c>
      <c r="J211" s="144" t="s">
        <v>362</v>
      </c>
    </row>
    <row r="212" spans="1:11" s="38" customFormat="1" x14ac:dyDescent="0.25">
      <c r="A212" s="72" t="s">
        <v>251</v>
      </c>
      <c r="B212" s="78" t="str">
        <f>IF(ISBLANK(A212),"","F"&amp;COUNTA($A$198:A212))</f>
        <v>F14</v>
      </c>
      <c r="C212" s="604" t="s">
        <v>392</v>
      </c>
      <c r="D212" s="72" t="s">
        <v>91</v>
      </c>
      <c r="E212" s="71" t="s">
        <v>24</v>
      </c>
      <c r="F212" s="613">
        <v>62</v>
      </c>
      <c r="G212" s="613">
        <v>62</v>
      </c>
      <c r="H212" s="613">
        <v>62</v>
      </c>
      <c r="I212" s="613">
        <v>62</v>
      </c>
      <c r="J212" s="611" t="s">
        <v>363</v>
      </c>
    </row>
    <row r="213" spans="1:11" s="38" customFormat="1" x14ac:dyDescent="0.25">
      <c r="A213" s="72" t="s">
        <v>251</v>
      </c>
      <c r="B213" s="78" t="str">
        <f>IF(ISBLANK(A213),"","F"&amp;COUNTA($A$198:A213))</f>
        <v>F15</v>
      </c>
      <c r="C213" s="604" t="s">
        <v>270</v>
      </c>
      <c r="D213" s="72" t="s">
        <v>91</v>
      </c>
      <c r="E213" s="71">
        <v>1</v>
      </c>
      <c r="F213" s="255">
        <v>500</v>
      </c>
      <c r="G213" s="606"/>
      <c r="H213" s="606"/>
      <c r="I213" s="606"/>
      <c r="J213" s="611" t="s">
        <v>364</v>
      </c>
    </row>
    <row r="214" spans="1:11" s="38" customFormat="1" x14ac:dyDescent="0.25">
      <c r="A214" s="72" t="s">
        <v>251</v>
      </c>
      <c r="B214" s="78" t="str">
        <f>IF(ISBLANK(A214),"","F"&amp;COUNTA($A$198:A214))</f>
        <v>F16</v>
      </c>
      <c r="C214" s="604" t="s">
        <v>272</v>
      </c>
      <c r="D214" s="72" t="s">
        <v>91</v>
      </c>
      <c r="E214" s="71">
        <v>1</v>
      </c>
      <c r="F214" s="255">
        <v>-500</v>
      </c>
      <c r="G214" s="606"/>
      <c r="H214" s="606"/>
      <c r="I214" s="606"/>
      <c r="J214" s="611" t="s">
        <v>365</v>
      </c>
    </row>
    <row r="215" spans="1:11" s="38" customFormat="1" x14ac:dyDescent="0.25">
      <c r="A215" s="72" t="s">
        <v>251</v>
      </c>
      <c r="B215" s="78" t="str">
        <f>IF(ISBLANK(A215),"","F"&amp;COUNTA($A$198:A215))</f>
        <v>F17</v>
      </c>
      <c r="C215" s="604" t="s">
        <v>276</v>
      </c>
      <c r="D215" s="72" t="s">
        <v>91</v>
      </c>
      <c r="E215" s="71" t="s">
        <v>24</v>
      </c>
      <c r="F215" s="580">
        <v>550</v>
      </c>
      <c r="G215" s="613">
        <v>550</v>
      </c>
      <c r="H215" s="613">
        <v>550</v>
      </c>
      <c r="I215" s="613">
        <v>550</v>
      </c>
      <c r="J215" s="144" t="s">
        <v>456</v>
      </c>
    </row>
    <row r="216" spans="1:11" s="38" customFormat="1" x14ac:dyDescent="0.25">
      <c r="A216" s="72"/>
      <c r="B216" s="78" t="str">
        <f>IF(ISBLANK(A216),"","F"&amp;COUNTA($A$198:A216))</f>
        <v/>
      </c>
      <c r="C216" s="82" t="s">
        <v>282</v>
      </c>
      <c r="D216" s="72"/>
      <c r="E216" s="71"/>
      <c r="F216" s="255"/>
      <c r="G216" s="255"/>
      <c r="H216" s="255"/>
      <c r="I216" s="255"/>
    </row>
    <row r="217" spans="1:11" s="38" customFormat="1" ht="25.5" x14ac:dyDescent="0.25">
      <c r="A217" s="72" t="s">
        <v>251</v>
      </c>
      <c r="B217" s="78" t="str">
        <f>IF(ISBLANK(A217),"","F"&amp;COUNTA($A$198:A217))</f>
        <v>F18</v>
      </c>
      <c r="C217" s="84" t="s">
        <v>457</v>
      </c>
      <c r="D217" s="72" t="s">
        <v>91</v>
      </c>
      <c r="E217" s="71" t="s">
        <v>24</v>
      </c>
      <c r="F217" s="255">
        <v>2082</v>
      </c>
      <c r="G217" s="255">
        <v>3750</v>
      </c>
      <c r="H217" s="255">
        <v>4536</v>
      </c>
      <c r="I217" s="255">
        <v>6335</v>
      </c>
    </row>
    <row r="218" spans="1:11" s="38" customFormat="1" ht="25.5" x14ac:dyDescent="0.25">
      <c r="A218" s="72" t="s">
        <v>251</v>
      </c>
      <c r="B218" s="78" t="str">
        <f>IF(ISBLANK(A218),"","F"&amp;COUNTA($A$198:A218))</f>
        <v>F19</v>
      </c>
      <c r="C218" s="84" t="s">
        <v>458</v>
      </c>
      <c r="D218" s="72" t="s">
        <v>91</v>
      </c>
      <c r="E218" s="71" t="s">
        <v>24</v>
      </c>
      <c r="F218" s="255">
        <v>517</v>
      </c>
      <c r="G218" s="255">
        <v>517</v>
      </c>
      <c r="H218" s="255">
        <v>568</v>
      </c>
      <c r="I218" s="255">
        <v>1542</v>
      </c>
    </row>
    <row r="219" spans="1:11" s="38" customFormat="1" x14ac:dyDescent="0.25">
      <c r="A219" s="72" t="s">
        <v>251</v>
      </c>
      <c r="B219" s="78" t="str">
        <f>IF(ISBLANK(A219),"","F"&amp;COUNTA($A$198:A219))</f>
        <v>F20</v>
      </c>
      <c r="C219" s="84" t="s">
        <v>285</v>
      </c>
      <c r="D219" s="72" t="s">
        <v>91</v>
      </c>
      <c r="E219" s="71" t="s">
        <v>24</v>
      </c>
      <c r="F219" s="255">
        <v>10854</v>
      </c>
      <c r="G219" s="255">
        <v>10854</v>
      </c>
      <c r="H219" s="255">
        <v>10854</v>
      </c>
      <c r="I219" s="255">
        <v>10854</v>
      </c>
    </row>
    <row r="220" spans="1:11" s="38" customFormat="1" x14ac:dyDescent="0.25">
      <c r="A220" s="72" t="s">
        <v>251</v>
      </c>
      <c r="B220" s="78" t="str">
        <f>IF(ISBLANK(A220),"","F"&amp;COUNTA($A$198:A220))</f>
        <v>F21</v>
      </c>
      <c r="C220" s="84" t="s">
        <v>210</v>
      </c>
      <c r="D220" s="72" t="s">
        <v>91</v>
      </c>
      <c r="E220" s="71"/>
      <c r="F220" s="255">
        <v>12000</v>
      </c>
      <c r="G220" s="255">
        <v>12000</v>
      </c>
      <c r="H220" s="255"/>
      <c r="I220" s="255"/>
      <c r="J220" s="144" t="s">
        <v>459</v>
      </c>
    </row>
    <row r="221" spans="1:11" s="38" customFormat="1" x14ac:dyDescent="0.25">
      <c r="A221" s="72" t="s">
        <v>251</v>
      </c>
      <c r="B221" s="78" t="str">
        <f>IF(ISBLANK(A221),"","F"&amp;COUNTA($A$198:A221))</f>
        <v>F22</v>
      </c>
      <c r="C221" s="84" t="s">
        <v>287</v>
      </c>
      <c r="D221" s="72" t="s">
        <v>91</v>
      </c>
      <c r="E221" s="71" t="s">
        <v>24</v>
      </c>
      <c r="F221" s="255">
        <v>35000</v>
      </c>
      <c r="G221" s="255">
        <v>35000</v>
      </c>
      <c r="H221" s="255">
        <v>35000</v>
      </c>
      <c r="I221" s="255">
        <v>35000</v>
      </c>
      <c r="J221" s="38" t="s">
        <v>371</v>
      </c>
    </row>
    <row r="222" spans="1:11" s="38" customFormat="1" x14ac:dyDescent="0.25">
      <c r="A222" s="72" t="s">
        <v>251</v>
      </c>
      <c r="B222" s="78" t="str">
        <f>IF(ISBLANK(A222),"","F"&amp;COUNTA($A$198:A222))</f>
        <v>F23</v>
      </c>
      <c r="C222" s="84"/>
      <c r="D222" s="72"/>
      <c r="E222" s="71"/>
      <c r="F222" s="255"/>
      <c r="G222" s="255"/>
      <c r="H222" s="255"/>
      <c r="I222" s="255"/>
    </row>
    <row r="223" spans="1:11" s="38" customFormat="1" ht="18" customHeight="1" x14ac:dyDescent="0.25">
      <c r="A223" s="72"/>
      <c r="B223" s="78" t="str">
        <f>IF(ISBLANK(A223),"","F"&amp;COUNTA($A$198:A223))</f>
        <v/>
      </c>
      <c r="C223" s="82" t="s">
        <v>288</v>
      </c>
      <c r="D223" s="83"/>
      <c r="E223" s="71"/>
      <c r="F223" s="4">
        <f>F199</f>
        <v>2023</v>
      </c>
      <c r="G223" s="4">
        <f>F223+1</f>
        <v>2024</v>
      </c>
      <c r="H223" s="4">
        <f>G223+1</f>
        <v>2025</v>
      </c>
      <c r="I223" s="4">
        <f>H223+1</f>
        <v>2026</v>
      </c>
    </row>
    <row r="224" spans="1:11" s="38" customFormat="1" x14ac:dyDescent="0.25">
      <c r="A224" s="72" t="s">
        <v>251</v>
      </c>
      <c r="B224" s="78" t="str">
        <f>IF(ISBLANK(A224),"","F"&amp;COUNTA($A$198:A224))</f>
        <v>F24</v>
      </c>
      <c r="C224" s="38" t="s">
        <v>289</v>
      </c>
      <c r="D224" s="72" t="s">
        <v>89</v>
      </c>
      <c r="E224" s="71" t="s">
        <v>84</v>
      </c>
      <c r="F224" s="373">
        <v>2430</v>
      </c>
      <c r="G224" s="564">
        <v>0</v>
      </c>
      <c r="H224" s="564">
        <v>2430</v>
      </c>
      <c r="I224" s="564">
        <v>0</v>
      </c>
    </row>
    <row r="225" spans="1:10" s="38" customFormat="1" x14ac:dyDescent="0.25">
      <c r="A225" s="72" t="s">
        <v>251</v>
      </c>
      <c r="B225" s="78" t="str">
        <f>IF(ISBLANK(A225),"","F"&amp;COUNTA($A$198:A225))</f>
        <v>F25</v>
      </c>
      <c r="C225" s="295" t="s">
        <v>290</v>
      </c>
      <c r="D225" s="72" t="s">
        <v>89</v>
      </c>
      <c r="E225" s="71" t="s">
        <v>84</v>
      </c>
      <c r="F225" s="373">
        <v>400</v>
      </c>
      <c r="G225" s="564">
        <v>0</v>
      </c>
      <c r="H225" s="564">
        <v>400</v>
      </c>
      <c r="I225" s="564">
        <v>0</v>
      </c>
    </row>
    <row r="226" spans="1:10" s="38" customFormat="1" ht="30" x14ac:dyDescent="0.25">
      <c r="A226" s="72" t="s">
        <v>251</v>
      </c>
      <c r="B226" s="78" t="str">
        <f>IF(ISBLANK(A226),"","F"&amp;COUNTA($A$198:A226))</f>
        <v>F26</v>
      </c>
      <c r="C226" s="295" t="s">
        <v>291</v>
      </c>
      <c r="D226" s="72" t="s">
        <v>89</v>
      </c>
      <c r="E226" s="71" t="s">
        <v>84</v>
      </c>
      <c r="F226" s="373">
        <v>300</v>
      </c>
      <c r="G226" s="564">
        <v>0</v>
      </c>
      <c r="H226" s="564">
        <v>0</v>
      </c>
      <c r="I226" s="564">
        <v>0</v>
      </c>
    </row>
    <row r="227" spans="1:10" s="38" customFormat="1" x14ac:dyDescent="0.25">
      <c r="A227" s="72" t="s">
        <v>251</v>
      </c>
      <c r="B227" s="78" t="str">
        <f>IF(ISBLANK(A227),"","F"&amp;COUNTA($A$198:A227))</f>
        <v>F27</v>
      </c>
      <c r="C227" s="295" t="s">
        <v>292</v>
      </c>
      <c r="D227" s="72" t="s">
        <v>89</v>
      </c>
      <c r="E227" s="71" t="s">
        <v>84</v>
      </c>
      <c r="F227" s="373">
        <v>200</v>
      </c>
      <c r="G227" s="564">
        <v>0</v>
      </c>
      <c r="H227" s="564">
        <v>0</v>
      </c>
      <c r="I227" s="564">
        <v>0</v>
      </c>
    </row>
    <row r="228" spans="1:10" s="38" customFormat="1" x14ac:dyDescent="0.25">
      <c r="A228" s="72" t="s">
        <v>251</v>
      </c>
      <c r="B228" s="78" t="str">
        <f>IF(ISBLANK(A228),"","F"&amp;COUNTA($A$198:A228))</f>
        <v>F28</v>
      </c>
      <c r="C228" s="295" t="s">
        <v>293</v>
      </c>
      <c r="D228" s="72" t="s">
        <v>89</v>
      </c>
      <c r="E228" s="71" t="s">
        <v>84</v>
      </c>
      <c r="F228" s="373">
        <v>-2000</v>
      </c>
      <c r="G228" s="564">
        <v>-2000</v>
      </c>
      <c r="H228" s="564">
        <v>-2000</v>
      </c>
      <c r="I228" s="564">
        <v>-2000</v>
      </c>
    </row>
    <row r="229" spans="1:10" s="38" customFormat="1" ht="30" x14ac:dyDescent="0.25">
      <c r="A229" s="72" t="s">
        <v>251</v>
      </c>
      <c r="B229" s="78" t="str">
        <f>IF(ISBLANK(A229),"","F"&amp;COUNTA($A$198:A229))</f>
        <v>F29</v>
      </c>
      <c r="C229" s="295" t="s">
        <v>398</v>
      </c>
      <c r="D229" s="72" t="s">
        <v>89</v>
      </c>
      <c r="E229" s="71" t="s">
        <v>84</v>
      </c>
      <c r="F229" s="373">
        <v>400</v>
      </c>
      <c r="G229" s="564">
        <v>0</v>
      </c>
      <c r="H229" s="564">
        <v>400</v>
      </c>
      <c r="I229" s="564">
        <v>0</v>
      </c>
    </row>
    <row r="230" spans="1:10" s="38" customFormat="1" x14ac:dyDescent="0.25">
      <c r="A230" s="72" t="s">
        <v>251</v>
      </c>
      <c r="B230" s="78" t="str">
        <f>IF(ISBLANK(A230),"","F"&amp;COUNTA($A$198:A230))</f>
        <v>F30</v>
      </c>
      <c r="C230" s="295" t="s">
        <v>297</v>
      </c>
      <c r="D230" s="72" t="s">
        <v>89</v>
      </c>
      <c r="E230" s="71" t="s">
        <v>84</v>
      </c>
      <c r="F230" s="373"/>
      <c r="G230" s="564">
        <v>1000</v>
      </c>
      <c r="H230" s="564"/>
      <c r="I230" s="564"/>
    </row>
    <row r="231" spans="1:10" s="38" customFormat="1" x14ac:dyDescent="0.25">
      <c r="A231" s="72" t="s">
        <v>251</v>
      </c>
      <c r="B231" s="78" t="str">
        <f>IF(ISBLANK(A231),"","F"&amp;COUNTA($A$198:A231))</f>
        <v>F31</v>
      </c>
      <c r="C231" s="295" t="s">
        <v>298</v>
      </c>
      <c r="D231" s="72" t="s">
        <v>91</v>
      </c>
      <c r="E231" s="71">
        <v>1</v>
      </c>
      <c r="F231" s="373">
        <v>225</v>
      </c>
      <c r="G231" s="217">
        <v>225</v>
      </c>
      <c r="H231" s="217">
        <v>225</v>
      </c>
      <c r="I231" s="217">
        <v>225</v>
      </c>
      <c r="J231" s="38" t="s">
        <v>372</v>
      </c>
    </row>
    <row r="232" spans="1:10" s="38" customFormat="1" x14ac:dyDescent="0.25">
      <c r="A232" s="72" t="s">
        <v>251</v>
      </c>
      <c r="B232" s="78" t="str">
        <f>IF(ISBLANK(A232),"","F"&amp;COUNTA($A$198:A232))</f>
        <v>F32</v>
      </c>
      <c r="C232" s="381" t="s">
        <v>470</v>
      </c>
      <c r="D232" s="72" t="s">
        <v>91</v>
      </c>
      <c r="E232" s="71"/>
      <c r="F232" s="373">
        <v>300</v>
      </c>
      <c r="G232" s="564"/>
      <c r="H232" s="564">
        <v>300</v>
      </c>
      <c r="I232" s="564"/>
      <c r="J232" s="38" t="s">
        <v>471</v>
      </c>
    </row>
    <row r="233" spans="1:10" s="38" customFormat="1" x14ac:dyDescent="0.25">
      <c r="A233" s="72" t="s">
        <v>251</v>
      </c>
      <c r="B233" s="78" t="str">
        <f>IF(ISBLANK(A233),"","F"&amp;COUNTA($A$198:A233))</f>
        <v>F33</v>
      </c>
      <c r="C233" s="38" t="s">
        <v>299</v>
      </c>
      <c r="D233" s="72" t="s">
        <v>91</v>
      </c>
      <c r="E233" s="231"/>
      <c r="F233" s="271">
        <v>200</v>
      </c>
      <c r="G233" s="281"/>
      <c r="H233" s="281"/>
      <c r="I233" s="281"/>
      <c r="J233" s="38" t="s">
        <v>472</v>
      </c>
    </row>
    <row r="234" spans="1:10" s="38" customFormat="1" x14ac:dyDescent="0.25">
      <c r="A234" s="72" t="s">
        <v>251</v>
      </c>
      <c r="B234" s="78" t="str">
        <f>IF(ISBLANK(A234),"","F"&amp;COUNTA($A$198:A234))</f>
        <v>F34</v>
      </c>
      <c r="C234" s="38" t="s">
        <v>299</v>
      </c>
      <c r="D234" s="72" t="s">
        <v>91</v>
      </c>
      <c r="E234" s="231"/>
      <c r="F234" s="191">
        <v>-200</v>
      </c>
      <c r="G234" s="191"/>
      <c r="H234" s="191"/>
      <c r="I234" s="191"/>
    </row>
    <row r="235" spans="1:10" s="38" customFormat="1" ht="30" x14ac:dyDescent="0.25">
      <c r="A235" s="43"/>
      <c r="B235" s="43" t="s">
        <v>127</v>
      </c>
      <c r="C235" s="3" t="s">
        <v>304</v>
      </c>
      <c r="D235" s="52"/>
      <c r="E235" s="52"/>
      <c r="F235" s="56">
        <f>SUMIF($A:$A,"KOM.FELLES",F:F)</f>
        <v>198085</v>
      </c>
      <c r="G235" s="56">
        <f>SUMIF($A:$A,"KOM.FELLES",G:G)</f>
        <v>197548</v>
      </c>
      <c r="H235" s="56">
        <f>SUMIF($A:$A,"KOM.FELLES",H:H)</f>
        <v>189015</v>
      </c>
      <c r="I235" s="56">
        <f>SUMIF($A:$A,"KOM.FELLES",I:I)</f>
        <v>187808</v>
      </c>
    </row>
    <row r="241" spans="4:9" x14ac:dyDescent="0.25">
      <c r="F241" s="182"/>
      <c r="G241" s="182"/>
      <c r="H241" s="182"/>
      <c r="I241" s="182"/>
    </row>
    <row r="242" spans="4:9" x14ac:dyDescent="0.25">
      <c r="D242" s="256"/>
      <c r="E242" s="256"/>
      <c r="F242" s="256"/>
      <c r="G242" s="256"/>
      <c r="H242" s="256"/>
      <c r="I242" s="256"/>
    </row>
    <row r="243" spans="4:9" x14ac:dyDescent="0.25">
      <c r="F243" s="256"/>
      <c r="G243" s="256"/>
      <c r="H243" s="256"/>
      <c r="I243" s="256"/>
    </row>
    <row r="244" spans="4:9" x14ac:dyDescent="0.25">
      <c r="F244" s="256"/>
      <c r="G244" s="256"/>
      <c r="H244" s="256"/>
      <c r="I244" s="256"/>
    </row>
    <row r="245" spans="4:9" x14ac:dyDescent="0.25">
      <c r="F245" s="256"/>
      <c r="G245" s="256"/>
      <c r="H245" s="256"/>
      <c r="I245" s="256"/>
    </row>
    <row r="246" spans="4:9" x14ac:dyDescent="0.25">
      <c r="F246" s="256"/>
      <c r="G246" s="256"/>
      <c r="H246" s="256"/>
      <c r="I246" s="256"/>
    </row>
    <row r="247" spans="4:9" x14ac:dyDescent="0.25">
      <c r="F247" s="256"/>
      <c r="G247" s="256"/>
      <c r="H247" s="256"/>
      <c r="I247" s="256"/>
    </row>
    <row r="248" spans="4:9" x14ac:dyDescent="0.25">
      <c r="F248" s="256"/>
      <c r="G248" s="256"/>
      <c r="H248" s="256"/>
      <c r="I248" s="256"/>
    </row>
    <row r="249" spans="4:9" x14ac:dyDescent="0.25">
      <c r="F249" s="256"/>
      <c r="G249" s="256"/>
      <c r="H249" s="256"/>
      <c r="I249" s="256"/>
    </row>
  </sheetData>
  <conditionalFormatting sqref="F20:I20">
    <cfRule type="cellIs" dxfId="15" priority="2" operator="notEqual">
      <formula>0</formula>
    </cfRule>
  </conditionalFormatting>
  <conditionalFormatting sqref="I20">
    <cfRule type="cellIs" dxfId="14" priority="1" operator="notEqual">
      <formula>0</formula>
    </cfRule>
  </conditionalFormatting>
  <dataValidations count="1">
    <dataValidation type="list" allowBlank="1" showInputMessage="1" showErrorMessage="1" sqref="D175 D177" xr:uid="{26C0A679-F520-4BB6-9850-61455ED1B434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89A2D94-A2E4-4B6A-A3BA-36CA8654B9B4}">
          <x14:formula1>
            <xm:f>Div!$B$3:$B$6</xm:f>
          </x14:formula1>
          <xm:sqref>E89 E196:E197 E130:E131 E180 E65:E70 E189 E145:E146 E148 E199 E223 E155 E157 E113 E140 E104:E105</xm:sqref>
        </x14:dataValidation>
        <x14:dataValidation type="list" allowBlank="1" showInputMessage="1" showErrorMessage="1" xr:uid="{39541D4B-5333-4D0D-AB0B-AD7DED9C86F3}">
          <x14:formula1>
            <xm:f>Div!$C$3:$C$58</xm:f>
          </x14:formula1>
          <xm:sqref>E31:E64 D148 D235:E235 D94:E94 D130:D131 D143:D146 D187:D189 D194:D197 D199 D223 E200:E222 D153:D155 D157 D113 D140 D178:D180 E149:E154 E198 D89 E181:E188 D103:D105 D65:D70 E90:E93 E95:E103 E71:E88 E147 E190:E195 E156:E179 E106:E129 E132:E144 E224:E234</xm:sqref>
        </x14:dataValidation>
        <x14:dataValidation type="list" allowBlank="1" showInputMessage="1" showErrorMessage="1" xr:uid="{D50B8342-DE10-43DA-97EC-DA769DADAEA6}">
          <x14:formula1>
            <xm:f>Div!$B$3:$B$8</xm:f>
          </x14:formula1>
          <xm:sqref>D224:D234 D147 D181:D186 D31:D64 D198 D90:D93 D95:D102 D71:D88 D132:D142 D149:D152 D176 D200:D222 D106:D129 D156:D174 D190:D193</xm:sqref>
        </x14:dataValidation>
        <x14:dataValidation type="list" allowBlank="1" showInputMessage="1" showErrorMessage="1" xr:uid="{5C3D9282-D42B-4AB8-9321-29F770A120AA}">
          <x14:formula1>
            <xm:f>Div!$A$3:$A$11</xm:f>
          </x14:formula1>
          <xm:sqref>A31:A70 A103:A235</xm:sqref>
        </x14:dataValidation>
        <x14:dataValidation type="list" allowBlank="1" showInputMessage="1" showErrorMessage="1" xr:uid="{F875F31D-6430-42DA-A41B-6403E17C2C79}">
          <x14:formula1>
            <xm:f>Div!$A$3:$A$13</xm:f>
          </x14:formula1>
          <xm:sqref>A71:A102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4147D-800B-4C8D-A11D-CD7C5914140D}">
  <sheetPr>
    <tabColor rgb="FFFF0000"/>
  </sheetPr>
  <dimension ref="A1:K342"/>
  <sheetViews>
    <sheetView topLeftCell="A100" zoomScaleNormal="100" workbookViewId="0">
      <selection activeCell="J114" sqref="J114"/>
    </sheetView>
  </sheetViews>
  <sheetFormatPr baseColWidth="10" defaultColWidth="11.42578125" defaultRowHeight="15" x14ac:dyDescent="0.25"/>
  <cols>
    <col min="1" max="1" width="7.140625" customWidth="1"/>
    <col min="2" max="2" width="5.5703125" style="563" bestFit="1" customWidth="1"/>
    <col min="3" max="3" width="46.42578125" customWidth="1"/>
    <col min="4" max="4" width="12.140625" bestFit="1" customWidth="1"/>
    <col min="5" max="5" width="7.5703125" bestFit="1" customWidth="1"/>
    <col min="7" max="9" width="12.140625" bestFit="1" customWidth="1"/>
    <col min="10" max="10" width="59.85546875" customWidth="1"/>
  </cols>
  <sheetData>
    <row r="1" spans="1:10" s="28" customFormat="1" ht="23.25" x14ac:dyDescent="0.25">
      <c r="A1" s="294" t="s">
        <v>0</v>
      </c>
      <c r="B1" s="553"/>
      <c r="C1" s="296"/>
      <c r="D1" s="525"/>
      <c r="E1" s="93"/>
      <c r="F1" s="294"/>
      <c r="G1" s="294"/>
      <c r="H1" s="294"/>
      <c r="I1" s="294"/>
    </row>
    <row r="2" spans="1:10" s="28" customFormat="1" x14ac:dyDescent="0.25">
      <c r="A2" s="38"/>
      <c r="B2" s="553"/>
      <c r="C2" s="295"/>
      <c r="D2" s="93"/>
      <c r="E2" s="93"/>
      <c r="F2" s="38"/>
      <c r="G2" s="38"/>
      <c r="H2" s="38"/>
      <c r="I2" s="38"/>
    </row>
    <row r="3" spans="1:10" s="38" customFormat="1" x14ac:dyDescent="0.25">
      <c r="A3" s="297"/>
      <c r="B3" s="554"/>
      <c r="C3" s="298"/>
      <c r="D3" s="299"/>
      <c r="E3" s="299"/>
      <c r="F3" s="300">
        <v>2020</v>
      </c>
      <c r="G3" s="300">
        <v>46210</v>
      </c>
      <c r="H3" s="300">
        <v>2022</v>
      </c>
      <c r="I3" s="300"/>
    </row>
    <row r="4" spans="1:10" s="38" customFormat="1" x14ac:dyDescent="0.25">
      <c r="A4" s="301" t="s">
        <v>1</v>
      </c>
      <c r="B4" s="555"/>
      <c r="C4" s="303"/>
      <c r="D4" s="304"/>
      <c r="E4" s="304"/>
      <c r="F4" s="566">
        <v>4902782</v>
      </c>
      <c r="G4" s="566">
        <f>F4</f>
        <v>4902782</v>
      </c>
      <c r="H4" s="566">
        <f>G4</f>
        <v>4902782</v>
      </c>
      <c r="I4" s="566">
        <f>H4</f>
        <v>4902782</v>
      </c>
    </row>
    <row r="5" spans="1:10" s="38" customFormat="1" x14ac:dyDescent="0.25">
      <c r="A5" s="38" t="str">
        <f>C65</f>
        <v>SUM SENTRALE INNTEKTER OG FINANSPOSTER</v>
      </c>
      <c r="B5" s="553"/>
      <c r="C5" s="123"/>
      <c r="D5" s="93"/>
      <c r="E5" s="93"/>
      <c r="F5" s="2">
        <f>F65</f>
        <v>-5175958</v>
      </c>
      <c r="G5" s="2">
        <f>G65</f>
        <v>-5184189</v>
      </c>
      <c r="H5" s="2">
        <f>H65</f>
        <v>-5206418</v>
      </c>
      <c r="I5" s="2">
        <f>I65</f>
        <v>-5219064</v>
      </c>
      <c r="J5" s="95"/>
    </row>
    <row r="6" spans="1:10" s="38" customFormat="1" x14ac:dyDescent="0.25">
      <c r="A6" s="307" t="s">
        <v>2</v>
      </c>
      <c r="B6" s="556"/>
      <c r="C6" s="309"/>
      <c r="D6" s="310"/>
      <c r="E6" s="310"/>
      <c r="F6" s="311">
        <f>SUM(F4:F5)</f>
        <v>-273176</v>
      </c>
      <c r="G6" s="311">
        <f>SUM(G4:G5)</f>
        <v>-281407</v>
      </c>
      <c r="H6" s="311">
        <f>SUM(H4:H5)</f>
        <v>-303636</v>
      </c>
      <c r="I6" s="311">
        <f>SUM(I4:I5)</f>
        <v>-316282</v>
      </c>
    </row>
    <row r="7" spans="1:10" s="38" customFormat="1" x14ac:dyDescent="0.25">
      <c r="A7" s="312"/>
      <c r="B7" s="555"/>
      <c r="C7" s="302"/>
      <c r="D7" s="304"/>
      <c r="E7" s="304"/>
      <c r="F7" s="313"/>
      <c r="G7" s="313"/>
      <c r="H7" s="313"/>
      <c r="I7" s="313"/>
    </row>
    <row r="8" spans="1:10" s="38" customFormat="1" x14ac:dyDescent="0.25">
      <c r="A8" s="314" t="s">
        <v>3</v>
      </c>
      <c r="B8" s="341"/>
      <c r="C8" s="207"/>
      <c r="D8" s="315"/>
      <c r="E8" s="315"/>
      <c r="F8" s="39">
        <f>SUMIF($D:$D,"ØP 22-25",F:F)</f>
        <v>10802</v>
      </c>
      <c r="G8" s="39">
        <f>SUMIF($D:$D,"ØP 22-25",G:G)</f>
        <v>14169</v>
      </c>
      <c r="H8" s="39">
        <f>SUMIF($D:$D,"ØP 22-25",H:H)</f>
        <v>26676</v>
      </c>
      <c r="I8" s="39">
        <f>SUMIF($D:$D,"ØP 22-25",I:I)</f>
        <v>25496</v>
      </c>
    </row>
    <row r="9" spans="1:10" s="38" customFormat="1" x14ac:dyDescent="0.25">
      <c r="A9" s="316" t="s">
        <v>4</v>
      </c>
      <c r="B9" s="557"/>
      <c r="C9" s="317"/>
      <c r="D9" s="318"/>
      <c r="E9" s="318"/>
      <c r="F9" s="267">
        <f>SUMIF($D:$D,"ØP 22-25 REKALK",F:F)</f>
        <v>168629</v>
      </c>
      <c r="G9" s="267">
        <f>SUMIF($D:$D,"ØP 22-25 REKALK",G:G)</f>
        <v>178356</v>
      </c>
      <c r="H9" s="267">
        <f>SUMIF($D:$D,"ØP 22-25 REKALK",H:H)</f>
        <v>186019</v>
      </c>
      <c r="I9" s="267">
        <f>SUMIF($D:$D,"ØP 22-25 REKALK",I:I)</f>
        <v>187571</v>
      </c>
    </row>
    <row r="10" spans="1:10" s="38" customFormat="1" x14ac:dyDescent="0.25">
      <c r="A10" s="319" t="s">
        <v>5</v>
      </c>
      <c r="B10" s="558"/>
      <c r="C10" s="320"/>
      <c r="D10" s="321"/>
      <c r="E10" s="321"/>
      <c r="F10" s="322">
        <f>F6+F8+F9</f>
        <v>-93745</v>
      </c>
      <c r="G10" s="322">
        <f>G6+G8+G9</f>
        <v>-88882</v>
      </c>
      <c r="H10" s="322">
        <f>H6+H8+H9</f>
        <v>-90941</v>
      </c>
      <c r="I10" s="322">
        <f>I6+I8+I9</f>
        <v>-103215</v>
      </c>
    </row>
    <row r="11" spans="1:10" s="28" customFormat="1" x14ac:dyDescent="0.25">
      <c r="A11" s="38"/>
      <c r="B11" s="553"/>
      <c r="C11" s="295"/>
      <c r="D11" s="93"/>
      <c r="E11" s="93"/>
      <c r="F11" s="2"/>
      <c r="G11" s="2"/>
      <c r="H11" s="2"/>
      <c r="I11" s="2"/>
    </row>
    <row r="12" spans="1:10" s="28" customFormat="1" x14ac:dyDescent="0.25">
      <c r="A12" s="312" t="s">
        <v>6</v>
      </c>
      <c r="B12" s="553"/>
      <c r="C12" s="295"/>
      <c r="D12" s="93"/>
      <c r="E12" s="93"/>
      <c r="F12" s="2">
        <f>SUMIFS(F:F,$D:$D,"NYTT",$E:$E,"INNSP")</f>
        <v>0</v>
      </c>
      <c r="G12" s="2">
        <f>SUMIFS(G:G,$D:$D,"NYTT",$E:$E,"INNSP")</f>
        <v>0</v>
      </c>
      <c r="H12" s="2">
        <f>SUMIFS(H:H,$D:$D,"NYTT",$E:$E,"INNSP")</f>
        <v>0</v>
      </c>
      <c r="I12" s="2">
        <f>SUMIFS(I:I,$D:$D,"NYTT",$E:$E,"INNSP")</f>
        <v>0</v>
      </c>
    </row>
    <row r="13" spans="1:10" s="38" customFormat="1" x14ac:dyDescent="0.25">
      <c r="A13" s="316" t="s">
        <v>7</v>
      </c>
      <c r="B13" s="557"/>
      <c r="C13" s="317"/>
      <c r="D13" s="318"/>
      <c r="E13" s="318"/>
      <c r="F13" s="267">
        <f>SUMIFS(F:F,$D:$D,"NYTT",$E:$E,"MÅ")</f>
        <v>128971</v>
      </c>
      <c r="G13" s="267">
        <f>SUMIFS(G:G,$D:$D,"NYTT",$E:$E,"MÅ")</f>
        <v>132361</v>
      </c>
      <c r="H13" s="267">
        <f>SUMIFS(H:H,$D:$D,"NYTT",$E:$E,"MÅ")</f>
        <v>103198</v>
      </c>
      <c r="I13" s="267">
        <f>SUMIFS(I:I,$D:$D,"NYTT",$E:$E,"MÅ")</f>
        <v>105971</v>
      </c>
    </row>
    <row r="14" spans="1:10" s="38" customFormat="1" x14ac:dyDescent="0.25">
      <c r="A14" s="307" t="s">
        <v>8</v>
      </c>
      <c r="B14" s="559"/>
      <c r="C14" s="309"/>
      <c r="D14" s="323"/>
      <c r="E14" s="323"/>
      <c r="F14" s="324">
        <f>F6+F8+F9+F12+F13</f>
        <v>35226</v>
      </c>
      <c r="G14" s="324">
        <f>G6+G8+G9+G12+G13</f>
        <v>43479</v>
      </c>
      <c r="H14" s="324">
        <f>H6+H8+H9+H12+H13</f>
        <v>12257</v>
      </c>
      <c r="I14" s="324">
        <f>I6+I8+I9+I12+I13</f>
        <v>2756</v>
      </c>
    </row>
    <row r="15" spans="1:10" s="38" customFormat="1" x14ac:dyDescent="0.25">
      <c r="A15" s="312"/>
      <c r="B15" s="555"/>
      <c r="C15" s="302"/>
      <c r="D15" s="304"/>
      <c r="E15" s="304"/>
      <c r="F15" s="491"/>
      <c r="G15" s="313"/>
      <c r="H15" s="313"/>
      <c r="I15" s="313"/>
    </row>
    <row r="16" spans="1:10" s="38" customFormat="1" x14ac:dyDescent="0.25">
      <c r="A16" s="312" t="s">
        <v>9</v>
      </c>
      <c r="B16" s="555"/>
      <c r="C16" s="302"/>
      <c r="D16" s="304"/>
      <c r="E16" s="304"/>
      <c r="F16" s="267">
        <f>SUMIFS(F:F,$D:$D,"Endring",$E:$E,"endring")</f>
        <v>0</v>
      </c>
      <c r="G16" s="267">
        <f>SUMIFS(G:G,$D:$D,"Endring",$E:$E,"endring")</f>
        <v>0</v>
      </c>
      <c r="H16" s="267">
        <f>SUMIFS(H:H,$D:$D,"Endring",$E:$E,"endring")</f>
        <v>0</v>
      </c>
      <c r="I16" s="267">
        <f>SUMIFS(I:I,$D:$D,"Endring",$E:$E,"endring")</f>
        <v>0</v>
      </c>
    </row>
    <row r="17" spans="1:10" s="38" customFormat="1" x14ac:dyDescent="0.25">
      <c r="A17" s="312"/>
      <c r="B17" s="555"/>
      <c r="C17" s="302"/>
      <c r="D17" s="304"/>
      <c r="E17" s="304"/>
      <c r="F17" s="491"/>
      <c r="G17" s="313"/>
      <c r="H17" s="313"/>
      <c r="I17" s="313"/>
    </row>
    <row r="18" spans="1:10" s="38" customFormat="1" x14ac:dyDescent="0.25">
      <c r="A18" s="314" t="s">
        <v>10</v>
      </c>
      <c r="B18" s="341"/>
      <c r="C18" s="207"/>
      <c r="D18" s="315"/>
      <c r="E18" s="315"/>
      <c r="F18" s="39">
        <f>SUMIF($D:$D,"NYTT",F:F)-F19-F13-F12</f>
        <v>272881</v>
      </c>
      <c r="G18" s="39">
        <f>SUMIF($D:$D,"NYTT",G:G)-G19-G13-G12</f>
        <v>274768</v>
      </c>
      <c r="H18" s="39">
        <f>SUMIF($D:$D,"NYTT",H:H)-H19-H13-H12</f>
        <v>246592</v>
      </c>
      <c r="I18" s="39">
        <f>SUMIF($D:$D,"NYTT",I:I)-I19-I13-I12</f>
        <v>248587</v>
      </c>
    </row>
    <row r="19" spans="1:10" s="38" customFormat="1" x14ac:dyDescent="0.25">
      <c r="A19" s="325" t="s">
        <v>11</v>
      </c>
      <c r="B19" s="341"/>
      <c r="C19" s="326"/>
      <c r="D19" s="315"/>
      <c r="E19" s="315"/>
      <c r="F19" s="327">
        <f>SUMIFS(F:F,$D:$D,"NYTT",$E:$E,"IKKE PRI")</f>
        <v>6120</v>
      </c>
      <c r="G19" s="327">
        <f>SUMIFS(G:G,$D:$D,"NYTT",$E:$E,"IKKE PRI")</f>
        <v>6000</v>
      </c>
      <c r="H19" s="327">
        <f>SUMIFS(H:H,$D:$D,"NYTT",$E:$E,"IKKE PRI")</f>
        <v>5770</v>
      </c>
      <c r="I19" s="327">
        <f>SUMIFS(I:I,$D:$D,"NYTT",$E:$E,"IKKE PRI")</f>
        <v>5890</v>
      </c>
    </row>
    <row r="20" spans="1:10" s="38" customFormat="1" x14ac:dyDescent="0.25">
      <c r="A20" s="325"/>
      <c r="B20" s="341"/>
      <c r="C20" s="326"/>
      <c r="D20" s="315"/>
      <c r="E20" s="315"/>
      <c r="F20" s="292">
        <f>(F8+F9+F13+F18+F19+F12+F16)-SUMIF($B:$B,"X",F:F)</f>
        <v>0</v>
      </c>
      <c r="G20" s="292">
        <f>(G8+G9+G13+G18+G19+G12+G16)-SUMIF($B:$B,"X",G:G)</f>
        <v>0</v>
      </c>
      <c r="H20" s="292">
        <f>(H8+H9+H13+H18+H19+H12+H16)-SUMIF($B:$B,"X",H:H)</f>
        <v>0</v>
      </c>
      <c r="I20" s="292">
        <f>(I8+I9+I13+I18+I19+I12+I16)-SUMIF($B:$B,"X",I:I)</f>
        <v>0</v>
      </c>
    </row>
    <row r="21" spans="1:10" s="38" customFormat="1" x14ac:dyDescent="0.25">
      <c r="A21" s="328"/>
      <c r="B21" s="329"/>
      <c r="C21" s="298"/>
      <c r="D21" s="330"/>
      <c r="E21" s="330"/>
      <c r="F21" s="331"/>
      <c r="G21" s="331"/>
      <c r="H21" s="331"/>
      <c r="I21" s="331"/>
    </row>
    <row r="22" spans="1:10" s="38" customFormat="1" x14ac:dyDescent="0.25">
      <c r="A22" s="332"/>
      <c r="B22" s="553"/>
      <c r="C22" s="333"/>
      <c r="D22" s="93"/>
      <c r="E22" s="93"/>
      <c r="F22" s="334">
        <f>F8+F9+F13+F12</f>
        <v>308402</v>
      </c>
      <c r="G22" s="334">
        <f>G8+G9+G13+G12</f>
        <v>324886</v>
      </c>
      <c r="H22" s="334">
        <f>H8+H9+H13+H12</f>
        <v>315893</v>
      </c>
      <c r="I22" s="334">
        <f>I8+I9+I13+I12</f>
        <v>319038</v>
      </c>
    </row>
    <row r="23" spans="1:10" s="38" customFormat="1" x14ac:dyDescent="0.25">
      <c r="A23" s="332"/>
      <c r="B23" s="553"/>
      <c r="C23" s="333"/>
      <c r="D23" s="93"/>
      <c r="E23" s="93"/>
      <c r="F23" s="334"/>
      <c r="G23" s="334"/>
      <c r="H23" s="334"/>
      <c r="I23" s="334"/>
    </row>
    <row r="24" spans="1:10" s="38" customFormat="1" hidden="1" x14ac:dyDescent="0.25">
      <c r="A24" s="192" t="s">
        <v>12</v>
      </c>
      <c r="B24" s="560"/>
      <c r="C24" s="236"/>
      <c r="D24" s="237"/>
      <c r="E24" s="237"/>
      <c r="F24" s="193"/>
      <c r="G24" s="193"/>
      <c r="H24" s="193"/>
      <c r="I24" s="193"/>
    </row>
    <row r="25" spans="1:10" s="125" customFormat="1" hidden="1" x14ac:dyDescent="0.25">
      <c r="A25" s="194" t="s">
        <v>13</v>
      </c>
      <c r="B25" s="561"/>
      <c r="C25" s="195"/>
      <c r="D25" s="239"/>
      <c r="E25" s="239"/>
      <c r="F25" s="196" t="e">
        <f>SUMIF(#REF!,"FOND",F:F)</f>
        <v>#REF!</v>
      </c>
      <c r="G25" s="196" t="e">
        <f>SUMIF(#REF!,"FOND",G:G)</f>
        <v>#REF!</v>
      </c>
      <c r="H25" s="196" t="e">
        <f>SUMIF(#REF!,"FOND",H:H)</f>
        <v>#REF!</v>
      </c>
      <c r="I25" s="196" t="e">
        <f>SUMIF(#REF!,"FOND",I:I)</f>
        <v>#REF!</v>
      </c>
      <c r="J25" s="38"/>
    </row>
    <row r="26" spans="1:10" s="38" customFormat="1" hidden="1" x14ac:dyDescent="0.25">
      <c r="A26" s="197" t="s">
        <v>14</v>
      </c>
      <c r="B26" s="560"/>
      <c r="C26" s="236"/>
      <c r="D26" s="237"/>
      <c r="E26" s="237"/>
      <c r="F26" s="198" t="e">
        <f>SUBTOTAL(9,F24:F25)</f>
        <v>#REF!</v>
      </c>
      <c r="G26" s="198" t="e">
        <f>SUBTOTAL(9,G24:G25)</f>
        <v>#REF!</v>
      </c>
      <c r="H26" s="198" t="e">
        <f>SUBTOTAL(9,H24:H25)</f>
        <v>#REF!</v>
      </c>
      <c r="I26" s="198" t="e">
        <f>SUBTOTAL(9,I24:I25)</f>
        <v>#REF!</v>
      </c>
    </row>
    <row r="27" spans="1:10" s="38" customFormat="1" x14ac:dyDescent="0.25">
      <c r="A27" s="28"/>
      <c r="B27" s="562"/>
      <c r="C27" s="11"/>
      <c r="D27" s="242"/>
      <c r="E27" s="242"/>
      <c r="F27" s="336">
        <f>(F8+F9+F13+F18+F19+F12)-SUMIF($B:$B,"X",F:F)</f>
        <v>0</v>
      </c>
      <c r="G27" s="336">
        <f>(G8+G9+G13+G18+G19+G12)-SUMIF($B:$B,"X",G:G)</f>
        <v>0</v>
      </c>
      <c r="H27" s="336">
        <f>(H8+H9+H13+H18+H19+H12)-SUMIF($B:$B,"X",H:H)</f>
        <v>0</v>
      </c>
      <c r="I27" s="336">
        <f>(I8+I9+I13+I18+I19+I12)-SUMIF($B:$B,"X",I:I)</f>
        <v>0</v>
      </c>
    </row>
    <row r="28" spans="1:10" s="38" customFormat="1" x14ac:dyDescent="0.25">
      <c r="A28" s="4" t="s">
        <v>15</v>
      </c>
      <c r="B28" s="5" t="s">
        <v>16</v>
      </c>
      <c r="C28" s="3" t="s">
        <v>17</v>
      </c>
      <c r="D28" s="8" t="s">
        <v>18</v>
      </c>
      <c r="E28" s="46" t="s">
        <v>19</v>
      </c>
      <c r="F28" s="4">
        <v>2023</v>
      </c>
      <c r="G28" s="4">
        <v>2024</v>
      </c>
      <c r="H28" s="4">
        <v>2025</v>
      </c>
      <c r="I28" s="4">
        <v>2026</v>
      </c>
      <c r="J28" s="4" t="s">
        <v>20</v>
      </c>
    </row>
    <row r="29" spans="1:10" s="38" customFormat="1" x14ac:dyDescent="0.25">
      <c r="A29" s="234"/>
      <c r="B29" s="562"/>
      <c r="C29" s="17"/>
      <c r="D29" s="51"/>
      <c r="E29" s="549"/>
      <c r="F29" s="550"/>
      <c r="G29" s="550"/>
      <c r="H29" s="550"/>
      <c r="I29" s="235"/>
    </row>
    <row r="30" spans="1:10" s="38" customFormat="1" x14ac:dyDescent="0.25">
      <c r="A30" s="15"/>
      <c r="B30" s="44"/>
      <c r="C30" s="16" t="s">
        <v>21</v>
      </c>
      <c r="D30" s="41"/>
      <c r="E30" s="551"/>
      <c r="F30" s="552"/>
      <c r="G30" s="552"/>
      <c r="H30" s="552"/>
      <c r="I30" s="85"/>
    </row>
    <row r="31" spans="1:10" s="38" customFormat="1" ht="22.5" x14ac:dyDescent="0.25">
      <c r="A31" s="78" t="s">
        <v>22</v>
      </c>
      <c r="B31" s="78" t="str">
        <f>IF(ISBLANK(A31),"","I"&amp;COUNTA($A$31:A31))</f>
        <v>I1</v>
      </c>
      <c r="C31" s="526" t="s">
        <v>23</v>
      </c>
      <c r="D31" s="79" t="s">
        <v>22</v>
      </c>
      <c r="E31" s="79" t="s">
        <v>24</v>
      </c>
      <c r="F31" s="481">
        <v>-2994000</v>
      </c>
      <c r="G31" s="481">
        <v>-3026000</v>
      </c>
      <c r="H31" s="481">
        <v>-3058000</v>
      </c>
      <c r="I31" s="481">
        <v>-3089000</v>
      </c>
      <c r="J31" s="38" t="s">
        <v>70</v>
      </c>
    </row>
    <row r="32" spans="1:10" s="38" customFormat="1" ht="22.5" x14ac:dyDescent="0.25">
      <c r="A32" s="78" t="s">
        <v>22</v>
      </c>
      <c r="B32" s="78" t="str">
        <f>IF(ISBLANK(A32),"","I"&amp;COUNTA($A$31:A32))</f>
        <v>I2</v>
      </c>
      <c r="C32" s="526" t="s">
        <v>29</v>
      </c>
      <c r="D32" s="79" t="s">
        <v>22</v>
      </c>
      <c r="E32" s="79" t="s">
        <v>24</v>
      </c>
      <c r="F32" s="481">
        <v>-2255000</v>
      </c>
      <c r="G32" s="481">
        <v>-2286000</v>
      </c>
      <c r="H32" s="481">
        <v>-2309000</v>
      </c>
      <c r="I32" s="481">
        <v>-2331000</v>
      </c>
      <c r="J32" s="38" t="s">
        <v>70</v>
      </c>
    </row>
    <row r="33" spans="1:10" s="38" customFormat="1" ht="22.5" x14ac:dyDescent="0.25">
      <c r="A33" s="78" t="s">
        <v>22</v>
      </c>
      <c r="B33" s="78" t="str">
        <f>IF(ISBLANK(A33),"","I"&amp;COUNTA($A$31:A33))</f>
        <v>I3</v>
      </c>
      <c r="C33" s="526" t="s">
        <v>32</v>
      </c>
      <c r="D33" s="79" t="s">
        <v>22</v>
      </c>
      <c r="E33" s="79" t="s">
        <v>24</v>
      </c>
      <c r="F33" s="595">
        <v>-60000</v>
      </c>
      <c r="G33" s="595">
        <v>-60000</v>
      </c>
      <c r="H33" s="595">
        <v>-60000</v>
      </c>
      <c r="I33" s="595">
        <v>-60000</v>
      </c>
      <c r="J33" s="38" t="s">
        <v>374</v>
      </c>
    </row>
    <row r="34" spans="1:10" s="38" customFormat="1" ht="22.5" x14ac:dyDescent="0.25">
      <c r="A34" s="78" t="s">
        <v>22</v>
      </c>
      <c r="B34" s="78" t="str">
        <f>IF(ISBLANK(A34),"","I"&amp;COUNTA($A$31:A34))</f>
        <v>I4</v>
      </c>
      <c r="C34" s="526" t="s">
        <v>34</v>
      </c>
      <c r="D34" s="79" t="s">
        <v>22</v>
      </c>
      <c r="E34" s="79" t="s">
        <v>24</v>
      </c>
      <c r="F34" s="595">
        <v>-200000</v>
      </c>
      <c r="G34" s="595">
        <v>-125000</v>
      </c>
      <c r="H34" s="595">
        <v>-64000</v>
      </c>
      <c r="I34" s="595">
        <v>-64000</v>
      </c>
      <c r="J34" s="38" t="s">
        <v>473</v>
      </c>
    </row>
    <row r="35" spans="1:10" s="38" customFormat="1" ht="22.5" x14ac:dyDescent="0.25">
      <c r="A35" s="78" t="s">
        <v>22</v>
      </c>
      <c r="B35" s="78" t="str">
        <f>IF(ISBLANK(A35),"","I"&amp;COUNTA($A$31:A35))</f>
        <v>I5</v>
      </c>
      <c r="C35" s="593" t="s">
        <v>474</v>
      </c>
      <c r="D35" s="594" t="s">
        <v>22</v>
      </c>
      <c r="E35" s="594" t="s">
        <v>24</v>
      </c>
      <c r="F35" s="595">
        <v>49000</v>
      </c>
      <c r="G35" s="595">
        <v>15000</v>
      </c>
      <c r="H35" s="595">
        <v>-19500</v>
      </c>
      <c r="I35" s="595">
        <v>-19500</v>
      </c>
      <c r="J35" s="38" t="s">
        <v>473</v>
      </c>
    </row>
    <row r="36" spans="1:10" s="38" customFormat="1" ht="22.5" x14ac:dyDescent="0.25">
      <c r="A36" s="78" t="s">
        <v>22</v>
      </c>
      <c r="B36" s="78" t="str">
        <f>IF(ISBLANK(A36),"","I"&amp;COUNTA($A$31:A36))</f>
        <v>I6</v>
      </c>
      <c r="C36" s="526" t="s">
        <v>311</v>
      </c>
      <c r="D36" s="79" t="s">
        <v>22</v>
      </c>
      <c r="E36" s="79" t="s">
        <v>24</v>
      </c>
      <c r="F36" s="595"/>
      <c r="G36" s="595"/>
      <c r="H36" s="595"/>
      <c r="I36" s="595"/>
      <c r="J36" s="38" t="s">
        <v>374</v>
      </c>
    </row>
    <row r="37" spans="1:10" s="38" customFormat="1" ht="22.5" x14ac:dyDescent="0.25">
      <c r="A37" s="78" t="s">
        <v>22</v>
      </c>
      <c r="B37" s="78" t="str">
        <f>IF(ISBLANK(A37),"","I"&amp;COUNTA($A$31:A37))</f>
        <v>I7</v>
      </c>
      <c r="C37" s="526" t="s">
        <v>36</v>
      </c>
      <c r="D37" s="79" t="s">
        <v>22</v>
      </c>
      <c r="E37" s="79" t="s">
        <v>24</v>
      </c>
      <c r="F37" s="481">
        <v>-11000</v>
      </c>
      <c r="G37" s="481">
        <v>-11000</v>
      </c>
      <c r="H37" s="481">
        <v>-11000</v>
      </c>
      <c r="I37" s="481">
        <v>-11000</v>
      </c>
      <c r="J37" s="38" t="s">
        <v>37</v>
      </c>
    </row>
    <row r="38" spans="1:10" s="38" customFormat="1" ht="22.5" x14ac:dyDescent="0.25">
      <c r="A38" s="78" t="s">
        <v>22</v>
      </c>
      <c r="B38" s="78" t="str">
        <f>IF(ISBLANK(A38),"","I"&amp;COUNTA($A$31:A38))</f>
        <v>I8</v>
      </c>
      <c r="C38" s="526" t="s">
        <v>38</v>
      </c>
      <c r="D38" s="79" t="s">
        <v>22</v>
      </c>
      <c r="E38" s="79" t="s">
        <v>24</v>
      </c>
      <c r="F38" s="481">
        <v>11000</v>
      </c>
      <c r="G38" s="481">
        <v>11000</v>
      </c>
      <c r="H38" s="481">
        <v>11000</v>
      </c>
      <c r="I38" s="481">
        <v>11000</v>
      </c>
      <c r="J38" s="38" t="s">
        <v>37</v>
      </c>
    </row>
    <row r="39" spans="1:10" s="38" customFormat="1" ht="25.5" x14ac:dyDescent="0.25">
      <c r="A39" s="78" t="s">
        <v>22</v>
      </c>
      <c r="B39" s="78" t="str">
        <f>IF(ISBLANK(A39),"","I"&amp;COUNTA($A$31:A39))</f>
        <v>I9</v>
      </c>
      <c r="C39" s="526" t="s">
        <v>39</v>
      </c>
      <c r="D39" s="79" t="s">
        <v>22</v>
      </c>
      <c r="E39" s="79" t="s">
        <v>24</v>
      </c>
      <c r="F39" s="481">
        <v>-12100</v>
      </c>
      <c r="G39" s="481">
        <v>-11300</v>
      </c>
      <c r="H39" s="481">
        <v>-10200</v>
      </c>
      <c r="I39" s="481">
        <v>-9500</v>
      </c>
      <c r="J39" s="38" t="s">
        <v>401</v>
      </c>
    </row>
    <row r="40" spans="1:10" s="38" customFormat="1" ht="22.5" x14ac:dyDescent="0.25">
      <c r="A40" s="78" t="s">
        <v>22</v>
      </c>
      <c r="B40" s="78" t="str">
        <f>IF(ISBLANK(A40),"","I"&amp;COUNTA($A$31:A40))</f>
        <v>I10</v>
      </c>
      <c r="C40" s="578" t="s">
        <v>41</v>
      </c>
      <c r="D40" s="579" t="s">
        <v>22</v>
      </c>
      <c r="E40" s="579" t="s">
        <v>24</v>
      </c>
      <c r="F40" s="592">
        <v>-116222</v>
      </c>
      <c r="G40" s="592">
        <v>-95707</v>
      </c>
      <c r="H40" s="592">
        <v>-71318</v>
      </c>
      <c r="I40" s="481">
        <v>-66738</v>
      </c>
      <c r="J40" s="580" t="s">
        <v>402</v>
      </c>
    </row>
    <row r="41" spans="1:10" s="38" customFormat="1" ht="22.5" x14ac:dyDescent="0.25">
      <c r="A41" s="78" t="s">
        <v>22</v>
      </c>
      <c r="B41" s="78" t="str">
        <f>IF(ISBLANK(A41),"","I"&amp;COUNTA($A$31:A41))</f>
        <v>I11</v>
      </c>
      <c r="C41" s="526" t="s">
        <v>43</v>
      </c>
      <c r="D41" s="79" t="s">
        <v>22</v>
      </c>
      <c r="E41" s="79" t="s">
        <v>24</v>
      </c>
      <c r="F41" s="481">
        <v>173000</v>
      </c>
      <c r="G41" s="481">
        <v>194000</v>
      </c>
      <c r="H41" s="481">
        <v>206000</v>
      </c>
      <c r="I41" s="481">
        <v>229000</v>
      </c>
      <c r="J41" s="38" t="s">
        <v>307</v>
      </c>
    </row>
    <row r="42" spans="1:10" s="38" customFormat="1" ht="22.5" x14ac:dyDescent="0.25">
      <c r="A42" s="590" t="s">
        <v>22</v>
      </c>
      <c r="B42" s="78" t="str">
        <f>IF(ISBLANK(A42),"","I"&amp;COUNTA($A$31:A42))</f>
        <v>I12</v>
      </c>
      <c r="C42" s="587" t="s">
        <v>306</v>
      </c>
      <c r="D42" s="588" t="s">
        <v>22</v>
      </c>
      <c r="E42" s="588" t="s">
        <v>24</v>
      </c>
      <c r="F42" s="589">
        <v>2190</v>
      </c>
      <c r="G42" s="589">
        <v>7395</v>
      </c>
      <c r="H42" s="589">
        <v>11226</v>
      </c>
      <c r="I42" s="589">
        <v>13504</v>
      </c>
      <c r="J42" s="591" t="s">
        <v>307</v>
      </c>
    </row>
    <row r="43" spans="1:10" s="38" customFormat="1" ht="22.5" x14ac:dyDescent="0.25">
      <c r="A43" s="78" t="s">
        <v>22</v>
      </c>
      <c r="B43" s="78" t="str">
        <f>IF(ISBLANK(A43),"","I"&amp;COUNTA($A$31:A43))</f>
        <v>I13</v>
      </c>
      <c r="C43" s="526" t="s">
        <v>47</v>
      </c>
      <c r="D43" s="79" t="s">
        <v>22</v>
      </c>
      <c r="E43" s="79" t="s">
        <v>24</v>
      </c>
      <c r="F43" s="481">
        <v>310000</v>
      </c>
      <c r="G43" s="481">
        <v>330000</v>
      </c>
      <c r="H43" s="481">
        <v>358000</v>
      </c>
      <c r="I43" s="481">
        <v>377000</v>
      </c>
      <c r="J43" s="38" t="s">
        <v>307</v>
      </c>
    </row>
    <row r="44" spans="1:10" s="38" customFormat="1" ht="22.5" x14ac:dyDescent="0.25">
      <c r="A44" s="590" t="s">
        <v>22</v>
      </c>
      <c r="B44" s="78" t="str">
        <f>IF(ISBLANK(A44),"","I"&amp;COUNTA($A$31:A44))</f>
        <v>I14</v>
      </c>
      <c r="C44" s="587" t="s">
        <v>308</v>
      </c>
      <c r="D44" s="588" t="s">
        <v>22</v>
      </c>
      <c r="E44" s="588" t="s">
        <v>24</v>
      </c>
      <c r="F44" s="589">
        <v>2135</v>
      </c>
      <c r="G44" s="589">
        <v>6754</v>
      </c>
      <c r="H44" s="589">
        <v>11071</v>
      </c>
      <c r="I44" s="589">
        <v>13582</v>
      </c>
      <c r="J44" s="591" t="s">
        <v>307</v>
      </c>
    </row>
    <row r="45" spans="1:10" s="38" customFormat="1" ht="22.5" x14ac:dyDescent="0.25">
      <c r="A45" s="78" t="s">
        <v>22</v>
      </c>
      <c r="B45" s="78" t="str">
        <f>IF(ISBLANK(A45),"","I"&amp;COUNTA($A$31:A45))</f>
        <v>I15</v>
      </c>
      <c r="C45" s="526" t="s">
        <v>50</v>
      </c>
      <c r="D45" s="79" t="s">
        <v>22</v>
      </c>
      <c r="E45" s="79" t="s">
        <v>24</v>
      </c>
      <c r="F45" s="481">
        <v>-56000</v>
      </c>
      <c r="G45" s="481">
        <v>-60000</v>
      </c>
      <c r="H45" s="481">
        <v>-57000</v>
      </c>
      <c r="I45" s="481">
        <v>-57000</v>
      </c>
      <c r="J45" s="38" t="s">
        <v>307</v>
      </c>
    </row>
    <row r="46" spans="1:10" s="38" customFormat="1" ht="22.5" x14ac:dyDescent="0.25">
      <c r="A46" s="78" t="s">
        <v>22</v>
      </c>
      <c r="B46" s="78" t="str">
        <f>IF(ISBLANK(A46),"","I"&amp;COUNTA($A$31:A46))</f>
        <v>I16</v>
      </c>
      <c r="C46" s="526" t="s">
        <v>51</v>
      </c>
      <c r="D46" s="79" t="s">
        <v>22</v>
      </c>
      <c r="E46" s="79" t="s">
        <v>24</v>
      </c>
      <c r="F46" s="481">
        <v>-79900</v>
      </c>
      <c r="G46" s="481">
        <v>-88700</v>
      </c>
      <c r="H46" s="481">
        <v>-88200</v>
      </c>
      <c r="I46" s="481">
        <v>-91500</v>
      </c>
      <c r="J46" s="38" t="s">
        <v>307</v>
      </c>
    </row>
    <row r="47" spans="1:10" s="38" customFormat="1" ht="22.5" x14ac:dyDescent="0.25">
      <c r="A47" s="78" t="s">
        <v>22</v>
      </c>
      <c r="B47" s="78" t="str">
        <f>IF(ISBLANK(A47),"","I"&amp;COUNTA($A$31:A47))</f>
        <v>I17</v>
      </c>
      <c r="C47" s="526" t="s">
        <v>52</v>
      </c>
      <c r="D47" s="79" t="s">
        <v>22</v>
      </c>
      <c r="E47" s="79" t="s">
        <v>24</v>
      </c>
      <c r="F47" s="481">
        <v>79900</v>
      </c>
      <c r="G47" s="481">
        <v>88700</v>
      </c>
      <c r="H47" s="481">
        <v>88200</v>
      </c>
      <c r="I47" s="481">
        <v>91500</v>
      </c>
      <c r="J47" s="38" t="s">
        <v>307</v>
      </c>
    </row>
    <row r="48" spans="1:10" s="38" customFormat="1" ht="22.5" x14ac:dyDescent="0.25">
      <c r="A48" s="78" t="s">
        <v>22</v>
      </c>
      <c r="B48" s="78" t="str">
        <f>IF(ISBLANK(A48),"","I"&amp;COUNTA($A$31:A48))</f>
        <v>I18</v>
      </c>
      <c r="C48" s="526" t="s">
        <v>53</v>
      </c>
      <c r="D48" s="79" t="s">
        <v>22</v>
      </c>
      <c r="E48" s="79" t="s">
        <v>24</v>
      </c>
      <c r="F48" s="481">
        <v>-15900</v>
      </c>
      <c r="G48" s="481">
        <v>-15600</v>
      </c>
      <c r="H48" s="481">
        <v>-14000</v>
      </c>
      <c r="I48" s="481">
        <v>-12900</v>
      </c>
      <c r="J48" s="38" t="s">
        <v>307</v>
      </c>
    </row>
    <row r="49" spans="1:11" s="38" customFormat="1" ht="22.5" x14ac:dyDescent="0.25">
      <c r="A49" s="78" t="s">
        <v>22</v>
      </c>
      <c r="B49" s="78" t="str">
        <f>IF(ISBLANK(A49),"","I"&amp;COUNTA($A$31:A49))</f>
        <v>I19</v>
      </c>
      <c r="C49" s="526" t="s">
        <v>54</v>
      </c>
      <c r="D49" s="79" t="s">
        <v>22</v>
      </c>
      <c r="E49" s="79" t="s">
        <v>24</v>
      </c>
      <c r="F49" s="481">
        <v>-136700</v>
      </c>
      <c r="G49" s="481">
        <v>-140600</v>
      </c>
      <c r="H49" s="481">
        <v>-144500</v>
      </c>
      <c r="I49" s="481">
        <v>-148400</v>
      </c>
      <c r="J49" s="38" t="s">
        <v>405</v>
      </c>
    </row>
    <row r="50" spans="1:11" s="38" customFormat="1" ht="22.5" x14ac:dyDescent="0.25">
      <c r="A50" s="78" t="s">
        <v>22</v>
      </c>
      <c r="B50" s="78" t="str">
        <f>IF(ISBLANK(A50),"","I"&amp;COUNTA($A$31:A50))</f>
        <v>I20</v>
      </c>
      <c r="C50" s="526" t="s">
        <v>55</v>
      </c>
      <c r="D50" s="79" t="s">
        <v>22</v>
      </c>
      <c r="E50" s="79" t="s">
        <v>24</v>
      </c>
      <c r="F50" s="481">
        <v>-1339</v>
      </c>
      <c r="G50" s="481">
        <v>-1607</v>
      </c>
      <c r="H50" s="481">
        <v>-1607</v>
      </c>
      <c r="I50" s="481">
        <v>-1607</v>
      </c>
      <c r="J50" s="38" t="s">
        <v>475</v>
      </c>
    </row>
    <row r="51" spans="1:11" s="38" customFormat="1" ht="22.5" x14ac:dyDescent="0.25">
      <c r="A51" s="78" t="s">
        <v>22</v>
      </c>
      <c r="B51" s="78" t="str">
        <f>IF(ISBLANK(A51),"","I"&amp;COUNTA($A$31:A51))</f>
        <v>I21</v>
      </c>
      <c r="C51" s="526" t="s">
        <v>57</v>
      </c>
      <c r="D51" s="79" t="s">
        <v>22</v>
      </c>
      <c r="E51" s="79" t="s">
        <v>24</v>
      </c>
      <c r="F51" s="481">
        <v>-2000</v>
      </c>
      <c r="G51" s="481">
        <v>-2000</v>
      </c>
      <c r="H51" s="481">
        <v>-2000</v>
      </c>
      <c r="I51" s="481">
        <v>-2000</v>
      </c>
      <c r="J51" s="38" t="s">
        <v>475</v>
      </c>
    </row>
    <row r="52" spans="1:11" s="38" customFormat="1" ht="22.5" x14ac:dyDescent="0.25">
      <c r="A52" s="78" t="s">
        <v>22</v>
      </c>
      <c r="B52" s="78" t="str">
        <f>IF(ISBLANK(A52),"","I"&amp;COUNTA($A$31:A52))</f>
        <v>I22</v>
      </c>
      <c r="C52" s="526" t="s">
        <v>59</v>
      </c>
      <c r="D52" s="79" t="s">
        <v>22</v>
      </c>
      <c r="E52" s="79" t="s">
        <v>24</v>
      </c>
      <c r="F52" s="481">
        <v>-5100</v>
      </c>
      <c r="G52" s="481">
        <v>-5000</v>
      </c>
      <c r="H52" s="481">
        <v>-4600</v>
      </c>
      <c r="I52" s="481">
        <v>-4300</v>
      </c>
      <c r="J52" s="38" t="s">
        <v>307</v>
      </c>
    </row>
    <row r="53" spans="1:11" s="38" customFormat="1" ht="22.5" x14ac:dyDescent="0.25">
      <c r="A53" s="78" t="s">
        <v>22</v>
      </c>
      <c r="B53" s="78" t="str">
        <f>IF(ISBLANK(A53),"","I"&amp;COUNTA($A$31:A53))</f>
        <v>I23</v>
      </c>
      <c r="C53" s="526" t="s">
        <v>60</v>
      </c>
      <c r="D53" s="79" t="s">
        <v>22</v>
      </c>
      <c r="E53" s="79" t="s">
        <v>24</v>
      </c>
      <c r="F53" s="481"/>
      <c r="G53" s="481"/>
      <c r="H53" s="481"/>
      <c r="I53" s="481"/>
      <c r="J53" s="38" t="s">
        <v>475</v>
      </c>
    </row>
    <row r="54" spans="1:11" s="38" customFormat="1" ht="22.5" x14ac:dyDescent="0.25">
      <c r="A54" s="78" t="s">
        <v>22</v>
      </c>
      <c r="B54" s="78" t="str">
        <f>IF(ISBLANK(A54),"","I"&amp;COUNTA($A$31:A54))</f>
        <v>I24</v>
      </c>
      <c r="C54" s="526" t="s">
        <v>62</v>
      </c>
      <c r="D54" s="79" t="s">
        <v>22</v>
      </c>
      <c r="E54" s="79" t="s">
        <v>24</v>
      </c>
      <c r="F54" s="481">
        <v>-500</v>
      </c>
      <c r="G54" s="481">
        <v>-500</v>
      </c>
      <c r="H54" s="481">
        <v>-500</v>
      </c>
      <c r="I54" s="481">
        <v>-500</v>
      </c>
      <c r="J54" s="38" t="s">
        <v>475</v>
      </c>
    </row>
    <row r="55" spans="1:11" s="38" customFormat="1" ht="22.5" x14ac:dyDescent="0.25">
      <c r="A55" s="78" t="s">
        <v>22</v>
      </c>
      <c r="B55" s="78" t="str">
        <f>IF(ISBLANK(A55),"","I"&amp;COUNTA($A$31:A55))</f>
        <v>I25</v>
      </c>
      <c r="C55" s="526" t="s">
        <v>64</v>
      </c>
      <c r="D55" s="79" t="s">
        <v>22</v>
      </c>
      <c r="E55" s="79" t="s">
        <v>24</v>
      </c>
      <c r="F55" s="595">
        <v>225000</v>
      </c>
      <c r="G55" s="595">
        <v>180000</v>
      </c>
      <c r="H55" s="595">
        <v>120000</v>
      </c>
      <c r="I55" s="595">
        <v>120000</v>
      </c>
      <c r="J55" s="38" t="s">
        <v>476</v>
      </c>
    </row>
    <row r="56" spans="1:11" s="38" customFormat="1" ht="22.5" x14ac:dyDescent="0.25">
      <c r="A56" s="78" t="s">
        <v>22</v>
      </c>
      <c r="B56" s="78" t="str">
        <f>IF(ISBLANK(A56),"","I"&amp;COUNTA($A$31:A56))</f>
        <v>I26</v>
      </c>
      <c r="C56" s="98" t="s">
        <v>68</v>
      </c>
      <c r="D56" s="79" t="s">
        <v>22</v>
      </c>
      <c r="E56" s="79" t="s">
        <v>24</v>
      </c>
      <c r="F56" s="481"/>
      <c r="G56" s="481"/>
      <c r="H56" s="481"/>
      <c r="I56" s="481"/>
    </row>
    <row r="57" spans="1:11" s="38" customFormat="1" ht="22.5" x14ac:dyDescent="0.25">
      <c r="A57" s="78" t="s">
        <v>22</v>
      </c>
      <c r="B57" s="78" t="str">
        <f>IF(ISBLANK(A57),"","I"&amp;COUNTA($A$31:A57))</f>
        <v>I27</v>
      </c>
      <c r="C57" s="526" t="s">
        <v>69</v>
      </c>
      <c r="D57" s="79" t="s">
        <v>22</v>
      </c>
      <c r="E57" s="79" t="s">
        <v>24</v>
      </c>
      <c r="F57" s="481">
        <v>340000</v>
      </c>
      <c r="G57" s="481">
        <v>350000</v>
      </c>
      <c r="H57" s="481">
        <v>360000</v>
      </c>
      <c r="I57" s="481">
        <v>370000</v>
      </c>
      <c r="J57" s="38" t="s">
        <v>70</v>
      </c>
    </row>
    <row r="58" spans="1:11" s="38" customFormat="1" ht="22.5" x14ac:dyDescent="0.25">
      <c r="A58" s="45" t="s">
        <v>22</v>
      </c>
      <c r="B58" s="78" t="str">
        <f>IF(ISBLANK(A58),"","I"&amp;COUNTA($A$31:A58))</f>
        <v>I28</v>
      </c>
      <c r="C58" s="526" t="s">
        <v>71</v>
      </c>
      <c r="D58" s="79" t="s">
        <v>22</v>
      </c>
      <c r="E58" s="79" t="s">
        <v>24</v>
      </c>
      <c r="F58" s="481">
        <v>-340000</v>
      </c>
      <c r="G58" s="481">
        <v>-350000</v>
      </c>
      <c r="H58" s="481">
        <v>-360000</v>
      </c>
      <c r="I58" s="481">
        <v>-370000</v>
      </c>
      <c r="J58" s="38" t="s">
        <v>70</v>
      </c>
    </row>
    <row r="59" spans="1:11" s="38" customFormat="1" ht="22.5" x14ac:dyDescent="0.25">
      <c r="A59" s="45" t="s">
        <v>22</v>
      </c>
      <c r="B59" s="78" t="str">
        <f>IF(ISBLANK(A59),"","I"&amp;COUNTA($A$31:A59))</f>
        <v>I29</v>
      </c>
      <c r="C59" s="526" t="s">
        <v>72</v>
      </c>
      <c r="D59" s="79" t="s">
        <v>22</v>
      </c>
      <c r="E59" s="79" t="s">
        <v>24</v>
      </c>
      <c r="F59" s="481">
        <v>-27043</v>
      </c>
      <c r="G59" s="481">
        <v>-27162</v>
      </c>
      <c r="H59" s="481">
        <v>-28274</v>
      </c>
      <c r="I59" s="481">
        <v>-30191</v>
      </c>
      <c r="J59" s="144" t="s">
        <v>73</v>
      </c>
    </row>
    <row r="60" spans="1:11" s="38" customFormat="1" ht="22.5" x14ac:dyDescent="0.25">
      <c r="A60" s="45" t="s">
        <v>22</v>
      </c>
      <c r="B60" s="78" t="str">
        <f>IF(ISBLANK(A60),"","I"&amp;COUNTA($A$31:A60))</f>
        <v>I30</v>
      </c>
      <c r="C60" s="526" t="s">
        <v>74</v>
      </c>
      <c r="D60" s="79" t="s">
        <v>22</v>
      </c>
      <c r="E60" s="79" t="s">
        <v>24</v>
      </c>
      <c r="F60" s="481">
        <v>-54620</v>
      </c>
      <c r="G60" s="481">
        <v>-59551</v>
      </c>
      <c r="H60" s="481">
        <v>-65379</v>
      </c>
      <c r="I60" s="481">
        <v>-71940</v>
      </c>
      <c r="J60" s="144" t="s">
        <v>73</v>
      </c>
    </row>
    <row r="61" spans="1:11" s="38" customFormat="1" ht="22.5" x14ac:dyDescent="0.25">
      <c r="A61" s="45" t="s">
        <v>22</v>
      </c>
      <c r="B61" s="78" t="str">
        <f>IF(ISBLANK(A61),"","I"&amp;COUNTA($A$31:A61))</f>
        <v>I31</v>
      </c>
      <c r="C61" s="98" t="s">
        <v>75</v>
      </c>
      <c r="D61" s="79" t="s">
        <v>22</v>
      </c>
      <c r="E61" s="79" t="s">
        <v>24</v>
      </c>
      <c r="F61" s="481">
        <v>-759</v>
      </c>
      <c r="G61" s="481">
        <v>-1311</v>
      </c>
      <c r="H61" s="481">
        <v>-2837</v>
      </c>
      <c r="I61" s="481">
        <v>-3574</v>
      </c>
      <c r="J61" s="144" t="s">
        <v>73</v>
      </c>
    </row>
    <row r="62" spans="1:11" s="38" customFormat="1" ht="22.5" x14ac:dyDescent="0.25">
      <c r="A62" s="78" t="s">
        <v>22</v>
      </c>
      <c r="B62" s="78" t="str">
        <f>IF(ISBLANK(A62),"","I"&amp;COUNTA($A$31:A62))</f>
        <v>I32</v>
      </c>
      <c r="C62" s="98"/>
      <c r="D62" s="79" t="s">
        <v>22</v>
      </c>
      <c r="E62" s="79" t="s">
        <v>24</v>
      </c>
      <c r="F62" s="90"/>
      <c r="G62" s="90"/>
      <c r="H62" s="90"/>
      <c r="I62" s="90"/>
      <c r="K62" s="38" t="str">
        <f>IF(ISBLANK(C62),"","I"&amp;COUNTA($C$31:C62))</f>
        <v/>
      </c>
    </row>
    <row r="63" spans="1:11" s="38" customFormat="1" ht="22.5" x14ac:dyDescent="0.25">
      <c r="A63" s="78" t="s">
        <v>22</v>
      </c>
      <c r="B63" s="78" t="str">
        <f>IF(ISBLANK(A63),"","I"&amp;COUNTA($A$31:A63))</f>
        <v>I33</v>
      </c>
      <c r="C63" s="98"/>
      <c r="D63" s="79" t="s">
        <v>22</v>
      </c>
      <c r="E63" s="79" t="s">
        <v>24</v>
      </c>
      <c r="F63" s="90"/>
      <c r="G63" s="90"/>
      <c r="H63" s="90"/>
      <c r="I63" s="90"/>
      <c r="K63" s="38" t="str">
        <f>IF(ISBLANK(C63),"","I"&amp;COUNTA($C$31:C63))</f>
        <v/>
      </c>
    </row>
    <row r="64" spans="1:11" s="38" customFormat="1" x14ac:dyDescent="0.25">
      <c r="A64" s="244"/>
      <c r="B64" s="244"/>
      <c r="C64" s="245"/>
      <c r="D64" s="214"/>
      <c r="E64" s="111"/>
      <c r="F64" s="110"/>
      <c r="G64" s="110"/>
      <c r="H64" s="110"/>
      <c r="I64" s="110"/>
      <c r="K64" s="38" t="str">
        <f>IF(ISBLANK(C64),"","I"&amp;COUNTA($C$31:C64))</f>
        <v/>
      </c>
    </row>
    <row r="65" spans="1:10" s="38" customFormat="1" x14ac:dyDescent="0.25">
      <c r="A65" s="43"/>
      <c r="B65" s="43"/>
      <c r="C65" s="3" t="s">
        <v>76</v>
      </c>
      <c r="D65" s="63"/>
      <c r="E65" s="63"/>
      <c r="F65" s="9">
        <f>SUMIF($A:$A,"SENT.INNT",F:F)</f>
        <v>-5175958</v>
      </c>
      <c r="G65" s="9">
        <f>SUMIF($A:$A,"SENT.INNT",G:G)</f>
        <v>-5184189</v>
      </c>
      <c r="H65" s="9">
        <f>SUMIF($A:$A,"SENT.INNT",H:H)</f>
        <v>-5206418</v>
      </c>
      <c r="I65" s="9">
        <f>SUMIF($A:$A,"SENT.INNT",I:I)</f>
        <v>-5219064</v>
      </c>
    </row>
    <row r="66" spans="1:10" s="38" customFormat="1" x14ac:dyDescent="0.25">
      <c r="A66" s="46"/>
      <c r="B66" s="46"/>
      <c r="C66" s="3" t="s">
        <v>77</v>
      </c>
      <c r="D66" s="52"/>
      <c r="E66" s="52"/>
      <c r="F66" s="9">
        <f>F4</f>
        <v>4902782</v>
      </c>
      <c r="G66" s="9">
        <f>G4</f>
        <v>4902782</v>
      </c>
      <c r="H66" s="9">
        <f>H4</f>
        <v>4902782</v>
      </c>
      <c r="I66" s="9">
        <f>I4</f>
        <v>4902782</v>
      </c>
    </row>
    <row r="67" spans="1:10" s="38" customFormat="1" x14ac:dyDescent="0.25">
      <c r="A67" s="43"/>
      <c r="B67" s="43"/>
      <c r="C67" s="3" t="s">
        <v>78</v>
      </c>
      <c r="D67" s="52"/>
      <c r="E67" s="52"/>
      <c r="F67" s="9">
        <f>F65+F66</f>
        <v>-273176</v>
      </c>
      <c r="G67" s="9">
        <f>G65+G66</f>
        <v>-281407</v>
      </c>
      <c r="H67" s="9">
        <f>H65+H66</f>
        <v>-303636</v>
      </c>
      <c r="I67" s="9">
        <f>I65+I66</f>
        <v>-316282</v>
      </c>
    </row>
    <row r="68" spans="1:10" s="38" customFormat="1" x14ac:dyDescent="0.25">
      <c r="A68" s="47"/>
      <c r="B68" s="47"/>
      <c r="C68" s="11"/>
      <c r="D68" s="49"/>
      <c r="E68" s="49"/>
      <c r="F68" s="12"/>
      <c r="G68" s="12"/>
      <c r="H68" s="12"/>
      <c r="I68" s="12"/>
    </row>
    <row r="69" spans="1:10" s="1" customFormat="1" x14ac:dyDescent="0.25">
      <c r="A69" s="48"/>
      <c r="B69" s="48"/>
      <c r="C69" s="13" t="s">
        <v>79</v>
      </c>
      <c r="D69" s="50"/>
      <c r="E69" s="50"/>
      <c r="F69" s="14"/>
      <c r="G69" s="14"/>
      <c r="H69" s="14"/>
      <c r="I69" s="14"/>
    </row>
    <row r="70" spans="1:10" s="38" customFormat="1" x14ac:dyDescent="0.25">
      <c r="A70" s="72"/>
      <c r="B70" s="341"/>
      <c r="C70" s="246" t="s">
        <v>80</v>
      </c>
      <c r="D70" s="83"/>
      <c r="E70" s="83"/>
      <c r="F70" s="4">
        <v>2023</v>
      </c>
      <c r="G70" s="4">
        <v>2024</v>
      </c>
      <c r="H70" s="4">
        <f>G70+1</f>
        <v>2025</v>
      </c>
      <c r="I70" s="4">
        <f>H70+1</f>
        <v>2026</v>
      </c>
    </row>
    <row r="71" spans="1:10" s="38" customFormat="1" x14ac:dyDescent="0.25">
      <c r="A71" s="78" t="s">
        <v>81</v>
      </c>
      <c r="B71" s="78" t="str">
        <f>IF(ISBLANK(A71),"","OV"&amp;COUNTA($A$71:A71))</f>
        <v>OV1</v>
      </c>
      <c r="C71" s="602" t="s">
        <v>477</v>
      </c>
      <c r="D71" s="596" t="s">
        <v>91</v>
      </c>
      <c r="E71" s="594"/>
      <c r="F71" s="610">
        <v>600</v>
      </c>
      <c r="G71" s="610">
        <v>600</v>
      </c>
      <c r="H71" s="610">
        <v>600</v>
      </c>
      <c r="I71" s="610">
        <v>600</v>
      </c>
      <c r="J71" s="38" t="s">
        <v>478</v>
      </c>
    </row>
    <row r="72" spans="1:10" s="38" customFormat="1" ht="14.25" customHeight="1" x14ac:dyDescent="0.25">
      <c r="A72" s="78" t="s">
        <v>81</v>
      </c>
      <c r="B72" s="78" t="str">
        <f>IF(ISBLANK(A72),"","OV"&amp;COUNTA($A$71:A72))</f>
        <v>OV2</v>
      </c>
      <c r="C72" s="245" t="s">
        <v>82</v>
      </c>
      <c r="D72" s="72" t="s">
        <v>83</v>
      </c>
      <c r="E72" s="79" t="s">
        <v>84</v>
      </c>
      <c r="F72" s="217">
        <v>7303</v>
      </c>
      <c r="G72" s="217">
        <v>10957</v>
      </c>
      <c r="H72" s="217">
        <v>13165</v>
      </c>
      <c r="I72" s="217">
        <v>12089</v>
      </c>
      <c r="J72" s="144" t="s">
        <v>479</v>
      </c>
    </row>
    <row r="73" spans="1:10" s="38" customFormat="1" x14ac:dyDescent="0.25">
      <c r="A73" s="78" t="s">
        <v>81</v>
      </c>
      <c r="B73" s="78" t="str">
        <f>IF(ISBLANK(A73),"","OV"&amp;COUNTA($A$71:A73))</f>
        <v>OV3</v>
      </c>
      <c r="C73" s="245" t="s">
        <v>85</v>
      </c>
      <c r="D73" s="72" t="s">
        <v>83</v>
      </c>
      <c r="E73" s="79" t="s">
        <v>84</v>
      </c>
      <c r="F73" s="217"/>
      <c r="G73" s="217"/>
      <c r="H73" s="217"/>
      <c r="I73" s="217"/>
    </row>
    <row r="74" spans="1:10" s="38" customFormat="1" x14ac:dyDescent="0.25">
      <c r="A74" s="78" t="s">
        <v>81</v>
      </c>
      <c r="B74" s="78" t="str">
        <f>IF(ISBLANK(A74),"","OV"&amp;COUNTA($A$71:A74))</f>
        <v>OV4</v>
      </c>
      <c r="C74" s="245" t="s">
        <v>86</v>
      </c>
      <c r="D74" s="72" t="s">
        <v>83</v>
      </c>
      <c r="E74" s="79" t="s">
        <v>84</v>
      </c>
      <c r="F74" s="217">
        <v>1178</v>
      </c>
      <c r="G74" s="217">
        <v>1768</v>
      </c>
      <c r="H74" s="217">
        <v>2124</v>
      </c>
      <c r="I74" s="217">
        <v>1951</v>
      </c>
      <c r="J74" s="144" t="s">
        <v>479</v>
      </c>
    </row>
    <row r="75" spans="1:10" s="38" customFormat="1" x14ac:dyDescent="0.25">
      <c r="A75" s="78" t="s">
        <v>81</v>
      </c>
      <c r="B75" s="78" t="str">
        <f>IF(ISBLANK(A75),"","OV"&amp;COUNTA($A$71:A75))</f>
        <v>OV5</v>
      </c>
      <c r="C75" s="245" t="s">
        <v>87</v>
      </c>
      <c r="D75" s="72" t="s">
        <v>83</v>
      </c>
      <c r="E75" s="79" t="s">
        <v>84</v>
      </c>
      <c r="F75" s="217"/>
      <c r="G75" s="217"/>
      <c r="H75" s="217"/>
      <c r="I75" s="217"/>
    </row>
    <row r="76" spans="1:10" s="38" customFormat="1" x14ac:dyDescent="0.25">
      <c r="A76" s="78" t="s">
        <v>81</v>
      </c>
      <c r="B76" s="78" t="str">
        <f>IF(ISBLANK(A76),"","OV"&amp;COUNTA($A$71:A76))</f>
        <v>OV6</v>
      </c>
      <c r="C76" s="245" t="s">
        <v>88</v>
      </c>
      <c r="D76" s="72" t="s">
        <v>89</v>
      </c>
      <c r="E76" s="79" t="s">
        <v>84</v>
      </c>
      <c r="F76" s="217">
        <v>0</v>
      </c>
      <c r="G76" s="217">
        <v>-852</v>
      </c>
      <c r="H76" s="217">
        <v>-852</v>
      </c>
      <c r="I76" s="217">
        <v>-852</v>
      </c>
    </row>
    <row r="77" spans="1:10" s="38" customFormat="1" x14ac:dyDescent="0.25">
      <c r="A77" s="78" t="s">
        <v>81</v>
      </c>
      <c r="B77" s="78" t="str">
        <f>IF(ISBLANK(A77),"","OV"&amp;COUNTA($A$71:A77))</f>
        <v>OV7</v>
      </c>
      <c r="C77" s="245" t="s">
        <v>480</v>
      </c>
      <c r="D77" s="72" t="s">
        <v>91</v>
      </c>
      <c r="E77" s="79">
        <v>4</v>
      </c>
      <c r="F77" s="217">
        <v>1453</v>
      </c>
      <c r="G77" s="217">
        <v>1453</v>
      </c>
      <c r="H77" s="217">
        <v>1453</v>
      </c>
      <c r="I77" s="217">
        <v>1453</v>
      </c>
    </row>
    <row r="78" spans="1:10" s="38" customFormat="1" x14ac:dyDescent="0.25">
      <c r="A78" s="78" t="s">
        <v>81</v>
      </c>
      <c r="B78" s="78" t="str">
        <f>IF(ISBLANK(A78),"","OV"&amp;COUNTA($A$71:A78))</f>
        <v>OV8</v>
      </c>
      <c r="C78" s="245" t="s">
        <v>481</v>
      </c>
      <c r="D78" s="72" t="s">
        <v>91</v>
      </c>
      <c r="E78" s="79">
        <v>9</v>
      </c>
      <c r="F78" s="217">
        <v>280</v>
      </c>
      <c r="G78" s="217">
        <v>280</v>
      </c>
      <c r="H78" s="217">
        <v>280</v>
      </c>
      <c r="I78" s="217">
        <v>280</v>
      </c>
    </row>
    <row r="79" spans="1:10" s="38" customFormat="1" ht="28.5" customHeight="1" x14ac:dyDescent="0.25">
      <c r="A79" s="78" t="s">
        <v>81</v>
      </c>
      <c r="B79" s="78" t="str">
        <f>IF(ISBLANK(A79),"","OV"&amp;COUNTA($A$71:A79))</f>
        <v>OV9</v>
      </c>
      <c r="C79" s="245" t="s">
        <v>406</v>
      </c>
      <c r="D79" s="72" t="s">
        <v>91</v>
      </c>
      <c r="E79" s="79">
        <v>1</v>
      </c>
      <c r="F79" s="398">
        <v>8700</v>
      </c>
      <c r="G79" s="398">
        <v>8700</v>
      </c>
      <c r="H79" s="398">
        <v>8700</v>
      </c>
      <c r="I79" s="398">
        <v>8700</v>
      </c>
      <c r="J79" s="293"/>
    </row>
    <row r="80" spans="1:10" s="38" customFormat="1" ht="25.5" x14ac:dyDescent="0.25">
      <c r="A80" s="78" t="s">
        <v>81</v>
      </c>
      <c r="B80" s="78" t="str">
        <f>IF(ISBLANK(A80),"","OV"&amp;COUNTA($A$71:A80))</f>
        <v>OV10</v>
      </c>
      <c r="C80" s="569" t="s">
        <v>407</v>
      </c>
      <c r="D80" s="570" t="s">
        <v>91</v>
      </c>
      <c r="E80" s="568" t="s">
        <v>24</v>
      </c>
      <c r="F80" s="575">
        <v>6000</v>
      </c>
      <c r="G80" s="575">
        <v>6000</v>
      </c>
      <c r="H80" s="575"/>
      <c r="I80" s="575"/>
      <c r="J80" s="95">
        <f>F80+F87+F102+F117+F118+F126+F169+F174+F175+F177</f>
        <v>54000</v>
      </c>
    </row>
    <row r="81" spans="1:11" s="38" customFormat="1" x14ac:dyDescent="0.25">
      <c r="A81" s="78" t="s">
        <v>81</v>
      </c>
      <c r="B81" s="78" t="str">
        <f>IF(ISBLANK(A81),"","OV"&amp;COUNTA($A$71:A81))</f>
        <v>OV11</v>
      </c>
      <c r="C81" s="245" t="s">
        <v>93</v>
      </c>
      <c r="D81" s="72" t="s">
        <v>83</v>
      </c>
      <c r="E81" s="79" t="s">
        <v>84</v>
      </c>
      <c r="F81" s="217">
        <v>127</v>
      </c>
      <c r="G81" s="217">
        <v>190</v>
      </c>
      <c r="H81" s="217">
        <v>228</v>
      </c>
      <c r="I81" s="217">
        <v>209</v>
      </c>
      <c r="J81" s="144" t="s">
        <v>479</v>
      </c>
    </row>
    <row r="82" spans="1:11" s="38" customFormat="1" x14ac:dyDescent="0.25">
      <c r="A82" s="78" t="s">
        <v>81</v>
      </c>
      <c r="B82" s="78" t="str">
        <f>IF(ISBLANK(A82),"","OV"&amp;COUNTA($A$71:A82))</f>
        <v>OV12</v>
      </c>
      <c r="C82" s="245" t="s">
        <v>94</v>
      </c>
      <c r="D82" s="72" t="s">
        <v>83</v>
      </c>
      <c r="E82" s="79" t="s">
        <v>84</v>
      </c>
      <c r="F82" s="217"/>
      <c r="G82" s="217"/>
      <c r="H82" s="217"/>
      <c r="I82" s="217"/>
    </row>
    <row r="83" spans="1:11" s="38" customFormat="1" x14ac:dyDescent="0.25">
      <c r="A83" s="78" t="s">
        <v>81</v>
      </c>
      <c r="B83" s="78" t="str">
        <f>IF(ISBLANK(A83),"","OV"&amp;COUNTA($A$71:A83))</f>
        <v>OV13</v>
      </c>
      <c r="C83" s="245" t="s">
        <v>95</v>
      </c>
      <c r="D83" s="72" t="s">
        <v>83</v>
      </c>
      <c r="E83" s="79" t="s">
        <v>84</v>
      </c>
      <c r="F83" s="217">
        <v>12550</v>
      </c>
      <c r="G83" s="217">
        <v>12550</v>
      </c>
      <c r="H83" s="217">
        <v>12550</v>
      </c>
      <c r="I83" s="217">
        <v>12550</v>
      </c>
    </row>
    <row r="84" spans="1:11" s="38" customFormat="1" x14ac:dyDescent="0.25">
      <c r="A84" s="78" t="s">
        <v>81</v>
      </c>
      <c r="B84" s="78" t="str">
        <f>IF(ISBLANK(A84),"","OV"&amp;COUNTA($A$71:A84))</f>
        <v>OV14</v>
      </c>
      <c r="C84" s="245" t="s">
        <v>96</v>
      </c>
      <c r="D84" s="72" t="s">
        <v>83</v>
      </c>
      <c r="E84" s="79" t="s">
        <v>84</v>
      </c>
      <c r="F84" s="217">
        <v>-12550</v>
      </c>
      <c r="G84" s="217">
        <v>-12550</v>
      </c>
      <c r="H84" s="217">
        <v>-12550</v>
      </c>
      <c r="I84" s="217">
        <v>-12550</v>
      </c>
    </row>
    <row r="85" spans="1:11" s="38" customFormat="1" x14ac:dyDescent="0.25">
      <c r="A85" s="78" t="s">
        <v>81</v>
      </c>
      <c r="B85" s="78" t="str">
        <f>IF(ISBLANK(A85),"","OV"&amp;COUNTA($A$71:A85))</f>
        <v>OV15</v>
      </c>
      <c r="C85" s="245" t="s">
        <v>101</v>
      </c>
      <c r="D85" s="72" t="s">
        <v>91</v>
      </c>
      <c r="E85" s="79" t="s">
        <v>24</v>
      </c>
      <c r="F85" s="217">
        <v>600</v>
      </c>
      <c r="G85" s="217">
        <v>600</v>
      </c>
      <c r="H85" s="217">
        <v>600</v>
      </c>
      <c r="I85" s="217">
        <v>600</v>
      </c>
    </row>
    <row r="86" spans="1:11" s="38" customFormat="1" x14ac:dyDescent="0.25">
      <c r="A86" s="78" t="s">
        <v>81</v>
      </c>
      <c r="B86" s="78" t="str">
        <f>IF(ISBLANK(A86),"","OV"&amp;COUNTA($A$71:A86))</f>
        <v>OV16</v>
      </c>
      <c r="C86" s="245" t="s">
        <v>102</v>
      </c>
      <c r="D86" s="72" t="s">
        <v>91</v>
      </c>
      <c r="E86" s="79" t="s">
        <v>24</v>
      </c>
      <c r="F86" s="217">
        <v>840</v>
      </c>
      <c r="G86" s="217">
        <v>840</v>
      </c>
      <c r="H86" s="217">
        <v>840</v>
      </c>
      <c r="I86" s="217">
        <v>840</v>
      </c>
    </row>
    <row r="87" spans="1:11" s="38" customFormat="1" x14ac:dyDescent="0.25">
      <c r="A87" s="78" t="s">
        <v>81</v>
      </c>
      <c r="B87" s="78" t="str">
        <f>IF(ISBLANK(A87),"","OV"&amp;COUNTA($A$71:A87))</f>
        <v>OV17</v>
      </c>
      <c r="C87" s="569" t="s">
        <v>408</v>
      </c>
      <c r="D87" s="570" t="s">
        <v>91</v>
      </c>
      <c r="E87" s="568" t="s">
        <v>24</v>
      </c>
      <c r="F87" s="575">
        <v>5000</v>
      </c>
      <c r="G87" s="575">
        <v>5000</v>
      </c>
      <c r="H87" s="575"/>
      <c r="I87" s="575"/>
      <c r="J87" s="572" t="s">
        <v>324</v>
      </c>
    </row>
    <row r="88" spans="1:11" x14ac:dyDescent="0.25">
      <c r="A88" s="78" t="s">
        <v>81</v>
      </c>
      <c r="B88" s="78" t="str">
        <f>IF(ISBLANK(A88),"","OV"&amp;COUNTA($A$71:A88))</f>
        <v>OV18</v>
      </c>
      <c r="C88" s="245" t="s">
        <v>409</v>
      </c>
      <c r="D88" s="72" t="s">
        <v>91</v>
      </c>
      <c r="E88" s="79" t="s">
        <v>24</v>
      </c>
      <c r="F88" s="217">
        <v>6000</v>
      </c>
      <c r="G88" s="217">
        <v>6000</v>
      </c>
      <c r="H88" s="217">
        <v>6000</v>
      </c>
      <c r="I88" s="217">
        <v>6000</v>
      </c>
      <c r="K88" s="38"/>
    </row>
    <row r="89" spans="1:11" x14ac:dyDescent="0.25">
      <c r="A89" s="78" t="s">
        <v>81</v>
      </c>
      <c r="B89" s="78" t="str">
        <f>IF(ISBLANK(A89),"","OV"&amp;COUNTA($A$71:A89))</f>
        <v>OV19</v>
      </c>
      <c r="C89" s="245" t="s">
        <v>461</v>
      </c>
      <c r="D89" s="72" t="s">
        <v>91</v>
      </c>
      <c r="E89" s="71">
        <v>2</v>
      </c>
      <c r="F89" s="217">
        <v>1450</v>
      </c>
      <c r="G89" s="217">
        <v>1800</v>
      </c>
      <c r="H89" s="217">
        <v>1800</v>
      </c>
      <c r="I89" s="217">
        <v>1800</v>
      </c>
      <c r="K89" s="38"/>
    </row>
    <row r="90" spans="1:11" s="38" customFormat="1" x14ac:dyDescent="0.25">
      <c r="A90" s="78" t="s">
        <v>81</v>
      </c>
      <c r="B90" s="78" t="str">
        <f>IF(ISBLANK(A90),"","OV"&amp;COUNTA($A$71:A90))</f>
        <v>OV20</v>
      </c>
      <c r="C90" s="245" t="s">
        <v>410</v>
      </c>
      <c r="D90" s="72" t="s">
        <v>91</v>
      </c>
      <c r="E90" s="71" t="s">
        <v>24</v>
      </c>
      <c r="F90" s="484">
        <v>18500</v>
      </c>
      <c r="G90" s="484">
        <v>18500</v>
      </c>
      <c r="H90" s="484">
        <v>18500</v>
      </c>
      <c r="I90" s="484">
        <v>18500</v>
      </c>
      <c r="J90" s="38" t="s">
        <v>482</v>
      </c>
    </row>
    <row r="91" spans="1:11" s="1" customFormat="1" x14ac:dyDescent="0.25">
      <c r="A91" s="78"/>
      <c r="B91" s="78" t="str">
        <f>IF(ISBLANK(A91),"","OV"&amp;COUNTA($A$71:A91))</f>
        <v/>
      </c>
      <c r="C91" s="16" t="s">
        <v>112</v>
      </c>
      <c r="D91" s="50"/>
      <c r="E91" s="50"/>
      <c r="F91" s="4">
        <f>F70</f>
        <v>2023</v>
      </c>
      <c r="G91" s="4">
        <f>F91+1</f>
        <v>2024</v>
      </c>
      <c r="H91" s="4">
        <f>G91+1</f>
        <v>2025</v>
      </c>
      <c r="I91" s="4">
        <f>H91+1</f>
        <v>2026</v>
      </c>
      <c r="K91" s="38"/>
    </row>
    <row r="92" spans="1:11" s="38" customFormat="1" x14ac:dyDescent="0.25">
      <c r="A92" s="78" t="s">
        <v>81</v>
      </c>
      <c r="B92" s="78" t="str">
        <f>IF(ISBLANK(A92),"","OV"&amp;COUNTA($A$71:A92))</f>
        <v>OV21</v>
      </c>
      <c r="C92" s="480" t="s">
        <v>113</v>
      </c>
      <c r="D92" s="79" t="s">
        <v>83</v>
      </c>
      <c r="E92" s="79" t="s">
        <v>84</v>
      </c>
      <c r="F92" s="413">
        <v>31300</v>
      </c>
      <c r="G92" s="413">
        <v>31300</v>
      </c>
      <c r="H92" s="413">
        <v>31300</v>
      </c>
      <c r="I92" s="413">
        <v>31300</v>
      </c>
      <c r="J92" s="144" t="s">
        <v>379</v>
      </c>
    </row>
    <row r="93" spans="1:11" s="38" customFormat="1" x14ac:dyDescent="0.25">
      <c r="A93" s="78" t="s">
        <v>81</v>
      </c>
      <c r="B93" s="78" t="str">
        <f>IF(ISBLANK(A93),"","OV"&amp;COUNTA($A$71:A93))</f>
        <v>OV22</v>
      </c>
      <c r="C93" s="480" t="s">
        <v>114</v>
      </c>
      <c r="D93" s="79" t="s">
        <v>91</v>
      </c>
      <c r="E93" s="79" t="s">
        <v>24</v>
      </c>
      <c r="F93" s="608">
        <v>2600</v>
      </c>
      <c r="G93" s="608">
        <v>5200</v>
      </c>
      <c r="H93" s="608">
        <v>5200</v>
      </c>
      <c r="I93" s="608">
        <v>5200</v>
      </c>
      <c r="J93" s="144" t="s">
        <v>483</v>
      </c>
    </row>
    <row r="94" spans="1:11" s="38" customFormat="1" x14ac:dyDescent="0.25">
      <c r="A94" s="78" t="s">
        <v>81</v>
      </c>
      <c r="B94" s="78" t="str">
        <f>IF(ISBLANK(A94),"","OV"&amp;COUNTA($A$71:A94))</f>
        <v>OV23</v>
      </c>
      <c r="C94" s="480" t="s">
        <v>484</v>
      </c>
      <c r="D94" s="79" t="s">
        <v>91</v>
      </c>
      <c r="E94" s="79">
        <v>5</v>
      </c>
      <c r="F94" s="481">
        <v>9200</v>
      </c>
      <c r="G94" s="481">
        <v>9200</v>
      </c>
      <c r="H94" s="481">
        <v>9200</v>
      </c>
      <c r="I94" s="481">
        <v>9200</v>
      </c>
      <c r="J94" s="293" t="s">
        <v>485</v>
      </c>
    </row>
    <row r="95" spans="1:11" s="38" customFormat="1" x14ac:dyDescent="0.25">
      <c r="A95" s="78" t="s">
        <v>81</v>
      </c>
      <c r="B95" s="78" t="str">
        <f>IF(ISBLANK(A95),"","OV"&amp;COUNTA($A$71:A95))</f>
        <v>OV24</v>
      </c>
      <c r="C95" s="480" t="s">
        <v>486</v>
      </c>
      <c r="D95" s="72" t="s">
        <v>91</v>
      </c>
      <c r="E95" s="79">
        <v>4</v>
      </c>
      <c r="F95" s="481">
        <v>2000</v>
      </c>
      <c r="G95" s="481">
        <v>2000</v>
      </c>
      <c r="H95" s="481">
        <v>2000</v>
      </c>
      <c r="I95" s="481">
        <v>2000</v>
      </c>
    </row>
    <row r="96" spans="1:11" s="38" customFormat="1" x14ac:dyDescent="0.25">
      <c r="A96" s="78" t="s">
        <v>81</v>
      </c>
      <c r="B96" s="78" t="str">
        <f>IF(ISBLANK(A96),"","OV"&amp;COUNTA($A$71:A96))</f>
        <v>OV25</v>
      </c>
      <c r="C96" s="480" t="s">
        <v>487</v>
      </c>
      <c r="D96" s="214" t="s">
        <v>91</v>
      </c>
      <c r="E96" s="71" t="s">
        <v>488</v>
      </c>
      <c r="F96" s="481">
        <v>1600</v>
      </c>
      <c r="G96" s="481">
        <v>1600</v>
      </c>
      <c r="H96" s="481">
        <v>1600</v>
      </c>
      <c r="I96" s="481">
        <v>1600</v>
      </c>
    </row>
    <row r="97" spans="1:10" s="38" customFormat="1" x14ac:dyDescent="0.25">
      <c r="A97" s="78" t="s">
        <v>81</v>
      </c>
      <c r="B97" s="78" t="str">
        <f>IF(ISBLANK(A97),"","OV"&amp;COUNTA($A$71:A97))</f>
        <v>OV26</v>
      </c>
      <c r="C97" s="480" t="s">
        <v>489</v>
      </c>
      <c r="D97" s="214" t="s">
        <v>91</v>
      </c>
      <c r="E97" s="71">
        <v>10</v>
      </c>
      <c r="F97" s="399">
        <v>1416</v>
      </c>
      <c r="G97" s="399">
        <v>1416</v>
      </c>
      <c r="H97" s="399">
        <v>1416</v>
      </c>
      <c r="I97" s="399">
        <v>1416</v>
      </c>
      <c r="J97" s="38" t="s">
        <v>490</v>
      </c>
    </row>
    <row r="98" spans="1:10" s="38" customFormat="1" x14ac:dyDescent="0.25">
      <c r="A98" s="78" t="s">
        <v>81</v>
      </c>
      <c r="B98" s="78" t="str">
        <f>IF(ISBLANK(A98),"","OV"&amp;COUNTA($A$71:A98))</f>
        <v>OV27</v>
      </c>
      <c r="C98" s="480" t="s">
        <v>491</v>
      </c>
      <c r="D98" s="214" t="s">
        <v>91</v>
      </c>
      <c r="E98" s="71">
        <v>10</v>
      </c>
      <c r="F98" s="399">
        <v>1416</v>
      </c>
      <c r="G98" s="399">
        <v>1416</v>
      </c>
      <c r="H98" s="399">
        <v>1416</v>
      </c>
      <c r="I98" s="399">
        <v>1416</v>
      </c>
      <c r="J98" s="38" t="s">
        <v>492</v>
      </c>
    </row>
    <row r="99" spans="1:10" s="38" customFormat="1" ht="25.5" x14ac:dyDescent="0.25">
      <c r="A99" s="78" t="s">
        <v>81</v>
      </c>
      <c r="B99" s="78" t="str">
        <f>IF(ISBLANK(A99),"","OV"&amp;COUNTA($A$71:A99))</f>
        <v>OV28</v>
      </c>
      <c r="C99" s="480" t="s">
        <v>493</v>
      </c>
      <c r="D99" s="214" t="s">
        <v>91</v>
      </c>
      <c r="E99" s="71">
        <v>11</v>
      </c>
      <c r="F99" s="399">
        <v>500</v>
      </c>
      <c r="G99" s="399"/>
      <c r="H99" s="399"/>
      <c r="I99" s="399"/>
      <c r="J99" s="38" t="s">
        <v>494</v>
      </c>
    </row>
    <row r="100" spans="1:10" s="38" customFormat="1" ht="18.75" customHeight="1" x14ac:dyDescent="0.25">
      <c r="A100" s="78" t="s">
        <v>81</v>
      </c>
      <c r="B100" s="78" t="str">
        <f>IF(ISBLANK(A100),"","OV"&amp;COUNTA($A$71:A100))</f>
        <v>OV29</v>
      </c>
      <c r="C100" s="480" t="s">
        <v>411</v>
      </c>
      <c r="D100" s="214" t="s">
        <v>91</v>
      </c>
      <c r="E100" s="231">
        <v>2</v>
      </c>
      <c r="F100" s="399">
        <v>1800</v>
      </c>
      <c r="G100" s="399">
        <v>1800</v>
      </c>
      <c r="H100" s="399">
        <v>1800</v>
      </c>
      <c r="I100" s="399">
        <v>1800</v>
      </c>
      <c r="J100" s="38" t="s">
        <v>462</v>
      </c>
    </row>
    <row r="101" spans="1:10" s="38" customFormat="1" x14ac:dyDescent="0.25">
      <c r="A101" s="78" t="s">
        <v>81</v>
      </c>
      <c r="B101" s="78" t="str">
        <f>IF(ISBLANK(A101),"","OV"&amp;COUNTA($A$71:A101))</f>
        <v>OV30</v>
      </c>
      <c r="C101" s="569" t="s">
        <v>495</v>
      </c>
      <c r="D101" s="577" t="s">
        <v>91</v>
      </c>
      <c r="E101" s="573"/>
      <c r="F101" s="572"/>
      <c r="G101" s="572"/>
      <c r="H101" s="572"/>
      <c r="I101" s="572"/>
      <c r="J101" s="144"/>
    </row>
    <row r="102" spans="1:10" s="38" customFormat="1" ht="25.5" x14ac:dyDescent="0.25">
      <c r="A102" s="78" t="s">
        <v>81</v>
      </c>
      <c r="B102" s="78" t="str">
        <f>IF(ISBLANK(A102),"","OV"&amp;COUNTA($A$71:A102))</f>
        <v>OV31</v>
      </c>
      <c r="C102" s="569" t="s">
        <v>413</v>
      </c>
      <c r="D102" s="577" t="s">
        <v>91</v>
      </c>
      <c r="E102" s="573" t="s">
        <v>24</v>
      </c>
      <c r="F102" s="572">
        <v>1600</v>
      </c>
      <c r="G102" s="572">
        <v>1600</v>
      </c>
      <c r="H102" s="572"/>
      <c r="I102" s="572"/>
      <c r="J102" s="144"/>
    </row>
    <row r="103" spans="1:10" s="38" customFormat="1" ht="30" x14ac:dyDescent="0.25">
      <c r="A103" s="78"/>
      <c r="B103" s="78" t="str">
        <f>IF(ISBLANK(A103),"","OV"&amp;COUNTA($A$72:A103))</f>
        <v/>
      </c>
      <c r="C103" s="82" t="s">
        <v>117</v>
      </c>
      <c r="D103" s="96"/>
      <c r="E103" s="71"/>
      <c r="F103" s="4">
        <f>F91</f>
        <v>2023</v>
      </c>
      <c r="G103" s="4">
        <f>F103+1</f>
        <v>2024</v>
      </c>
      <c r="H103" s="4">
        <f>G103+1</f>
        <v>2025</v>
      </c>
      <c r="I103" s="4">
        <f>H103+1</f>
        <v>2026</v>
      </c>
    </row>
    <row r="104" spans="1:10" s="38" customFormat="1" x14ac:dyDescent="0.25">
      <c r="A104" s="78" t="s">
        <v>81</v>
      </c>
      <c r="B104" s="78" t="str">
        <f>IF(ISBLANK(A104),"","OV"&amp;COUNTA($A$72:A104))</f>
        <v>OV31</v>
      </c>
      <c r="C104" s="480" t="s">
        <v>118</v>
      </c>
      <c r="D104" s="72" t="s">
        <v>83</v>
      </c>
      <c r="E104" s="79" t="s">
        <v>84</v>
      </c>
      <c r="F104" s="217">
        <v>5500</v>
      </c>
      <c r="G104" s="217">
        <v>0</v>
      </c>
      <c r="H104" s="217">
        <v>0</v>
      </c>
      <c r="I104" s="217">
        <v>0</v>
      </c>
    </row>
    <row r="105" spans="1:10" s="38" customFormat="1" x14ac:dyDescent="0.25">
      <c r="A105" s="78" t="s">
        <v>81</v>
      </c>
      <c r="B105" s="78" t="str">
        <f>IF(ISBLANK(A105),"","OV"&amp;COUNTA($A$72:A105))</f>
        <v>OV32</v>
      </c>
      <c r="C105" s="480" t="s">
        <v>414</v>
      </c>
      <c r="D105" s="72" t="s">
        <v>89</v>
      </c>
      <c r="E105" s="111" t="s">
        <v>84</v>
      </c>
      <c r="F105" s="217">
        <v>5500</v>
      </c>
      <c r="G105" s="217">
        <v>0</v>
      </c>
      <c r="H105" s="217">
        <v>0</v>
      </c>
      <c r="I105" s="217">
        <v>0</v>
      </c>
    </row>
    <row r="106" spans="1:10" s="38" customFormat="1" x14ac:dyDescent="0.25">
      <c r="A106" s="78" t="s">
        <v>81</v>
      </c>
      <c r="B106" s="78" t="str">
        <f>IF(ISBLANK(A106),"","OV"&amp;COUNTA($A$72:A106))</f>
        <v>OV33</v>
      </c>
      <c r="C106" s="480" t="s">
        <v>120</v>
      </c>
      <c r="D106" s="72" t="s">
        <v>89</v>
      </c>
      <c r="E106" s="111" t="s">
        <v>84</v>
      </c>
      <c r="F106" s="217">
        <v>0</v>
      </c>
      <c r="G106" s="217">
        <v>4000</v>
      </c>
      <c r="H106" s="217">
        <v>4000</v>
      </c>
      <c r="I106" s="217">
        <v>4000</v>
      </c>
    </row>
    <row r="107" spans="1:10" s="38" customFormat="1" x14ac:dyDescent="0.25">
      <c r="A107" s="78" t="s">
        <v>81</v>
      </c>
      <c r="B107" s="78" t="str">
        <f>IF(ISBLANK(A107),"","OV"&amp;COUNTA($A$72:A107))</f>
        <v>OV34</v>
      </c>
      <c r="C107" s="480" t="s">
        <v>121</v>
      </c>
      <c r="D107" s="72" t="s">
        <v>83</v>
      </c>
      <c r="E107" s="111" t="s">
        <v>84</v>
      </c>
      <c r="F107" s="217">
        <v>-11000</v>
      </c>
      <c r="G107" s="217">
        <v>0</v>
      </c>
      <c r="H107" s="217">
        <v>0</v>
      </c>
      <c r="I107" s="217">
        <v>0</v>
      </c>
    </row>
    <row r="108" spans="1:10" s="38" customFormat="1" x14ac:dyDescent="0.25">
      <c r="A108" s="78" t="s">
        <v>81</v>
      </c>
      <c r="B108" s="78" t="str">
        <f>IF(ISBLANK(A108),"","OV"&amp;COUNTA($A$72:A108))</f>
        <v>OV35</v>
      </c>
      <c r="C108" s="480" t="s">
        <v>496</v>
      </c>
      <c r="D108" s="72" t="s">
        <v>91</v>
      </c>
      <c r="E108" s="111" t="s">
        <v>488</v>
      </c>
      <c r="F108" s="217">
        <v>150</v>
      </c>
      <c r="G108" s="217">
        <v>150</v>
      </c>
      <c r="H108" s="217">
        <v>150</v>
      </c>
      <c r="I108" s="217">
        <v>150</v>
      </c>
    </row>
    <row r="109" spans="1:10" s="38" customFormat="1" x14ac:dyDescent="0.25">
      <c r="A109" s="78" t="s">
        <v>81</v>
      </c>
      <c r="B109" s="78" t="str">
        <f>IF(ISBLANK(A109),"","OV"&amp;COUNTA($A$72:A109))</f>
        <v>OV36</v>
      </c>
      <c r="C109" s="480" t="s">
        <v>497</v>
      </c>
      <c r="D109" s="72" t="s">
        <v>91</v>
      </c>
      <c r="E109" s="111">
        <v>6</v>
      </c>
      <c r="F109" s="217">
        <v>557</v>
      </c>
      <c r="G109" s="217">
        <v>557</v>
      </c>
      <c r="H109" s="217">
        <v>557</v>
      </c>
      <c r="I109" s="217">
        <v>557</v>
      </c>
    </row>
    <row r="110" spans="1:10" s="38" customFormat="1" x14ac:dyDescent="0.25">
      <c r="A110" s="78" t="s">
        <v>81</v>
      </c>
      <c r="B110" s="78" t="str">
        <f>IF(ISBLANK(A110),"","OV"&amp;COUNTA($A$72:A110))</f>
        <v>OV37</v>
      </c>
      <c r="C110" s="480" t="s">
        <v>498</v>
      </c>
      <c r="D110" s="72" t="s">
        <v>91</v>
      </c>
      <c r="E110" s="111" t="s">
        <v>488</v>
      </c>
      <c r="F110" s="217">
        <v>230</v>
      </c>
      <c r="G110" s="217">
        <v>230</v>
      </c>
      <c r="H110" s="217"/>
      <c r="I110" s="217"/>
      <c r="J110" s="38" t="s">
        <v>499</v>
      </c>
    </row>
    <row r="111" spans="1:10" s="38" customFormat="1" x14ac:dyDescent="0.25">
      <c r="A111" s="78" t="s">
        <v>81</v>
      </c>
      <c r="B111" s="78" t="str">
        <f>IF(ISBLANK(A111),"","OV"&amp;COUNTA($A$72:A111))</f>
        <v>OV38</v>
      </c>
      <c r="C111" s="480" t="s">
        <v>500</v>
      </c>
      <c r="D111" s="72" t="s">
        <v>91</v>
      </c>
      <c r="E111" s="111" t="s">
        <v>488</v>
      </c>
      <c r="F111" s="217">
        <v>200</v>
      </c>
      <c r="G111" s="217">
        <v>200</v>
      </c>
      <c r="H111" s="217">
        <v>200</v>
      </c>
      <c r="I111" s="217">
        <v>200</v>
      </c>
    </row>
    <row r="112" spans="1:10" s="38" customFormat="1" x14ac:dyDescent="0.25">
      <c r="A112" s="78" t="s">
        <v>81</v>
      </c>
      <c r="B112" s="78" t="str">
        <f>IF(ISBLANK(A112),"","OV"&amp;COUNTA($A$72:A112))</f>
        <v>OV39</v>
      </c>
      <c r="C112" s="480" t="s">
        <v>501</v>
      </c>
      <c r="D112" s="72" t="s">
        <v>91</v>
      </c>
      <c r="E112" s="111" t="s">
        <v>488</v>
      </c>
      <c r="F112" s="217">
        <v>130</v>
      </c>
      <c r="G112" s="217">
        <v>10</v>
      </c>
      <c r="H112" s="217">
        <v>10</v>
      </c>
      <c r="I112" s="217">
        <v>130</v>
      </c>
    </row>
    <row r="113" spans="1:10" s="38" customFormat="1" x14ac:dyDescent="0.25">
      <c r="A113" s="78" t="s">
        <v>81</v>
      </c>
      <c r="B113" s="78" t="str">
        <f>IF(ISBLANK(A113),"","OV"&amp;COUNTA($A$72:A113))</f>
        <v>OV40</v>
      </c>
      <c r="C113" s="480" t="s">
        <v>415</v>
      </c>
      <c r="D113" s="72" t="s">
        <v>91</v>
      </c>
      <c r="E113" s="111" t="s">
        <v>24</v>
      </c>
      <c r="F113" s="217">
        <v>3200</v>
      </c>
      <c r="G113" s="217">
        <v>3200</v>
      </c>
      <c r="H113" s="217">
        <v>3200</v>
      </c>
      <c r="I113" s="217">
        <v>3200</v>
      </c>
      <c r="J113" s="38" t="s">
        <v>327</v>
      </c>
    </row>
    <row r="114" spans="1:10" s="38" customFormat="1" x14ac:dyDescent="0.25">
      <c r="A114" s="78" t="s">
        <v>81</v>
      </c>
      <c r="B114" s="78" t="str">
        <f>IF(ISBLANK(A114),"","OV"&amp;COUNTA($A$72:A114))</f>
        <v>OV41</v>
      </c>
      <c r="C114" s="480" t="s">
        <v>416</v>
      </c>
      <c r="D114" s="72" t="s">
        <v>91</v>
      </c>
      <c r="E114" s="111">
        <v>2</v>
      </c>
      <c r="F114" s="217">
        <v>3700</v>
      </c>
      <c r="G114" s="217">
        <v>3700</v>
      </c>
      <c r="H114" s="217">
        <v>3700</v>
      </c>
      <c r="I114" s="217">
        <v>3700</v>
      </c>
      <c r="J114" s="38" t="s">
        <v>328</v>
      </c>
    </row>
    <row r="115" spans="1:10" s="38" customFormat="1" x14ac:dyDescent="0.25">
      <c r="A115" s="78" t="s">
        <v>81</v>
      </c>
      <c r="B115" s="78" t="str">
        <f>IF(ISBLANK(A115),"","OV"&amp;COUNTA($A$72:A115))</f>
        <v>OV42</v>
      </c>
      <c r="C115" s="480" t="s">
        <v>502</v>
      </c>
      <c r="D115" s="72" t="s">
        <v>91</v>
      </c>
      <c r="E115" s="111">
        <v>7</v>
      </c>
      <c r="F115" s="217">
        <v>1500</v>
      </c>
      <c r="G115" s="217">
        <v>4500</v>
      </c>
      <c r="H115" s="217">
        <v>4500</v>
      </c>
      <c r="I115" s="217">
        <v>4500</v>
      </c>
    </row>
    <row r="116" spans="1:10" s="38" customFormat="1" x14ac:dyDescent="0.25">
      <c r="A116" s="78" t="s">
        <v>81</v>
      </c>
      <c r="B116" s="78" t="str">
        <f>IF(ISBLANK(A116),"","OV"&amp;COUNTA($A$72:A116))</f>
        <v>OV43</v>
      </c>
      <c r="C116" s="480" t="s">
        <v>503</v>
      </c>
      <c r="D116" s="72" t="s">
        <v>91</v>
      </c>
      <c r="E116" s="111" t="s">
        <v>488</v>
      </c>
      <c r="F116" s="217">
        <v>1500</v>
      </c>
      <c r="G116" s="217">
        <v>1500</v>
      </c>
      <c r="H116" s="217">
        <v>1500</v>
      </c>
      <c r="I116" s="217">
        <v>1500</v>
      </c>
    </row>
    <row r="117" spans="1:10" s="38" customFormat="1" x14ac:dyDescent="0.25">
      <c r="A117" s="78" t="s">
        <v>81</v>
      </c>
      <c r="B117" s="78" t="str">
        <f>IF(ISBLANK(A117),"","OV"&amp;COUNTA($A$72:A117))</f>
        <v>OV44</v>
      </c>
      <c r="C117" s="569" t="s">
        <v>124</v>
      </c>
      <c r="D117" s="570" t="s">
        <v>91</v>
      </c>
      <c r="E117" s="571" t="s">
        <v>24</v>
      </c>
      <c r="F117" s="575">
        <v>300</v>
      </c>
      <c r="G117" s="575">
        <v>300</v>
      </c>
      <c r="H117" s="575"/>
      <c r="I117" s="575"/>
      <c r="J117" s="572" t="s">
        <v>329</v>
      </c>
    </row>
    <row r="118" spans="1:10" s="38" customFormat="1" x14ac:dyDescent="0.25">
      <c r="A118" s="78" t="s">
        <v>81</v>
      </c>
      <c r="B118" s="78" t="str">
        <f>IF(ISBLANK(A118),"","OV"&amp;COUNTA($A$72:A118))</f>
        <v>OV45</v>
      </c>
      <c r="C118" s="569" t="s">
        <v>417</v>
      </c>
      <c r="D118" s="570" t="s">
        <v>91</v>
      </c>
      <c r="E118" s="571" t="s">
        <v>24</v>
      </c>
      <c r="F118" s="575">
        <v>3200</v>
      </c>
      <c r="G118" s="575">
        <v>3200</v>
      </c>
      <c r="H118" s="575"/>
      <c r="I118" s="575"/>
      <c r="J118" s="572" t="s">
        <v>329</v>
      </c>
    </row>
    <row r="119" spans="1:10" s="38" customFormat="1" x14ac:dyDescent="0.25">
      <c r="A119" s="78" t="s">
        <v>81</v>
      </c>
      <c r="B119" s="78" t="str">
        <f>IF(ISBLANK(A119),"","OV"&amp;COUNTA($A$72:A119))</f>
        <v>OV46</v>
      </c>
      <c r="C119" s="480" t="s">
        <v>504</v>
      </c>
      <c r="D119" s="72" t="s">
        <v>91</v>
      </c>
      <c r="E119" s="111" t="s">
        <v>488</v>
      </c>
      <c r="F119" s="217">
        <v>300</v>
      </c>
      <c r="G119" s="217">
        <v>300</v>
      </c>
      <c r="H119" s="217">
        <v>300</v>
      </c>
      <c r="I119" s="217">
        <v>300</v>
      </c>
    </row>
    <row r="120" spans="1:10" s="38" customFormat="1" x14ac:dyDescent="0.25">
      <c r="A120" s="78" t="s">
        <v>81</v>
      </c>
      <c r="B120" s="78" t="str">
        <f>IF(ISBLANK(A120),"","OV"&amp;COUNTA($A$72:A120))</f>
        <v>OV47</v>
      </c>
      <c r="C120" s="480" t="s">
        <v>505</v>
      </c>
      <c r="D120" s="72" t="s">
        <v>91</v>
      </c>
      <c r="E120" s="111"/>
      <c r="F120" s="607">
        <v>450</v>
      </c>
      <c r="G120" s="607">
        <v>1725</v>
      </c>
      <c r="H120" s="607">
        <v>3050</v>
      </c>
      <c r="I120" s="607">
        <v>3675</v>
      </c>
    </row>
    <row r="121" spans="1:10" s="38" customFormat="1" x14ac:dyDescent="0.25">
      <c r="A121" s="78" t="s">
        <v>81</v>
      </c>
      <c r="B121" s="78" t="str">
        <f>IF(ISBLANK(A121),"","OV"&amp;COUNTA($A$72:A121))</f>
        <v>OV48</v>
      </c>
      <c r="C121" s="480" t="s">
        <v>506</v>
      </c>
      <c r="D121" s="72" t="s">
        <v>91</v>
      </c>
      <c r="E121" s="111"/>
      <c r="F121" s="607">
        <v>2800</v>
      </c>
      <c r="G121" s="607">
        <f>F121</f>
        <v>2800</v>
      </c>
      <c r="H121" s="607">
        <f>G121</f>
        <v>2800</v>
      </c>
      <c r="I121" s="607">
        <f>H121</f>
        <v>2800</v>
      </c>
    </row>
    <row r="122" spans="1:10" s="38" customFormat="1" x14ac:dyDescent="0.25">
      <c r="A122" s="78" t="s">
        <v>81</v>
      </c>
      <c r="B122" s="78" t="str">
        <f>IF(ISBLANK(A122),"","OV"&amp;COUNTA($A$72:A122))</f>
        <v>OV49</v>
      </c>
      <c r="C122" s="480" t="s">
        <v>507</v>
      </c>
      <c r="D122" s="72" t="s">
        <v>91</v>
      </c>
      <c r="E122" s="111"/>
      <c r="F122" s="607">
        <f>(F120+F121)*-1</f>
        <v>-3250</v>
      </c>
      <c r="G122" s="607">
        <f>(G120+G121)*-1</f>
        <v>-4525</v>
      </c>
      <c r="H122" s="607">
        <f>(H120+H121)*-1</f>
        <v>-5850</v>
      </c>
      <c r="I122" s="607">
        <f>(I120+I121)*-1</f>
        <v>-6475</v>
      </c>
    </row>
    <row r="123" spans="1:10" s="38" customFormat="1" x14ac:dyDescent="0.25">
      <c r="A123" s="78" t="s">
        <v>81</v>
      </c>
      <c r="B123" s="78" t="str">
        <f>IF(ISBLANK(A123),"","OV"&amp;COUNTA($A$72:A123))</f>
        <v>OV50</v>
      </c>
      <c r="C123" s="480" t="s">
        <v>508</v>
      </c>
      <c r="D123" s="72" t="s">
        <v>91</v>
      </c>
      <c r="E123" s="111">
        <v>3</v>
      </c>
      <c r="F123" s="217">
        <v>2200</v>
      </c>
      <c r="G123" s="217">
        <f>F123</f>
        <v>2200</v>
      </c>
      <c r="H123" s="217">
        <f>G123</f>
        <v>2200</v>
      </c>
      <c r="I123" s="217">
        <f>H123</f>
        <v>2200</v>
      </c>
      <c r="J123" s="38" t="s">
        <v>509</v>
      </c>
    </row>
    <row r="124" spans="1:10" s="38" customFormat="1" x14ac:dyDescent="0.25">
      <c r="A124" s="78" t="s">
        <v>81</v>
      </c>
      <c r="B124" s="78" t="str">
        <f>IF(ISBLANK(A124),"","OV"&amp;COUNTA($A$72:A124))</f>
        <v>OV51</v>
      </c>
      <c r="C124" s="480" t="s">
        <v>510</v>
      </c>
      <c r="D124" s="72" t="s">
        <v>91</v>
      </c>
      <c r="E124" s="111"/>
      <c r="F124" s="217"/>
      <c r="G124" s="217"/>
      <c r="H124" s="217"/>
      <c r="I124" s="217"/>
      <c r="J124" s="38" t="s">
        <v>494</v>
      </c>
    </row>
    <row r="125" spans="1:10" s="38" customFormat="1" x14ac:dyDescent="0.25">
      <c r="A125" s="78" t="s">
        <v>81</v>
      </c>
      <c r="B125" s="78" t="str">
        <f>IF(ISBLANK(A125),"","OV"&amp;COUNTA($A$72:A125))</f>
        <v>OV52</v>
      </c>
      <c r="C125" s="480" t="s">
        <v>511</v>
      </c>
      <c r="D125" s="72" t="s">
        <v>91</v>
      </c>
      <c r="E125" s="111" t="s">
        <v>488</v>
      </c>
      <c r="F125" s="217">
        <v>50</v>
      </c>
      <c r="G125" s="217">
        <v>50</v>
      </c>
      <c r="H125" s="217">
        <v>50</v>
      </c>
      <c r="I125" s="217">
        <v>50</v>
      </c>
    </row>
    <row r="126" spans="1:10" s="38" customFormat="1" ht="25.5" x14ac:dyDescent="0.25">
      <c r="A126" s="78" t="s">
        <v>81</v>
      </c>
      <c r="B126" s="78" t="str">
        <f>IF(ISBLANK(A126),"","OV"&amp;COUNTA($A$72:A126))</f>
        <v>OV53</v>
      </c>
      <c r="C126" s="569" t="s">
        <v>418</v>
      </c>
      <c r="D126" s="570" t="s">
        <v>91</v>
      </c>
      <c r="E126" s="571" t="s">
        <v>24</v>
      </c>
      <c r="F126" s="575">
        <v>2400</v>
      </c>
      <c r="G126" s="575">
        <v>2400</v>
      </c>
      <c r="H126" s="575"/>
      <c r="I126" s="575"/>
    </row>
    <row r="127" spans="1:10" s="38" customFormat="1" x14ac:dyDescent="0.25">
      <c r="A127" s="78" t="s">
        <v>81</v>
      </c>
      <c r="B127" s="78" t="str">
        <f>IF(ISBLANK(A127),"","OV"&amp;COUNTA($A$72:A127))</f>
        <v>OV54</v>
      </c>
      <c r="C127" s="527" t="s">
        <v>512</v>
      </c>
      <c r="D127" s="72" t="s">
        <v>91</v>
      </c>
      <c r="E127" s="111">
        <v>7</v>
      </c>
      <c r="F127" s="38">
        <v>500</v>
      </c>
      <c r="G127" s="38">
        <v>500</v>
      </c>
      <c r="H127" s="38">
        <v>500</v>
      </c>
      <c r="I127" s="38">
        <v>500</v>
      </c>
    </row>
    <row r="128" spans="1:10" s="38" customFormat="1" x14ac:dyDescent="0.25">
      <c r="A128" s="43"/>
      <c r="B128" s="43" t="s">
        <v>127</v>
      </c>
      <c r="C128" s="3" t="s">
        <v>128</v>
      </c>
      <c r="D128" s="52"/>
      <c r="E128" s="52"/>
      <c r="F128" s="56">
        <f>SUMIF($A:$A,"OPP",F:F)</f>
        <v>131580</v>
      </c>
      <c r="G128" s="56">
        <f>SUMIF($A:$A,"OPP",G:G)</f>
        <v>144365</v>
      </c>
      <c r="H128" s="56">
        <f>SUMIF($A:$A,"OPP",H:H)</f>
        <v>128237</v>
      </c>
      <c r="I128" s="56">
        <f>SUMIF($A:$A,"OPP",I:I)</f>
        <v>127089</v>
      </c>
    </row>
    <row r="129" spans="1:10" s="38" customFormat="1" x14ac:dyDescent="0.25">
      <c r="A129" s="47"/>
      <c r="B129" s="78"/>
      <c r="C129" s="11"/>
      <c r="D129" s="49"/>
      <c r="E129" s="49"/>
      <c r="F129" s="57"/>
      <c r="G129" s="57"/>
      <c r="H129" s="57"/>
      <c r="I129" s="57"/>
    </row>
    <row r="130" spans="1:10" s="38" customFormat="1" x14ac:dyDescent="0.25">
      <c r="A130" s="48"/>
      <c r="B130" s="78"/>
      <c r="C130" s="13" t="s">
        <v>129</v>
      </c>
      <c r="D130" s="50"/>
      <c r="E130" s="61"/>
      <c r="F130" s="58"/>
      <c r="G130" s="58"/>
      <c r="H130" s="58"/>
      <c r="I130" s="58"/>
    </row>
    <row r="131" spans="1:10" s="38" customFormat="1" x14ac:dyDescent="0.25">
      <c r="A131" s="78"/>
      <c r="B131" s="78"/>
      <c r="C131" s="82" t="s">
        <v>130</v>
      </c>
      <c r="D131" s="72"/>
      <c r="E131" s="71"/>
      <c r="F131" s="4">
        <f>F103</f>
        <v>2023</v>
      </c>
      <c r="G131" s="4">
        <f>F131+1</f>
        <v>2024</v>
      </c>
      <c r="H131" s="4">
        <f>G131+1</f>
        <v>2025</v>
      </c>
      <c r="I131" s="4">
        <f>H131+1</f>
        <v>2026</v>
      </c>
    </row>
    <row r="132" spans="1:10" s="38" customFormat="1" x14ac:dyDescent="0.25">
      <c r="A132" s="78" t="s">
        <v>131</v>
      </c>
      <c r="B132" s="78" t="str">
        <f>IF(ISBLANK(A132),"","H"&amp;COUNTA($A$132:A132))</f>
        <v>H1</v>
      </c>
      <c r="C132" s="245" t="s">
        <v>330</v>
      </c>
      <c r="D132" s="72" t="s">
        <v>89</v>
      </c>
      <c r="E132" s="71" t="s">
        <v>84</v>
      </c>
      <c r="F132" s="74">
        <v>0</v>
      </c>
      <c r="G132" s="251">
        <v>9000</v>
      </c>
      <c r="H132" s="74">
        <v>9000</v>
      </c>
      <c r="I132" s="70">
        <v>9000</v>
      </c>
      <c r="J132" s="38" t="s">
        <v>419</v>
      </c>
    </row>
    <row r="133" spans="1:10" s="38" customFormat="1" x14ac:dyDescent="0.25">
      <c r="A133" s="78" t="s">
        <v>131</v>
      </c>
      <c r="B133" s="78" t="str">
        <f>IF(ISBLANK(A133),"","H"&amp;COUNTA($A$132:A133))</f>
        <v>H2</v>
      </c>
      <c r="C133" s="245" t="s">
        <v>420</v>
      </c>
      <c r="D133" s="72" t="s">
        <v>83</v>
      </c>
      <c r="E133" s="71" t="s">
        <v>84</v>
      </c>
      <c r="F133" s="481">
        <f>1650-1650</f>
        <v>0</v>
      </c>
      <c r="G133" s="481">
        <f>3600-3600</f>
        <v>0</v>
      </c>
      <c r="H133" s="481">
        <f>4900-4900</f>
        <v>0</v>
      </c>
      <c r="I133" s="481">
        <f>4900-4900</f>
        <v>0</v>
      </c>
    </row>
    <row r="134" spans="1:10" s="38" customFormat="1" x14ac:dyDescent="0.25">
      <c r="A134" s="78"/>
      <c r="B134" s="78"/>
      <c r="C134" s="480"/>
      <c r="D134" s="72"/>
      <c r="E134" s="71"/>
      <c r="F134" s="481"/>
      <c r="G134" s="481"/>
      <c r="H134" s="481"/>
      <c r="I134" s="481"/>
    </row>
    <row r="135" spans="1:10" s="38" customFormat="1" x14ac:dyDescent="0.25">
      <c r="A135" s="78"/>
      <c r="B135" s="78" t="str">
        <f>IF(ISBLANK(A135),"","H"&amp;COUNTA($A$132:A135))</f>
        <v/>
      </c>
      <c r="C135" s="82" t="s">
        <v>136</v>
      </c>
      <c r="D135" s="72"/>
      <c r="E135" s="71"/>
      <c r="F135" s="4">
        <f>F131</f>
        <v>2023</v>
      </c>
      <c r="G135" s="4">
        <f>F135+1</f>
        <v>2024</v>
      </c>
      <c r="H135" s="4">
        <f>G135+1</f>
        <v>2025</v>
      </c>
      <c r="I135" s="4">
        <f>H135+1</f>
        <v>2026</v>
      </c>
    </row>
    <row r="136" spans="1:10" s="38" customFormat="1" x14ac:dyDescent="0.25">
      <c r="A136" s="78" t="s">
        <v>131</v>
      </c>
      <c r="B136" s="78" t="str">
        <f>IF(ISBLANK(A136),"","H"&amp;COUNTA($A$132:A136))</f>
        <v>H3</v>
      </c>
      <c r="C136" s="245" t="s">
        <v>137</v>
      </c>
      <c r="D136" s="72" t="s">
        <v>89</v>
      </c>
      <c r="E136" s="71" t="s">
        <v>84</v>
      </c>
      <c r="F136" s="70">
        <v>2500</v>
      </c>
      <c r="G136" s="70">
        <v>5000</v>
      </c>
      <c r="H136" s="70">
        <v>7500</v>
      </c>
      <c r="I136" s="70">
        <v>10000</v>
      </c>
    </row>
    <row r="137" spans="1:10" s="38" customFormat="1" x14ac:dyDescent="0.25">
      <c r="A137" s="78"/>
      <c r="B137" s="78"/>
      <c r="C137" s="245"/>
      <c r="D137" s="72"/>
      <c r="E137" s="71"/>
      <c r="F137" s="217"/>
      <c r="G137" s="217"/>
      <c r="H137" s="217"/>
      <c r="I137" s="217"/>
    </row>
    <row r="138" spans="1:10" s="38" customFormat="1" x14ac:dyDescent="0.25">
      <c r="A138" s="341"/>
      <c r="B138" s="78" t="str">
        <f>IF(ISBLANK(A138),"","H"&amp;COUNTA($A$132:A138))</f>
        <v/>
      </c>
      <c r="C138" s="82" t="s">
        <v>142</v>
      </c>
      <c r="D138" s="83"/>
      <c r="E138" s="71"/>
      <c r="F138" s="4">
        <f>F135</f>
        <v>2023</v>
      </c>
      <c r="G138" s="4">
        <f>F138+1</f>
        <v>2024</v>
      </c>
      <c r="H138" s="4">
        <f>G138+1</f>
        <v>2025</v>
      </c>
      <c r="I138" s="4">
        <f>H138+1</f>
        <v>2026</v>
      </c>
    </row>
    <row r="139" spans="1:10" s="38" customFormat="1" x14ac:dyDescent="0.25">
      <c r="A139" s="78" t="s">
        <v>131</v>
      </c>
      <c r="B139" s="78" t="str">
        <f>IF(ISBLANK(A139),"","H"&amp;COUNTA($A$132:A139))</f>
        <v>H4</v>
      </c>
      <c r="C139" s="602" t="s">
        <v>477</v>
      </c>
      <c r="D139" s="596" t="s">
        <v>91</v>
      </c>
      <c r="E139" s="597"/>
      <c r="F139" s="610">
        <v>600</v>
      </c>
      <c r="G139" s="610">
        <v>600</v>
      </c>
      <c r="H139" s="610">
        <v>600</v>
      </c>
      <c r="I139" s="610">
        <v>600</v>
      </c>
      <c r="J139" s="38" t="s">
        <v>478</v>
      </c>
    </row>
    <row r="140" spans="1:10" s="38" customFormat="1" x14ac:dyDescent="0.25">
      <c r="A140" s="78" t="s">
        <v>131</v>
      </c>
      <c r="B140" s="78" t="str">
        <f>IF(ISBLANK(A140),"","H"&amp;COUNTA($A$132:A140))</f>
        <v>H5</v>
      </c>
      <c r="C140" s="245" t="s">
        <v>143</v>
      </c>
      <c r="D140" s="72" t="s">
        <v>89</v>
      </c>
      <c r="E140" s="71" t="s">
        <v>84</v>
      </c>
      <c r="F140" s="70">
        <v>-300</v>
      </c>
      <c r="G140" s="70">
        <v>-900</v>
      </c>
      <c r="H140" s="70">
        <v>-1500</v>
      </c>
      <c r="I140" s="70">
        <v>-1500</v>
      </c>
    </row>
    <row r="141" spans="1:10" s="38" customFormat="1" x14ac:dyDescent="0.25">
      <c r="A141" s="78" t="s">
        <v>131</v>
      </c>
      <c r="B141" s="78" t="str">
        <f>IF(ISBLANK(A141),"","H"&amp;COUNTA($A$132:A141))</f>
        <v>H6</v>
      </c>
      <c r="C141" s="480" t="s">
        <v>144</v>
      </c>
      <c r="D141" s="72" t="s">
        <v>83</v>
      </c>
      <c r="E141" s="71" t="s">
        <v>84</v>
      </c>
      <c r="F141" s="398">
        <v>-27256</v>
      </c>
      <c r="G141" s="398">
        <v>-27256</v>
      </c>
      <c r="H141" s="398">
        <v>-27256</v>
      </c>
      <c r="I141" s="398">
        <v>-27256</v>
      </c>
    </row>
    <row r="142" spans="1:10" s="38" customFormat="1" x14ac:dyDescent="0.25">
      <c r="A142" s="78" t="s">
        <v>131</v>
      </c>
      <c r="B142" s="78" t="str">
        <f>IF(ISBLANK(A142),"","H"&amp;COUNTA($A$132:A142))</f>
        <v>H7</v>
      </c>
      <c r="C142" s="480" t="s">
        <v>145</v>
      </c>
      <c r="D142" s="72" t="s">
        <v>91</v>
      </c>
      <c r="E142" s="71">
        <v>1</v>
      </c>
      <c r="F142" s="398">
        <v>27256</v>
      </c>
      <c r="G142" s="398">
        <v>27256</v>
      </c>
      <c r="H142" s="398">
        <v>27256</v>
      </c>
      <c r="I142" s="398">
        <v>27256</v>
      </c>
    </row>
    <row r="143" spans="1:10" s="38" customFormat="1" x14ac:dyDescent="0.25">
      <c r="A143" s="78" t="s">
        <v>131</v>
      </c>
      <c r="B143" s="78" t="str">
        <f>IF(ISBLANK(A143),"","H"&amp;COUNTA($A$132:A143))</f>
        <v>H8</v>
      </c>
      <c r="C143" s="480" t="s">
        <v>146</v>
      </c>
      <c r="D143" s="72" t="s">
        <v>91</v>
      </c>
      <c r="E143" s="71" t="s">
        <v>24</v>
      </c>
      <c r="F143" s="398">
        <v>15000</v>
      </c>
      <c r="G143" s="398">
        <v>15000</v>
      </c>
      <c r="H143" s="398">
        <v>15000</v>
      </c>
      <c r="I143" s="398">
        <v>15000</v>
      </c>
    </row>
    <row r="144" spans="1:10" s="38" customFormat="1" x14ac:dyDescent="0.25">
      <c r="A144" s="78" t="s">
        <v>131</v>
      </c>
      <c r="B144" s="78" t="str">
        <f>IF(ISBLANK(A144),"","H"&amp;COUNTA($A$132:A144))</f>
        <v>H9</v>
      </c>
      <c r="C144" s="480" t="s">
        <v>147</v>
      </c>
      <c r="D144" s="72" t="s">
        <v>91</v>
      </c>
      <c r="E144" s="71" t="s">
        <v>24</v>
      </c>
      <c r="F144" s="421">
        <v>5000</v>
      </c>
      <c r="G144" s="217">
        <f>F144</f>
        <v>5000</v>
      </c>
      <c r="H144" s="217">
        <f>G144</f>
        <v>5000</v>
      </c>
      <c r="I144" s="217">
        <f>H144</f>
        <v>5000</v>
      </c>
    </row>
    <row r="145" spans="1:10" s="38" customFormat="1" x14ac:dyDescent="0.25">
      <c r="A145" s="78" t="s">
        <v>131</v>
      </c>
      <c r="B145" s="78" t="str">
        <f>IF(ISBLANK(A145),"","H"&amp;COUNTA($A$132:A145))</f>
        <v>H10</v>
      </c>
      <c r="C145" s="480" t="s">
        <v>513</v>
      </c>
      <c r="D145" s="72" t="s">
        <v>91</v>
      </c>
      <c r="E145" s="71">
        <v>8</v>
      </c>
      <c r="F145" s="373">
        <f>475*5.8</f>
        <v>2755</v>
      </c>
      <c r="G145" s="373">
        <f t="shared" ref="G145:I145" si="0">475*5.8</f>
        <v>2755</v>
      </c>
      <c r="H145" s="373">
        <f t="shared" si="0"/>
        <v>2755</v>
      </c>
      <c r="I145" s="373">
        <f t="shared" si="0"/>
        <v>2755</v>
      </c>
    </row>
    <row r="146" spans="1:10" s="38" customFormat="1" x14ac:dyDescent="0.25">
      <c r="A146" s="78" t="s">
        <v>131</v>
      </c>
      <c r="B146" s="78" t="str">
        <f>IF(ISBLANK(A146),"","H"&amp;COUNTA($A$132:A146))</f>
        <v>H11</v>
      </c>
      <c r="C146" s="480" t="s">
        <v>514</v>
      </c>
      <c r="D146" s="72" t="s">
        <v>91</v>
      </c>
      <c r="E146" s="71">
        <v>12</v>
      </c>
      <c r="F146" s="373">
        <f>475*4.2</f>
        <v>1995</v>
      </c>
      <c r="G146" s="373">
        <f t="shared" ref="G146:H146" si="1">475*4.2</f>
        <v>1995</v>
      </c>
      <c r="H146" s="373">
        <f t="shared" si="1"/>
        <v>1995</v>
      </c>
      <c r="I146" s="373">
        <f>475*4.2</f>
        <v>1995</v>
      </c>
    </row>
    <row r="147" spans="1:10" s="38" customFormat="1" x14ac:dyDescent="0.25">
      <c r="A147" s="78" t="s">
        <v>131</v>
      </c>
      <c r="B147" s="78" t="str">
        <f>IF(ISBLANK(A147),"","H"&amp;COUNTA($A$132:A147))</f>
        <v>H12</v>
      </c>
      <c r="C147" s="396" t="s">
        <v>148</v>
      </c>
      <c r="D147" s="72" t="s">
        <v>91</v>
      </c>
      <c r="E147" s="71" t="s">
        <v>24</v>
      </c>
      <c r="F147" s="217">
        <v>10000</v>
      </c>
      <c r="G147" s="217">
        <v>10000</v>
      </c>
      <c r="H147" s="217">
        <v>10000</v>
      </c>
      <c r="I147" s="217">
        <v>10000</v>
      </c>
    </row>
    <row r="148" spans="1:10" s="38" customFormat="1" ht="25.5" x14ac:dyDescent="0.25">
      <c r="A148" s="78" t="s">
        <v>131</v>
      </c>
      <c r="B148" s="78" t="str">
        <f>IF(ISBLANK(A148),"","H"&amp;COUNTA($A$132:A148))</f>
        <v>H13</v>
      </c>
      <c r="C148" s="582" t="s">
        <v>153</v>
      </c>
      <c r="D148" s="72" t="s">
        <v>91</v>
      </c>
      <c r="E148" s="71" t="s">
        <v>24</v>
      </c>
      <c r="F148" s="217">
        <v>-3700</v>
      </c>
      <c r="G148" s="217">
        <v>-3700</v>
      </c>
      <c r="H148" s="217">
        <v>-3700</v>
      </c>
      <c r="I148" s="217">
        <v>-3700</v>
      </c>
      <c r="J148" s="38" t="s">
        <v>332</v>
      </c>
    </row>
    <row r="149" spans="1:10" s="38" customFormat="1" x14ac:dyDescent="0.25">
      <c r="A149" s="78" t="s">
        <v>131</v>
      </c>
      <c r="B149" s="78" t="str">
        <f>IF(ISBLANK(A149),"","H"&amp;COUNTA($A$132:A149))</f>
        <v>H14</v>
      </c>
      <c r="C149" s="582" t="s">
        <v>515</v>
      </c>
      <c r="D149" s="72" t="s">
        <v>91</v>
      </c>
      <c r="E149" s="71" t="s">
        <v>24</v>
      </c>
      <c r="F149" s="217">
        <v>400</v>
      </c>
      <c r="G149" s="217">
        <v>400</v>
      </c>
      <c r="H149" s="217">
        <v>400</v>
      </c>
      <c r="I149" s="217">
        <v>400</v>
      </c>
      <c r="J149" s="38" t="s">
        <v>332</v>
      </c>
    </row>
    <row r="150" spans="1:10" s="38" customFormat="1" x14ac:dyDescent="0.25">
      <c r="A150" s="78" t="s">
        <v>131</v>
      </c>
      <c r="B150" s="78" t="str">
        <f>IF(ISBLANK(A150),"","H"&amp;COUNTA($A$132:A150))</f>
        <v>H15</v>
      </c>
      <c r="C150" s="582" t="s">
        <v>150</v>
      </c>
      <c r="D150" s="72" t="s">
        <v>91</v>
      </c>
      <c r="E150" s="71" t="s">
        <v>24</v>
      </c>
      <c r="F150" s="217">
        <v>1000</v>
      </c>
      <c r="G150" s="217">
        <f>F150</f>
        <v>1000</v>
      </c>
      <c r="H150" s="217">
        <f>G150</f>
        <v>1000</v>
      </c>
      <c r="I150" s="217">
        <f>H150</f>
        <v>1000</v>
      </c>
      <c r="J150" s="38" t="s">
        <v>332</v>
      </c>
    </row>
    <row r="151" spans="1:10" s="38" customFormat="1" x14ac:dyDescent="0.25">
      <c r="A151" s="78" t="s">
        <v>131</v>
      </c>
      <c r="B151" s="78" t="str">
        <f>IF(ISBLANK(A151),"","H"&amp;COUNTA($A$132:A151))</f>
        <v>H16</v>
      </c>
      <c r="C151" s="584" t="s">
        <v>463</v>
      </c>
      <c r="D151" s="72" t="s">
        <v>91</v>
      </c>
      <c r="E151" s="71" t="s">
        <v>24</v>
      </c>
      <c r="F151" s="217">
        <v>1100</v>
      </c>
      <c r="G151" s="217">
        <v>1100</v>
      </c>
      <c r="H151" s="217">
        <v>1100</v>
      </c>
      <c r="I151" s="217">
        <v>1100</v>
      </c>
      <c r="J151" s="38" t="s">
        <v>332</v>
      </c>
    </row>
    <row r="152" spans="1:10" s="38" customFormat="1" x14ac:dyDescent="0.25">
      <c r="A152" s="78" t="s">
        <v>131</v>
      </c>
      <c r="B152" s="78" t="str">
        <f>IF(ISBLANK(A152),"","H"&amp;COUNTA($A$132:A152))</f>
        <v>H17</v>
      </c>
      <c r="C152" s="584" t="s">
        <v>464</v>
      </c>
      <c r="D152" s="72" t="s">
        <v>91</v>
      </c>
      <c r="E152" s="71" t="s">
        <v>24</v>
      </c>
      <c r="F152" s="217">
        <v>1200</v>
      </c>
      <c r="G152" s="217">
        <v>1200</v>
      </c>
      <c r="H152" s="217">
        <v>1200</v>
      </c>
      <c r="I152" s="217">
        <v>1200</v>
      </c>
      <c r="J152" s="38" t="s">
        <v>332</v>
      </c>
    </row>
    <row r="153" spans="1:10" s="38" customFormat="1" x14ac:dyDescent="0.25">
      <c r="A153" s="78"/>
      <c r="B153" s="78" t="str">
        <f>IF(ISBLANK(A153),"","H"&amp;COUNTA($A$132:A153))</f>
        <v/>
      </c>
      <c r="C153" s="82" t="s">
        <v>156</v>
      </c>
      <c r="D153" s="72"/>
      <c r="E153" s="71"/>
      <c r="F153" s="4">
        <f>F138</f>
        <v>2023</v>
      </c>
      <c r="G153" s="4">
        <f>F153+1</f>
        <v>2024</v>
      </c>
      <c r="H153" s="4">
        <f>G153+1</f>
        <v>2025</v>
      </c>
      <c r="I153" s="4">
        <f>H153+1</f>
        <v>2026</v>
      </c>
    </row>
    <row r="154" spans="1:10" s="38" customFormat="1" ht="25.5" x14ac:dyDescent="0.25">
      <c r="A154" s="78" t="s">
        <v>131</v>
      </c>
      <c r="B154" s="78" t="str">
        <f>IF(ISBLANK(A154),"","H"&amp;COUNTA($A$132:A154))</f>
        <v>H18</v>
      </c>
      <c r="C154" s="245" t="s">
        <v>157</v>
      </c>
      <c r="D154" s="72" t="s">
        <v>83</v>
      </c>
      <c r="E154" s="71" t="s">
        <v>84</v>
      </c>
      <c r="F154" s="217">
        <v>1200</v>
      </c>
      <c r="G154" s="217">
        <v>1700</v>
      </c>
      <c r="H154" s="217">
        <v>2100</v>
      </c>
      <c r="I154" s="217">
        <v>2500</v>
      </c>
      <c r="J154" s="144" t="s">
        <v>421</v>
      </c>
    </row>
    <row r="155" spans="1:10" s="38" customFormat="1" x14ac:dyDescent="0.25">
      <c r="A155" s="78" t="s">
        <v>131</v>
      </c>
      <c r="B155" s="78" t="str">
        <f>IF(ISBLANK(A155),"","H"&amp;COUNTA($A$132:A155))</f>
        <v>H19</v>
      </c>
      <c r="C155" s="245" t="s">
        <v>159</v>
      </c>
      <c r="D155" s="72" t="s">
        <v>91</v>
      </c>
      <c r="E155" s="71" t="s">
        <v>24</v>
      </c>
      <c r="F155" s="217">
        <v>600</v>
      </c>
      <c r="G155" s="217">
        <f>F155</f>
        <v>600</v>
      </c>
      <c r="H155" s="217">
        <f>G155</f>
        <v>600</v>
      </c>
      <c r="I155" s="217">
        <f>H155</f>
        <v>600</v>
      </c>
      <c r="J155" s="144"/>
    </row>
    <row r="156" spans="1:10" s="38" customFormat="1" x14ac:dyDescent="0.25">
      <c r="A156" s="78" t="s">
        <v>131</v>
      </c>
      <c r="B156" s="78" t="str">
        <f>IF(ISBLANK(A156),"","H"&amp;COUNTA($A$132:A156))</f>
        <v>H20</v>
      </c>
      <c r="C156" s="245" t="s">
        <v>422</v>
      </c>
      <c r="D156" s="72" t="s">
        <v>91</v>
      </c>
      <c r="E156" s="71">
        <v>2</v>
      </c>
      <c r="F156" s="70">
        <v>1530</v>
      </c>
      <c r="G156" s="70">
        <v>1530</v>
      </c>
      <c r="H156" s="70">
        <v>1530</v>
      </c>
      <c r="I156" s="70">
        <v>1530</v>
      </c>
      <c r="J156" s="38" t="s">
        <v>423</v>
      </c>
    </row>
    <row r="157" spans="1:10" s="38" customFormat="1" ht="25.5" x14ac:dyDescent="0.25">
      <c r="A157" s="78" t="s">
        <v>131</v>
      </c>
      <c r="B157" s="78" t="str">
        <f>IF(ISBLANK(A157),"","H"&amp;COUNTA($A$132:A157))</f>
        <v>H21</v>
      </c>
      <c r="C157" s="581" t="s">
        <v>516</v>
      </c>
      <c r="D157" s="72" t="s">
        <v>91</v>
      </c>
      <c r="E157" s="71">
        <v>3</v>
      </c>
      <c r="F157" s="398">
        <v>2400</v>
      </c>
      <c r="G157" s="398">
        <v>2400</v>
      </c>
      <c r="H157" s="398">
        <v>2400</v>
      </c>
      <c r="I157" s="398">
        <v>2400</v>
      </c>
      <c r="J157" s="293" t="s">
        <v>517</v>
      </c>
    </row>
    <row r="158" spans="1:10" s="38" customFormat="1" x14ac:dyDescent="0.25">
      <c r="A158" s="78" t="s">
        <v>131</v>
      </c>
      <c r="B158" s="78" t="str">
        <f>IF(ISBLANK(A158),"","H"&amp;COUNTA($A$132:A158))</f>
        <v>H22</v>
      </c>
      <c r="C158" s="581" t="s">
        <v>518</v>
      </c>
      <c r="D158" s="72" t="s">
        <v>91</v>
      </c>
      <c r="E158" s="71">
        <v>4</v>
      </c>
      <c r="F158" s="70">
        <f>(1400/2)+6100</f>
        <v>6800</v>
      </c>
      <c r="G158" s="70">
        <f t="shared" ref="G158:I158" si="2">(1400/2)+6100</f>
        <v>6800</v>
      </c>
      <c r="H158" s="70">
        <f t="shared" si="2"/>
        <v>6800</v>
      </c>
      <c r="I158" s="70">
        <f t="shared" si="2"/>
        <v>6800</v>
      </c>
      <c r="J158" s="38" t="s">
        <v>519</v>
      </c>
    </row>
    <row r="159" spans="1:10" s="38" customFormat="1" ht="25.5" x14ac:dyDescent="0.25">
      <c r="A159" s="78" t="s">
        <v>131</v>
      </c>
      <c r="B159" s="78" t="str">
        <f>IF(ISBLANK(A159),"","H"&amp;COUNTA($A$132:A159))</f>
        <v>H23</v>
      </c>
      <c r="C159" s="581" t="s">
        <v>424</v>
      </c>
      <c r="D159" s="72" t="s">
        <v>91</v>
      </c>
      <c r="E159" s="71" t="s">
        <v>24</v>
      </c>
      <c r="F159" s="421">
        <v>1700</v>
      </c>
      <c r="G159" s="421">
        <v>1700</v>
      </c>
      <c r="H159" s="421">
        <v>1700</v>
      </c>
      <c r="I159" s="421">
        <v>1700</v>
      </c>
      <c r="J159" s="293" t="s">
        <v>425</v>
      </c>
    </row>
    <row r="160" spans="1:10" s="38" customFormat="1" ht="25.5" x14ac:dyDescent="0.25">
      <c r="A160" s="78" t="s">
        <v>131</v>
      </c>
      <c r="B160" s="78" t="str">
        <f>IF(ISBLANK(A160),"","H"&amp;COUNTA($A$132:A160))</f>
        <v>H24</v>
      </c>
      <c r="C160" s="581" t="s">
        <v>520</v>
      </c>
      <c r="D160" s="72" t="s">
        <v>91</v>
      </c>
      <c r="E160" s="71">
        <v>5</v>
      </c>
      <c r="F160" s="373">
        <f>350+275</f>
        <v>625</v>
      </c>
      <c r="G160" s="373">
        <f>350+275</f>
        <v>625</v>
      </c>
      <c r="H160" s="373">
        <f>350+275</f>
        <v>625</v>
      </c>
      <c r="I160" s="373">
        <f>350+275</f>
        <v>625</v>
      </c>
      <c r="J160" s="144"/>
    </row>
    <row r="161" spans="1:11" s="38" customFormat="1" ht="25.5" x14ac:dyDescent="0.25">
      <c r="A161" s="78" t="s">
        <v>131</v>
      </c>
      <c r="B161" s="78" t="str">
        <f>IF(ISBLANK(A161),"","H"&amp;COUNTA($A$132:A161))</f>
        <v>H25</v>
      </c>
      <c r="C161" s="245" t="s">
        <v>521</v>
      </c>
      <c r="D161" s="72" t="s">
        <v>91</v>
      </c>
      <c r="E161" s="71">
        <v>11</v>
      </c>
      <c r="F161" s="373">
        <v>1600</v>
      </c>
      <c r="G161" s="373">
        <v>1600</v>
      </c>
      <c r="H161" s="373">
        <v>1600</v>
      </c>
      <c r="I161" s="373">
        <v>1600</v>
      </c>
      <c r="J161" s="572" t="s">
        <v>522</v>
      </c>
    </row>
    <row r="162" spans="1:11" s="38" customFormat="1" x14ac:dyDescent="0.25">
      <c r="A162" s="78" t="s">
        <v>131</v>
      </c>
      <c r="B162" s="78" t="str">
        <f>IF(ISBLANK(A162),"","H"&amp;COUNTA($A$132:A162))</f>
        <v>H26</v>
      </c>
      <c r="C162" s="245" t="s">
        <v>523</v>
      </c>
      <c r="D162" s="72" t="s">
        <v>91</v>
      </c>
      <c r="E162" s="71">
        <v>13</v>
      </c>
      <c r="F162" s="373">
        <v>1200</v>
      </c>
      <c r="G162" s="373">
        <v>1200</v>
      </c>
      <c r="H162" s="373">
        <v>1200</v>
      </c>
      <c r="I162" s="373">
        <v>1200</v>
      </c>
    </row>
    <row r="163" spans="1:11" s="38" customFormat="1" ht="25.5" x14ac:dyDescent="0.25">
      <c r="A163" s="78" t="s">
        <v>131</v>
      </c>
      <c r="B163" s="78" t="str">
        <f>IF(ISBLANK(A163),"","H"&amp;COUNTA($A$132:A163))</f>
        <v>H27</v>
      </c>
      <c r="C163" s="245" t="s">
        <v>524</v>
      </c>
      <c r="D163" s="72" t="s">
        <v>91</v>
      </c>
      <c r="E163" s="71">
        <v>10</v>
      </c>
      <c r="F163" s="373"/>
      <c r="G163" s="373"/>
      <c r="H163" s="373"/>
      <c r="I163" s="373">
        <v>600</v>
      </c>
      <c r="J163" s="38" t="s">
        <v>525</v>
      </c>
    </row>
    <row r="164" spans="1:11" s="38" customFormat="1" ht="25.5" x14ac:dyDescent="0.25">
      <c r="A164" s="78" t="s">
        <v>131</v>
      </c>
      <c r="B164" s="78" t="str">
        <f>IF(ISBLANK(A164),"","H"&amp;COUNTA($A$132:A164))</f>
        <v>H28</v>
      </c>
      <c r="C164" s="567" t="s">
        <v>526</v>
      </c>
      <c r="D164" s="72" t="s">
        <v>91</v>
      </c>
      <c r="E164" s="71">
        <v>6</v>
      </c>
      <c r="F164" s="564">
        <v>14100</v>
      </c>
      <c r="G164" s="373">
        <v>15350</v>
      </c>
      <c r="H164" s="373">
        <v>15350</v>
      </c>
      <c r="I164" s="373">
        <v>15350</v>
      </c>
      <c r="J164" s="38" t="s">
        <v>527</v>
      </c>
    </row>
    <row r="165" spans="1:11" s="38" customFormat="1" x14ac:dyDescent="0.25">
      <c r="A165" s="78" t="s">
        <v>131</v>
      </c>
      <c r="B165" s="78" t="str">
        <f>IF(ISBLANK(A165),"","H"&amp;COUNTA($A$132:A165))</f>
        <v>H29</v>
      </c>
      <c r="C165" s="480" t="s">
        <v>528</v>
      </c>
      <c r="D165" s="72" t="s">
        <v>91</v>
      </c>
      <c r="E165" s="71">
        <v>9</v>
      </c>
      <c r="F165" s="217">
        <v>1100</v>
      </c>
      <c r="G165" s="217">
        <v>1100</v>
      </c>
      <c r="H165" s="217">
        <v>1100</v>
      </c>
      <c r="I165" s="217">
        <v>1100</v>
      </c>
      <c r="J165" s="38" t="s">
        <v>525</v>
      </c>
    </row>
    <row r="166" spans="1:11" s="38" customFormat="1" x14ac:dyDescent="0.25">
      <c r="A166" s="78"/>
      <c r="B166" s="78" t="str">
        <f>IF(ISBLANK(A166),"","H"&amp;COUNTA($A$132:A166))</f>
        <v/>
      </c>
      <c r="D166" s="83"/>
      <c r="E166" s="71"/>
      <c r="F166" s="4">
        <f>F153</f>
        <v>2023</v>
      </c>
      <c r="G166" s="4">
        <f>F166+1</f>
        <v>2024</v>
      </c>
      <c r="H166" s="4">
        <f>G166+1</f>
        <v>2025</v>
      </c>
      <c r="I166" s="4">
        <f>H166+1</f>
        <v>2026</v>
      </c>
    </row>
    <row r="167" spans="1:11" s="38" customFormat="1" x14ac:dyDescent="0.25">
      <c r="A167" s="78"/>
      <c r="B167" s="78"/>
      <c r="C167" s="82" t="s">
        <v>172</v>
      </c>
      <c r="D167" s="83"/>
      <c r="E167" s="71"/>
      <c r="F167" s="4"/>
      <c r="G167" s="4"/>
      <c r="H167" s="4"/>
      <c r="I167" s="4"/>
    </row>
    <row r="168" spans="1:11" s="38" customFormat="1" x14ac:dyDescent="0.25">
      <c r="A168" s="78" t="s">
        <v>131</v>
      </c>
      <c r="B168" s="78" t="str">
        <f>IF(ISBLANK(A168),"","H"&amp;COUNTA($A$132:A168))</f>
        <v>H30</v>
      </c>
      <c r="C168" s="245" t="s">
        <v>173</v>
      </c>
      <c r="D168" s="72" t="s">
        <v>83</v>
      </c>
      <c r="E168" s="71" t="s">
        <v>84</v>
      </c>
      <c r="F168" s="575">
        <v>-3646</v>
      </c>
      <c r="G168" s="575">
        <v>-2236</v>
      </c>
      <c r="H168" s="575">
        <v>2115</v>
      </c>
      <c r="I168" s="575">
        <v>3525</v>
      </c>
      <c r="J168" s="144" t="s">
        <v>431</v>
      </c>
    </row>
    <row r="169" spans="1:11" s="38" customFormat="1" x14ac:dyDescent="0.25">
      <c r="A169" s="78" t="s">
        <v>131</v>
      </c>
      <c r="B169" s="78" t="str">
        <f>IF(ISBLANK(A169),"","H"&amp;COUNTA($A$132:A169))</f>
        <v>H31</v>
      </c>
      <c r="C169" s="245" t="s">
        <v>174</v>
      </c>
      <c r="D169" s="72" t="s">
        <v>83</v>
      </c>
      <c r="E169" s="71" t="s">
        <v>84</v>
      </c>
      <c r="F169" s="575">
        <v>24000</v>
      </c>
      <c r="G169" s="575">
        <v>22000</v>
      </c>
      <c r="H169" s="575">
        <v>22000</v>
      </c>
      <c r="I169" s="575">
        <v>22000</v>
      </c>
      <c r="J169" s="144" t="s">
        <v>431</v>
      </c>
    </row>
    <row r="170" spans="1:11" s="38" customFormat="1" ht="25.5" x14ac:dyDescent="0.25">
      <c r="A170" s="78" t="s">
        <v>131</v>
      </c>
      <c r="B170" s="78" t="str">
        <f>IF(ISBLANK(A170),"","H"&amp;COUNTA($A$132:A170))</f>
        <v>H32</v>
      </c>
      <c r="C170" s="245" t="s">
        <v>529</v>
      </c>
      <c r="D170" s="72" t="s">
        <v>83</v>
      </c>
      <c r="E170" s="71" t="s">
        <v>84</v>
      </c>
      <c r="F170" s="217">
        <f>1700-1700</f>
        <v>0</v>
      </c>
      <c r="G170" s="217">
        <f t="shared" ref="G170:I170" si="3">1700-1700</f>
        <v>0</v>
      </c>
      <c r="H170" s="217">
        <f t="shared" si="3"/>
        <v>0</v>
      </c>
      <c r="I170" s="217">
        <f t="shared" si="3"/>
        <v>0</v>
      </c>
    </row>
    <row r="171" spans="1:11" s="38" customFormat="1" ht="25.5" x14ac:dyDescent="0.25">
      <c r="A171" s="78" t="s">
        <v>131</v>
      </c>
      <c r="B171" s="78" t="str">
        <f>IF(ISBLANK(A171),"","H"&amp;COUNTA($A$132:A171))</f>
        <v>H33</v>
      </c>
      <c r="C171" s="245" t="s">
        <v>530</v>
      </c>
      <c r="D171" s="72" t="s">
        <v>83</v>
      </c>
      <c r="E171" s="71" t="s">
        <v>84</v>
      </c>
      <c r="F171" s="217">
        <f>6920-6920</f>
        <v>0</v>
      </c>
      <c r="G171" s="217">
        <f>13540-13540</f>
        <v>0</v>
      </c>
      <c r="H171" s="217">
        <f>18500-18500</f>
        <v>0</v>
      </c>
      <c r="I171" s="217">
        <f>18500-18500</f>
        <v>0</v>
      </c>
    </row>
    <row r="172" spans="1:11" s="38" customFormat="1" x14ac:dyDescent="0.25">
      <c r="A172" s="78" t="s">
        <v>131</v>
      </c>
      <c r="B172" s="78" t="str">
        <f>IF(ISBLANK(A172),"","H"&amp;COUNTA($A$132:A172))</f>
        <v>H34</v>
      </c>
      <c r="C172" s="245" t="s">
        <v>531</v>
      </c>
      <c r="D172" s="72" t="s">
        <v>91</v>
      </c>
      <c r="E172" s="71">
        <v>7</v>
      </c>
      <c r="F172" s="217">
        <v>700</v>
      </c>
      <c r="G172" s="217">
        <v>700</v>
      </c>
      <c r="H172" s="217">
        <v>700</v>
      </c>
      <c r="I172" s="217">
        <v>700</v>
      </c>
    </row>
    <row r="173" spans="1:11" s="38" customFormat="1" ht="25.5" x14ac:dyDescent="0.25">
      <c r="A173" s="78" t="s">
        <v>131</v>
      </c>
      <c r="B173" s="78" t="str">
        <f>IF(ISBLANK(A173),"","H"&amp;COUNTA($A$132:A173))</f>
        <v>H35</v>
      </c>
      <c r="C173" s="245" t="s">
        <v>432</v>
      </c>
      <c r="D173" s="72" t="s">
        <v>91</v>
      </c>
      <c r="E173" s="71" t="s">
        <v>24</v>
      </c>
      <c r="F173" s="541">
        <v>18000</v>
      </c>
      <c r="G173" s="541">
        <v>18000</v>
      </c>
      <c r="H173" s="541">
        <v>18000</v>
      </c>
      <c r="I173" s="541">
        <v>18000</v>
      </c>
      <c r="J173" s="144" t="s">
        <v>532</v>
      </c>
    </row>
    <row r="174" spans="1:11" s="38" customFormat="1" x14ac:dyDescent="0.25">
      <c r="A174" s="78" t="s">
        <v>131</v>
      </c>
      <c r="B174" s="78" t="str">
        <f>IF(ISBLANK(A174),"","H"&amp;COUNTA($A$132:A174))</f>
        <v>H36</v>
      </c>
      <c r="C174" s="569" t="s">
        <v>433</v>
      </c>
      <c r="D174" s="570" t="s">
        <v>91</v>
      </c>
      <c r="E174" s="573" t="s">
        <v>24</v>
      </c>
      <c r="F174" s="575">
        <v>1400</v>
      </c>
      <c r="G174" s="575">
        <v>1400</v>
      </c>
      <c r="H174" s="575"/>
      <c r="I174" s="575"/>
      <c r="J174" s="572" t="s">
        <v>342</v>
      </c>
      <c r="K174" s="572"/>
    </row>
    <row r="175" spans="1:11" s="38" customFormat="1" ht="38.25" x14ac:dyDescent="0.25">
      <c r="A175" s="78" t="s">
        <v>131</v>
      </c>
      <c r="B175" s="78" t="str">
        <f>IF(ISBLANK(A175),"","H"&amp;COUNTA($A$132:A175))</f>
        <v>H37</v>
      </c>
      <c r="C175" s="569" t="s">
        <v>434</v>
      </c>
      <c r="D175" s="570" t="s">
        <v>91</v>
      </c>
      <c r="E175" s="573" t="s">
        <v>24</v>
      </c>
      <c r="F175" s="575">
        <v>2700</v>
      </c>
      <c r="G175" s="575">
        <v>2700</v>
      </c>
      <c r="H175" s="575"/>
      <c r="I175" s="575"/>
      <c r="J175" s="572" t="s">
        <v>329</v>
      </c>
    </row>
    <row r="176" spans="1:11" s="38" customFormat="1" x14ac:dyDescent="0.25">
      <c r="A176" s="78" t="s">
        <v>131</v>
      </c>
      <c r="B176" s="78" t="str">
        <f>IF(ISBLANK(A176),"","H"&amp;COUNTA($A$132:A176))</f>
        <v>H38</v>
      </c>
      <c r="C176" s="480" t="s">
        <v>533</v>
      </c>
      <c r="D176" s="72" t="s">
        <v>91</v>
      </c>
      <c r="E176" s="71" t="s">
        <v>488</v>
      </c>
      <c r="F176" s="398">
        <v>750</v>
      </c>
      <c r="G176" s="398">
        <v>750</v>
      </c>
      <c r="H176" s="398">
        <v>750</v>
      </c>
      <c r="I176" s="398">
        <v>750</v>
      </c>
      <c r="J176" s="38" t="s">
        <v>534</v>
      </c>
    </row>
    <row r="177" spans="1:10" s="38" customFormat="1" ht="25.5" x14ac:dyDescent="0.25">
      <c r="A177" s="78" t="s">
        <v>131</v>
      </c>
      <c r="B177" s="78" t="str">
        <f>IF(ISBLANK(A177),"","H"&amp;COUNTA($A$132:A177))</f>
        <v>H39</v>
      </c>
      <c r="C177" s="569" t="s">
        <v>435</v>
      </c>
      <c r="D177" s="570" t="s">
        <v>91</v>
      </c>
      <c r="E177" s="573" t="s">
        <v>24</v>
      </c>
      <c r="F177" s="574">
        <f>6400+1000</f>
        <v>7400</v>
      </c>
      <c r="G177" s="574">
        <f t="shared" ref="G177" si="4">6400+1000</f>
        <v>7400</v>
      </c>
      <c r="H177" s="574"/>
      <c r="I177" s="574"/>
      <c r="J177" s="572" t="s">
        <v>329</v>
      </c>
    </row>
    <row r="178" spans="1:10" s="38" customFormat="1" x14ac:dyDescent="0.25">
      <c r="A178" s="78"/>
      <c r="B178" s="78"/>
      <c r="C178" s="480"/>
      <c r="D178" s="72"/>
      <c r="E178" s="71"/>
      <c r="F178" s="546"/>
      <c r="G178" s="546"/>
      <c r="H178" s="546"/>
      <c r="I178" s="546"/>
    </row>
    <row r="179" spans="1:10" s="38" customFormat="1" x14ac:dyDescent="0.25">
      <c r="A179" s="78"/>
      <c r="B179" s="78" t="str">
        <f>IF(ISBLANK(A179),"","H"&amp;COUNTA($A$132:A179))</f>
        <v/>
      </c>
      <c r="C179" s="82" t="s">
        <v>179</v>
      </c>
      <c r="D179" s="83"/>
      <c r="E179" s="71"/>
      <c r="F179" s="4">
        <f>F166</f>
        <v>2023</v>
      </c>
      <c r="G179" s="4">
        <f>F179+1</f>
        <v>2024</v>
      </c>
      <c r="H179" s="4">
        <f>G179+1</f>
        <v>2025</v>
      </c>
      <c r="I179" s="4">
        <f>H179+1</f>
        <v>2026</v>
      </c>
    </row>
    <row r="180" spans="1:10" s="38" customFormat="1" x14ac:dyDescent="0.25">
      <c r="A180" s="78" t="s">
        <v>131</v>
      </c>
      <c r="B180" s="78" t="str">
        <f>IF(ISBLANK(A180),"","H"&amp;COUNTA($A$132:A180))</f>
        <v>H40</v>
      </c>
      <c r="C180" s="245" t="s">
        <v>180</v>
      </c>
      <c r="D180" s="72" t="s">
        <v>89</v>
      </c>
      <c r="E180" s="71" t="s">
        <v>84</v>
      </c>
      <c r="F180" s="70">
        <v>0</v>
      </c>
      <c r="G180" s="70">
        <v>6000</v>
      </c>
      <c r="H180" s="70">
        <v>12000</v>
      </c>
      <c r="I180" s="191">
        <v>12000</v>
      </c>
    </row>
    <row r="181" spans="1:10" s="38" customFormat="1" x14ac:dyDescent="0.25">
      <c r="A181" s="78" t="s">
        <v>131</v>
      </c>
      <c r="B181" s="78" t="str">
        <f>IF(ISBLANK(A181),"","H"&amp;COUNTA($A$132:A181))</f>
        <v>H41</v>
      </c>
      <c r="C181" s="245" t="s">
        <v>181</v>
      </c>
      <c r="D181" s="72" t="s">
        <v>89</v>
      </c>
      <c r="E181" s="71" t="s">
        <v>84</v>
      </c>
      <c r="F181" s="191">
        <v>0</v>
      </c>
      <c r="G181" s="191">
        <v>-4000</v>
      </c>
      <c r="H181" s="191">
        <v>-6000</v>
      </c>
      <c r="I181" s="191">
        <v>-6000</v>
      </c>
    </row>
    <row r="182" spans="1:10" s="38" customFormat="1" x14ac:dyDescent="0.25">
      <c r="A182" s="78" t="s">
        <v>131</v>
      </c>
      <c r="B182" s="78" t="str">
        <f>IF(ISBLANK(A182),"","H"&amp;COUNTA($A$132:A182))</f>
        <v>H42</v>
      </c>
      <c r="C182" s="245" t="s">
        <v>535</v>
      </c>
      <c r="D182" s="72" t="s">
        <v>91</v>
      </c>
      <c r="E182" s="71" t="s">
        <v>488</v>
      </c>
      <c r="F182" s="191">
        <v>260</v>
      </c>
      <c r="G182" s="191">
        <v>260</v>
      </c>
      <c r="H182" s="191">
        <v>260</v>
      </c>
      <c r="I182" s="191">
        <v>260</v>
      </c>
      <c r="J182" s="38" t="s">
        <v>536</v>
      </c>
    </row>
    <row r="183" spans="1:10" s="38" customFormat="1" x14ac:dyDescent="0.25">
      <c r="A183" s="43"/>
      <c r="B183" s="43" t="s">
        <v>127</v>
      </c>
      <c r="C183" s="3" t="s">
        <v>182</v>
      </c>
      <c r="D183" s="52"/>
      <c r="E183" s="52"/>
      <c r="F183" s="56">
        <f>SUMIF($A:$A,"H&amp;V",F:F)</f>
        <v>121969</v>
      </c>
      <c r="G183" s="56">
        <f>SUMIF($A:$A,"H&amp;V",G:G)</f>
        <v>136029</v>
      </c>
      <c r="H183" s="56">
        <f>SUMIF($A:$A,"H&amp;V",H:H)</f>
        <v>135180</v>
      </c>
      <c r="I183" s="56">
        <f>SUMIF($A:$A,"H&amp;V",I:I)</f>
        <v>140090</v>
      </c>
    </row>
    <row r="184" spans="1:10" s="38" customFormat="1" x14ac:dyDescent="0.25">
      <c r="A184" s="47"/>
      <c r="B184" s="78"/>
      <c r="C184" s="11"/>
      <c r="D184" s="49"/>
      <c r="E184" s="49"/>
      <c r="F184" s="57"/>
      <c r="G184" s="57"/>
      <c r="H184" s="57"/>
      <c r="I184" s="57"/>
    </row>
    <row r="185" spans="1:10" s="38" customFormat="1" x14ac:dyDescent="0.25">
      <c r="A185" s="48"/>
      <c r="B185" s="78"/>
      <c r="C185" s="13" t="s">
        <v>183</v>
      </c>
      <c r="D185" s="50"/>
      <c r="E185" s="61"/>
      <c r="F185" s="58"/>
      <c r="G185" s="58"/>
      <c r="H185" s="58"/>
      <c r="I185" s="58"/>
    </row>
    <row r="186" spans="1:10" s="38" customFormat="1" x14ac:dyDescent="0.25">
      <c r="A186" s="341"/>
      <c r="B186" s="78"/>
      <c r="C186" s="82" t="s">
        <v>184</v>
      </c>
      <c r="D186" s="83"/>
      <c r="E186" s="71"/>
      <c r="F186" s="4">
        <f>F179</f>
        <v>2023</v>
      </c>
      <c r="G186" s="4">
        <f>F186+1</f>
        <v>2024</v>
      </c>
      <c r="H186" s="4">
        <f>G186+1</f>
        <v>2025</v>
      </c>
      <c r="I186" s="4">
        <f>H186+1</f>
        <v>2026</v>
      </c>
    </row>
    <row r="187" spans="1:10" s="38" customFormat="1" x14ac:dyDescent="0.25">
      <c r="A187" s="78" t="s">
        <v>186</v>
      </c>
      <c r="B187" s="78" t="str">
        <f>IF(ISBLANK(A187),"","K"&amp;COUNTA($A$187:A187))</f>
        <v>K1</v>
      </c>
      <c r="C187" s="598" t="s">
        <v>477</v>
      </c>
      <c r="D187" s="596" t="s">
        <v>91</v>
      </c>
      <c r="E187" s="597"/>
      <c r="F187" s="610">
        <v>600</v>
      </c>
      <c r="G187" s="610">
        <v>600</v>
      </c>
      <c r="H187" s="610">
        <v>600</v>
      </c>
      <c r="I187" s="610">
        <v>600</v>
      </c>
      <c r="J187" s="38" t="s">
        <v>478</v>
      </c>
    </row>
    <row r="188" spans="1:10" s="38" customFormat="1" x14ac:dyDescent="0.25">
      <c r="A188" s="78" t="s">
        <v>186</v>
      </c>
      <c r="B188" s="78" t="str">
        <f>IF(ISBLANK(A188),"","K"&amp;COUNTA($A$187:A188))</f>
        <v>K2</v>
      </c>
      <c r="C188" s="212"/>
      <c r="D188" s="79"/>
      <c r="E188" s="71"/>
      <c r="F188" s="255"/>
      <c r="G188" s="255"/>
      <c r="H188" s="255"/>
      <c r="I188" s="255"/>
    </row>
    <row r="189" spans="1:10" s="38" customFormat="1" x14ac:dyDescent="0.25">
      <c r="A189" s="78" t="s">
        <v>186</v>
      </c>
      <c r="B189" s="78" t="str">
        <f>IF(ISBLANK(A189),"","K"&amp;COUNTA($A$187:A189))</f>
        <v>K3</v>
      </c>
      <c r="C189" s="212"/>
      <c r="D189" s="79"/>
      <c r="E189" s="71"/>
      <c r="F189" s="191"/>
      <c r="G189" s="191"/>
      <c r="H189" s="191"/>
      <c r="I189" s="191"/>
    </row>
    <row r="190" spans="1:10" s="38" customFormat="1" x14ac:dyDescent="0.25">
      <c r="A190" s="78" t="s">
        <v>186</v>
      </c>
      <c r="B190" s="78" t="str">
        <f>IF(ISBLANK(A190),"","K"&amp;COUNTA($A$187:A190))</f>
        <v>K4</v>
      </c>
      <c r="C190" s="212"/>
      <c r="D190" s="79"/>
      <c r="E190" s="71"/>
      <c r="F190" s="191"/>
      <c r="G190" s="191"/>
      <c r="H190" s="191"/>
      <c r="I190" s="191"/>
    </row>
    <row r="191" spans="1:10" s="38" customFormat="1" x14ac:dyDescent="0.25">
      <c r="A191" s="78"/>
      <c r="B191" s="78" t="str">
        <f>IF(ISBLANK(A191),"","K"&amp;COUNTA($A$187:A191))</f>
        <v/>
      </c>
      <c r="C191" s="82" t="s">
        <v>185</v>
      </c>
      <c r="D191" s="79"/>
      <c r="E191" s="71"/>
      <c r="F191" s="191"/>
      <c r="G191" s="191"/>
      <c r="H191" s="191"/>
      <c r="I191" s="191"/>
    </row>
    <row r="192" spans="1:10" s="38" customFormat="1" x14ac:dyDescent="0.25">
      <c r="A192" s="78" t="s">
        <v>186</v>
      </c>
      <c r="B192" s="78" t="str">
        <f>IF(ISBLANK(A192),"","K"&amp;COUNTA($A$187:A192))</f>
        <v>K5</v>
      </c>
      <c r="C192" s="213" t="s">
        <v>187</v>
      </c>
      <c r="D192" s="72" t="s">
        <v>89</v>
      </c>
      <c r="E192" s="71" t="s">
        <v>84</v>
      </c>
      <c r="F192" s="70"/>
      <c r="G192" s="70">
        <v>-100</v>
      </c>
      <c r="H192" s="70">
        <v>-100</v>
      </c>
      <c r="I192" s="70">
        <v>-100</v>
      </c>
    </row>
    <row r="193" spans="1:10" s="38" customFormat="1" x14ac:dyDescent="0.25">
      <c r="A193" s="78" t="s">
        <v>186</v>
      </c>
      <c r="B193" s="78" t="str">
        <f>IF(ISBLANK(A193),"","K"&amp;COUNTA($A$187:A193))</f>
        <v>K6</v>
      </c>
      <c r="C193" s="212" t="s">
        <v>537</v>
      </c>
      <c r="D193" s="72" t="s">
        <v>91</v>
      </c>
      <c r="E193" s="71">
        <v>1</v>
      </c>
      <c r="F193" s="191">
        <v>750</v>
      </c>
      <c r="G193" s="191">
        <v>750</v>
      </c>
      <c r="H193" s="191">
        <v>750</v>
      </c>
      <c r="I193" s="191">
        <v>750</v>
      </c>
    </row>
    <row r="194" spans="1:10" s="38" customFormat="1" x14ac:dyDescent="0.25">
      <c r="A194" s="78" t="s">
        <v>186</v>
      </c>
      <c r="B194" s="78" t="str">
        <f>IF(ISBLANK(A194),"","K"&amp;COUNTA($A$187:A194))</f>
        <v>K7</v>
      </c>
      <c r="C194" s="212" t="s">
        <v>538</v>
      </c>
      <c r="D194" s="72" t="s">
        <v>91</v>
      </c>
      <c r="E194" s="71">
        <v>3</v>
      </c>
      <c r="F194" s="191">
        <v>188</v>
      </c>
      <c r="G194" s="191">
        <v>300</v>
      </c>
      <c r="H194" s="191">
        <v>486</v>
      </c>
      <c r="I194" s="191">
        <v>600</v>
      </c>
    </row>
    <row r="195" spans="1:10" s="38" customFormat="1" x14ac:dyDescent="0.25">
      <c r="A195" s="78" t="s">
        <v>186</v>
      </c>
      <c r="B195" s="78" t="str">
        <f>IF(ISBLANK(A195),"","K"&amp;COUNTA($A$187:A195))</f>
        <v>K8</v>
      </c>
      <c r="C195" s="212" t="s">
        <v>539</v>
      </c>
      <c r="D195" s="72" t="s">
        <v>91</v>
      </c>
      <c r="E195" s="71">
        <v>4</v>
      </c>
      <c r="F195" s="191">
        <v>540</v>
      </c>
      <c r="G195" s="191">
        <v>540</v>
      </c>
      <c r="H195" s="191">
        <v>540</v>
      </c>
      <c r="I195" s="191">
        <v>540</v>
      </c>
    </row>
    <row r="196" spans="1:10" s="38" customFormat="1" x14ac:dyDescent="0.25">
      <c r="A196" s="78" t="s">
        <v>186</v>
      </c>
      <c r="B196" s="78" t="str">
        <f>IF(ISBLANK(A196),"","K"&amp;COUNTA($A$187:A196))</f>
        <v>K9</v>
      </c>
      <c r="C196" s="213" t="s">
        <v>540</v>
      </c>
      <c r="D196" s="72" t="s">
        <v>91</v>
      </c>
      <c r="E196" s="71">
        <v>2</v>
      </c>
      <c r="F196" s="481">
        <v>750</v>
      </c>
      <c r="G196" s="481">
        <v>750</v>
      </c>
      <c r="H196" s="481">
        <v>750</v>
      </c>
      <c r="I196" s="481">
        <v>750</v>
      </c>
    </row>
    <row r="197" spans="1:10" s="38" customFormat="1" x14ac:dyDescent="0.25">
      <c r="A197" s="43"/>
      <c r="B197" s="43" t="s">
        <v>127</v>
      </c>
      <c r="C197" s="3" t="s">
        <v>203</v>
      </c>
      <c r="D197" s="52"/>
      <c r="E197" s="52"/>
      <c r="F197" s="56">
        <f>SUMIF($A:$A,"KuN",F:F)</f>
        <v>2828</v>
      </c>
      <c r="G197" s="56">
        <f>SUMIF($A:$A,"KuN",G:G)</f>
        <v>2840</v>
      </c>
      <c r="H197" s="56">
        <f>SUMIF($A:$A,"KuN",H:H)</f>
        <v>3026</v>
      </c>
      <c r="I197" s="56">
        <f>SUMIF($A:$A,"KuN",I:I)</f>
        <v>3140</v>
      </c>
    </row>
    <row r="198" spans="1:10" s="38" customFormat="1" x14ac:dyDescent="0.25">
      <c r="A198" s="47"/>
      <c r="B198" s="78"/>
      <c r="C198" s="11"/>
      <c r="D198" s="49"/>
      <c r="E198" s="49"/>
      <c r="F198" s="57"/>
      <c r="G198" s="57"/>
      <c r="H198" s="57"/>
      <c r="I198" s="57"/>
    </row>
    <row r="199" spans="1:10" s="38" customFormat="1" x14ac:dyDescent="0.25">
      <c r="A199" s="48"/>
      <c r="B199" s="78"/>
      <c r="C199" s="248" t="s">
        <v>204</v>
      </c>
      <c r="D199" s="83"/>
      <c r="E199" s="71"/>
      <c r="F199" s="4">
        <f>F186</f>
        <v>2023</v>
      </c>
      <c r="G199" s="4">
        <f>F199+1</f>
        <v>2024</v>
      </c>
      <c r="H199" s="4">
        <f>G199+1</f>
        <v>2025</v>
      </c>
      <c r="I199" s="4">
        <f>H199+1</f>
        <v>2026</v>
      </c>
    </row>
    <row r="200" spans="1:10" s="38" customFormat="1" x14ac:dyDescent="0.25">
      <c r="A200" s="78" t="s">
        <v>206</v>
      </c>
      <c r="B200" s="78" t="str">
        <f>IF(ISBLANK(A200),"","T"&amp;COUNTA($A200:A$200))</f>
        <v>T1</v>
      </c>
      <c r="C200" s="344" t="s">
        <v>440</v>
      </c>
      <c r="D200" s="72" t="s">
        <v>91</v>
      </c>
      <c r="E200" s="71">
        <v>1</v>
      </c>
      <c r="F200" s="398">
        <v>5531</v>
      </c>
      <c r="G200" s="398">
        <v>5531</v>
      </c>
      <c r="H200" s="398">
        <v>5531</v>
      </c>
      <c r="I200" s="398">
        <v>5531</v>
      </c>
    </row>
    <row r="201" spans="1:10" s="38" customFormat="1" x14ac:dyDescent="0.25">
      <c r="A201" s="78" t="s">
        <v>206</v>
      </c>
      <c r="B201" s="78" t="str">
        <f>IF(ISBLANK(A201),"","T"&amp;COUNTA($A$200:A201))</f>
        <v>T2</v>
      </c>
      <c r="C201" s="599" t="s">
        <v>477</v>
      </c>
      <c r="D201" s="596" t="s">
        <v>91</v>
      </c>
      <c r="E201" s="597"/>
      <c r="F201" s="610">
        <v>600</v>
      </c>
      <c r="G201" s="610">
        <v>600</v>
      </c>
      <c r="H201" s="610">
        <v>600</v>
      </c>
      <c r="I201" s="610">
        <v>600</v>
      </c>
      <c r="J201" s="38" t="s">
        <v>478</v>
      </c>
    </row>
    <row r="202" spans="1:10" s="38" customFormat="1" x14ac:dyDescent="0.25">
      <c r="A202" s="78"/>
      <c r="B202" s="78"/>
      <c r="C202" s="208" t="s">
        <v>205</v>
      </c>
      <c r="D202" s="83"/>
      <c r="E202" s="71"/>
      <c r="F202" s="4">
        <f>F199</f>
        <v>2023</v>
      </c>
      <c r="G202" s="4">
        <f>F202+1</f>
        <v>2024</v>
      </c>
      <c r="H202" s="4">
        <f>G202+1</f>
        <v>2025</v>
      </c>
      <c r="I202" s="4">
        <f>H202+1</f>
        <v>2026</v>
      </c>
    </row>
    <row r="203" spans="1:10" s="38" customFormat="1" ht="25.5" x14ac:dyDescent="0.25">
      <c r="A203" s="78" t="s">
        <v>206</v>
      </c>
      <c r="B203" s="78" t="str">
        <f>IF(ISBLANK(A203),"","T"&amp;COUNTA($A$200:A203))</f>
        <v>T3</v>
      </c>
      <c r="C203" s="212" t="s">
        <v>207</v>
      </c>
      <c r="D203" s="72" t="s">
        <v>83</v>
      </c>
      <c r="E203" s="231"/>
      <c r="F203" s="217"/>
      <c r="G203" s="217"/>
      <c r="H203" s="217"/>
      <c r="I203" s="217">
        <v>1000</v>
      </c>
      <c r="J203" s="144" t="s">
        <v>541</v>
      </c>
    </row>
    <row r="204" spans="1:10" s="38" customFormat="1" x14ac:dyDescent="0.25">
      <c r="A204" s="78" t="s">
        <v>206</v>
      </c>
      <c r="B204" s="78" t="str">
        <f>IF(ISBLANK(A204),"","T"&amp;COUNTA($A$200:A204))</f>
        <v>T4</v>
      </c>
      <c r="C204" s="212" t="s">
        <v>542</v>
      </c>
      <c r="D204" s="72" t="s">
        <v>91</v>
      </c>
      <c r="E204" s="71">
        <v>7</v>
      </c>
      <c r="F204" s="398">
        <v>500</v>
      </c>
      <c r="G204" s="398">
        <v>500</v>
      </c>
      <c r="H204" s="398">
        <v>500</v>
      </c>
      <c r="I204" s="398">
        <v>500</v>
      </c>
    </row>
    <row r="205" spans="1:10" s="38" customFormat="1" ht="25.5" x14ac:dyDescent="0.25">
      <c r="A205" s="78" t="s">
        <v>206</v>
      </c>
      <c r="B205" s="78" t="str">
        <f>IF(ISBLANK(A205),"","T"&amp;COUNTA($A$200:A205))</f>
        <v>T5</v>
      </c>
      <c r="C205" s="212" t="s">
        <v>543</v>
      </c>
      <c r="D205" s="72" t="s">
        <v>91</v>
      </c>
      <c r="E205" s="71">
        <v>29</v>
      </c>
      <c r="F205" s="217"/>
      <c r="G205" s="217"/>
      <c r="H205" s="217"/>
      <c r="I205" s="217">
        <v>200</v>
      </c>
    </row>
    <row r="206" spans="1:10" s="38" customFormat="1" x14ac:dyDescent="0.25">
      <c r="A206" s="78" t="s">
        <v>206</v>
      </c>
      <c r="B206" s="78" t="str">
        <f>IF(ISBLANK(A206),"","T"&amp;COUNTA($A$200:A206))</f>
        <v>T6</v>
      </c>
      <c r="C206" s="212" t="s">
        <v>544</v>
      </c>
      <c r="D206" s="72" t="s">
        <v>91</v>
      </c>
      <c r="E206" s="71">
        <v>32</v>
      </c>
      <c r="F206" s="217">
        <v>25</v>
      </c>
      <c r="G206" s="217">
        <v>25</v>
      </c>
      <c r="H206" s="217">
        <v>25</v>
      </c>
      <c r="I206" s="217">
        <v>25</v>
      </c>
    </row>
    <row r="207" spans="1:10" s="38" customFormat="1" x14ac:dyDescent="0.25">
      <c r="A207" s="78" t="s">
        <v>206</v>
      </c>
      <c r="B207" s="78" t="str">
        <f>IF(ISBLANK(A207),"","T"&amp;COUNTA($A$200:A207))</f>
        <v>T7</v>
      </c>
      <c r="C207" s="212" t="s">
        <v>545</v>
      </c>
      <c r="D207" s="72" t="s">
        <v>91</v>
      </c>
      <c r="E207" s="71">
        <v>33</v>
      </c>
      <c r="F207" s="217">
        <v>25</v>
      </c>
      <c r="G207" s="217">
        <v>25</v>
      </c>
      <c r="H207" s="217">
        <v>25</v>
      </c>
      <c r="I207" s="217">
        <v>25</v>
      </c>
    </row>
    <row r="208" spans="1:10" s="38" customFormat="1" x14ac:dyDescent="0.25">
      <c r="A208" s="78" t="s">
        <v>206</v>
      </c>
      <c r="B208" s="78" t="str">
        <f>IF(ISBLANK(A208),"","T"&amp;COUNTA($A$200:A208))</f>
        <v>T8</v>
      </c>
      <c r="C208" s="212" t="s">
        <v>546</v>
      </c>
      <c r="D208" s="72" t="s">
        <v>91</v>
      </c>
      <c r="E208" s="71">
        <v>31</v>
      </c>
      <c r="F208" s="217">
        <v>75</v>
      </c>
      <c r="G208" s="217">
        <v>75</v>
      </c>
      <c r="H208" s="217">
        <v>75</v>
      </c>
      <c r="I208" s="217">
        <v>75</v>
      </c>
    </row>
    <row r="209" spans="1:10" s="38" customFormat="1" ht="25.5" x14ac:dyDescent="0.25">
      <c r="A209" s="78" t="s">
        <v>206</v>
      </c>
      <c r="B209" s="78" t="str">
        <f>IF(ISBLANK(A209),"","T"&amp;COUNTA($A$200:A209))</f>
        <v>T9</v>
      </c>
      <c r="C209" s="212" t="s">
        <v>547</v>
      </c>
      <c r="D209" s="72" t="s">
        <v>91</v>
      </c>
      <c r="E209" s="71">
        <v>14</v>
      </c>
      <c r="F209" s="217"/>
      <c r="G209" s="217">
        <v>75</v>
      </c>
      <c r="H209" s="217">
        <v>75</v>
      </c>
      <c r="I209" s="217">
        <v>75</v>
      </c>
    </row>
    <row r="210" spans="1:10" s="38" customFormat="1" x14ac:dyDescent="0.25">
      <c r="A210" s="78" t="s">
        <v>206</v>
      </c>
      <c r="B210" s="78" t="str">
        <f>IF(ISBLANK(A210),"","T"&amp;COUNTA($A$200:A210))</f>
        <v>T10</v>
      </c>
      <c r="C210" s="212" t="s">
        <v>208</v>
      </c>
      <c r="D210" s="72" t="s">
        <v>91</v>
      </c>
      <c r="E210" s="71">
        <v>2</v>
      </c>
      <c r="F210" s="217">
        <v>150</v>
      </c>
      <c r="G210" s="217">
        <v>150</v>
      </c>
      <c r="H210" s="217">
        <v>150</v>
      </c>
      <c r="I210" s="217">
        <v>150</v>
      </c>
    </row>
    <row r="211" spans="1:10" s="38" customFormat="1" x14ac:dyDescent="0.25">
      <c r="A211" s="78" t="s">
        <v>206</v>
      </c>
      <c r="B211" s="78" t="str">
        <f>IF(ISBLANK(A211),"","T"&amp;COUNTA($A$200:A211))</f>
        <v>T11</v>
      </c>
      <c r="C211" s="212" t="s">
        <v>548</v>
      </c>
      <c r="D211" s="72" t="s">
        <v>91</v>
      </c>
      <c r="E211" s="231">
        <v>8</v>
      </c>
      <c r="F211" s="541">
        <v>1000</v>
      </c>
      <c r="G211" s="217"/>
      <c r="H211" s="217"/>
      <c r="I211" s="217"/>
    </row>
    <row r="212" spans="1:10" s="38" customFormat="1" x14ac:dyDescent="0.25">
      <c r="A212" s="78" t="s">
        <v>206</v>
      </c>
      <c r="B212" s="78" t="str">
        <f>IF(ISBLANK(A212),"","T"&amp;COUNTA($A$200:A212))</f>
        <v>T12</v>
      </c>
      <c r="C212" s="212" t="s">
        <v>549</v>
      </c>
      <c r="D212" s="72" t="s">
        <v>91</v>
      </c>
      <c r="E212" s="71">
        <v>30</v>
      </c>
      <c r="F212" s="217"/>
      <c r="G212" s="217"/>
      <c r="H212" s="217"/>
      <c r="I212" s="217">
        <v>500</v>
      </c>
    </row>
    <row r="213" spans="1:10" s="38" customFormat="1" x14ac:dyDescent="0.25">
      <c r="A213" s="78"/>
      <c r="B213" s="78" t="str">
        <f>IF(ISBLANK(A213),"","T"&amp;COUNTA($A$200:A213))</f>
        <v/>
      </c>
      <c r="C213" s="208" t="s">
        <v>209</v>
      </c>
      <c r="D213" s="72"/>
      <c r="E213" s="71"/>
      <c r="F213" s="4">
        <f>F202</f>
        <v>2023</v>
      </c>
      <c r="G213" s="4">
        <f>F213+1</f>
        <v>2024</v>
      </c>
      <c r="H213" s="4">
        <f>G213+1</f>
        <v>2025</v>
      </c>
      <c r="I213" s="4">
        <f>H213+1</f>
        <v>2026</v>
      </c>
    </row>
    <row r="214" spans="1:10" s="38" customFormat="1" x14ac:dyDescent="0.25">
      <c r="A214" s="78" t="s">
        <v>206</v>
      </c>
      <c r="B214" s="78" t="str">
        <f>IF(ISBLANK(A214),"","T"&amp;COUNTA($A$200:A214))</f>
        <v>T13</v>
      </c>
      <c r="C214" s="344" t="s">
        <v>550</v>
      </c>
      <c r="D214" s="72" t="s">
        <v>91</v>
      </c>
      <c r="E214" s="71">
        <v>9</v>
      </c>
      <c r="F214" s="217">
        <v>1000</v>
      </c>
      <c r="G214" s="217">
        <v>1000</v>
      </c>
      <c r="H214" s="217">
        <v>1000</v>
      </c>
      <c r="I214" s="217">
        <v>1000</v>
      </c>
    </row>
    <row r="215" spans="1:10" s="38" customFormat="1" x14ac:dyDescent="0.25">
      <c r="A215" s="78" t="s">
        <v>206</v>
      </c>
      <c r="B215" s="78" t="str">
        <f>IF(ISBLANK(A215),"","T"&amp;COUNTA($A$200:A215))</f>
        <v>T14</v>
      </c>
      <c r="C215" s="344" t="s">
        <v>551</v>
      </c>
      <c r="D215" s="72" t="s">
        <v>91</v>
      </c>
      <c r="E215" s="71">
        <v>13</v>
      </c>
      <c r="F215" s="217">
        <v>1000</v>
      </c>
      <c r="G215" s="217">
        <v>1000</v>
      </c>
      <c r="H215" s="217">
        <v>1000</v>
      </c>
      <c r="I215" s="217">
        <v>1000</v>
      </c>
    </row>
    <row r="216" spans="1:10" s="38" customFormat="1" x14ac:dyDescent="0.25">
      <c r="A216" s="78" t="s">
        <v>206</v>
      </c>
      <c r="B216" s="78" t="str">
        <f>IF(ISBLANK(A216),"","T"&amp;COUNTA($A$200:A216))</f>
        <v>T15</v>
      </c>
      <c r="C216" s="344" t="s">
        <v>552</v>
      </c>
      <c r="D216" s="72" t="s">
        <v>91</v>
      </c>
      <c r="E216" s="71">
        <v>38</v>
      </c>
      <c r="F216" s="217">
        <v>300</v>
      </c>
      <c r="G216" s="217">
        <v>300</v>
      </c>
      <c r="H216" s="217">
        <v>300</v>
      </c>
      <c r="I216" s="217">
        <v>300</v>
      </c>
    </row>
    <row r="217" spans="1:10" s="38" customFormat="1" x14ac:dyDescent="0.25">
      <c r="A217" s="78" t="s">
        <v>206</v>
      </c>
      <c r="B217" s="78" t="str">
        <f>IF(ISBLANK(A217),"","T"&amp;COUNTA($A$200:A217))</f>
        <v>T16</v>
      </c>
      <c r="C217" s="344" t="s">
        <v>553</v>
      </c>
      <c r="D217" s="72" t="s">
        <v>91</v>
      </c>
      <c r="E217" s="71">
        <v>18</v>
      </c>
      <c r="F217" s="217">
        <v>500</v>
      </c>
      <c r="G217" s="217">
        <v>500</v>
      </c>
      <c r="H217" s="217">
        <v>500</v>
      </c>
      <c r="I217" s="217">
        <v>500</v>
      </c>
    </row>
    <row r="218" spans="1:10" s="38" customFormat="1" x14ac:dyDescent="0.25">
      <c r="A218" s="78" t="s">
        <v>206</v>
      </c>
      <c r="B218" s="78" t="str">
        <f>IF(ISBLANK(A218),"","T"&amp;COUNTA($A$200:A218))</f>
        <v>T17</v>
      </c>
      <c r="C218" s="344" t="s">
        <v>554</v>
      </c>
      <c r="D218" s="72" t="s">
        <v>91</v>
      </c>
      <c r="E218" s="71">
        <v>4</v>
      </c>
      <c r="F218" s="217">
        <v>350</v>
      </c>
      <c r="G218" s="217">
        <v>350</v>
      </c>
      <c r="H218" s="217">
        <v>350</v>
      </c>
      <c r="I218" s="217">
        <v>350</v>
      </c>
    </row>
    <row r="219" spans="1:10" s="38" customFormat="1" x14ac:dyDescent="0.25">
      <c r="A219" s="78" t="s">
        <v>206</v>
      </c>
      <c r="B219" s="78" t="str">
        <f>IF(ISBLANK(A219),"","T"&amp;COUNTA($A$200:A219))</f>
        <v>T18</v>
      </c>
      <c r="C219" s="344" t="s">
        <v>555</v>
      </c>
      <c r="D219" s="72" t="s">
        <v>91</v>
      </c>
      <c r="E219" s="71">
        <v>17</v>
      </c>
      <c r="F219" s="217">
        <v>600</v>
      </c>
      <c r="G219" s="217">
        <v>600</v>
      </c>
      <c r="H219" s="217">
        <v>600</v>
      </c>
      <c r="I219" s="217">
        <v>600</v>
      </c>
    </row>
    <row r="220" spans="1:10" s="38" customFormat="1" x14ac:dyDescent="0.25">
      <c r="A220" s="78" t="s">
        <v>206</v>
      </c>
      <c r="B220" s="78" t="str">
        <f>IF(ISBLANK(A220),"","T"&amp;COUNTA($A$200:A220))</f>
        <v>T19</v>
      </c>
      <c r="C220" s="344" t="s">
        <v>556</v>
      </c>
      <c r="D220" s="72" t="s">
        <v>91</v>
      </c>
      <c r="E220" s="71">
        <v>24</v>
      </c>
      <c r="F220" s="217">
        <v>200</v>
      </c>
      <c r="G220" s="217">
        <v>200</v>
      </c>
      <c r="H220" s="217">
        <v>200</v>
      </c>
      <c r="I220" s="217">
        <v>200</v>
      </c>
    </row>
    <row r="221" spans="1:10" s="38" customFormat="1" x14ac:dyDescent="0.25">
      <c r="A221" s="78" t="s">
        <v>206</v>
      </c>
      <c r="B221" s="78" t="str">
        <f>IF(ISBLANK(A221),"","T"&amp;COUNTA($A$200:A221))</f>
        <v>T20</v>
      </c>
      <c r="C221" s="344" t="s">
        <v>557</v>
      </c>
      <c r="D221" s="72" t="s">
        <v>91</v>
      </c>
      <c r="E221" s="71">
        <v>25</v>
      </c>
      <c r="F221" s="217">
        <v>300</v>
      </c>
      <c r="G221" s="217">
        <v>300</v>
      </c>
      <c r="H221" s="217">
        <v>300</v>
      </c>
      <c r="I221" s="217">
        <v>300</v>
      </c>
    </row>
    <row r="222" spans="1:10" s="38" customFormat="1" x14ac:dyDescent="0.25">
      <c r="A222" s="78" t="s">
        <v>206</v>
      </c>
      <c r="B222" s="78" t="str">
        <f>IF(ISBLANK(A222),"","T"&amp;COUNTA($A$200:A222))</f>
        <v>T21</v>
      </c>
      <c r="C222" s="344" t="s">
        <v>558</v>
      </c>
      <c r="D222" s="72" t="s">
        <v>91</v>
      </c>
      <c r="E222" s="71">
        <v>26</v>
      </c>
      <c r="F222" s="217">
        <v>500</v>
      </c>
      <c r="G222" s="217">
        <v>500</v>
      </c>
      <c r="H222" s="217">
        <v>500</v>
      </c>
      <c r="I222" s="217">
        <v>500</v>
      </c>
    </row>
    <row r="223" spans="1:10" s="38" customFormat="1" ht="25.5" x14ac:dyDescent="0.25">
      <c r="A223" s="78" t="s">
        <v>206</v>
      </c>
      <c r="B223" s="78" t="str">
        <f>IF(ISBLANK(A223),"","T"&amp;COUNTA($A$200:A223))</f>
        <v>T22</v>
      </c>
      <c r="C223" s="344" t="s">
        <v>559</v>
      </c>
      <c r="D223" s="72" t="s">
        <v>91</v>
      </c>
      <c r="E223" s="231">
        <v>12</v>
      </c>
      <c r="F223" s="217">
        <v>3000</v>
      </c>
      <c r="G223" s="217"/>
      <c r="H223" s="217"/>
      <c r="I223" s="217"/>
      <c r="J223" s="38" t="s">
        <v>560</v>
      </c>
    </row>
    <row r="224" spans="1:10" s="38" customFormat="1" x14ac:dyDescent="0.25">
      <c r="A224" s="78" t="s">
        <v>206</v>
      </c>
      <c r="B224" s="78" t="str">
        <f>IF(ISBLANK(A224),"","T"&amp;COUNTA($A$200:A224))</f>
        <v>T23</v>
      </c>
      <c r="C224" s="344" t="s">
        <v>210</v>
      </c>
      <c r="D224" s="72" t="s">
        <v>91</v>
      </c>
      <c r="E224" s="231"/>
      <c r="F224" s="217">
        <v>15000</v>
      </c>
      <c r="G224" s="217">
        <v>15000</v>
      </c>
      <c r="H224" s="217"/>
      <c r="I224" s="217"/>
      <c r="J224" s="38" t="s">
        <v>346</v>
      </c>
    </row>
    <row r="225" spans="1:10" s="38" customFormat="1" x14ac:dyDescent="0.25">
      <c r="A225" s="78" t="s">
        <v>206</v>
      </c>
      <c r="B225" s="78" t="str">
        <f>IF(ISBLANK(A225),"","T"&amp;COUNTA($A$200:A225))</f>
        <v>T24</v>
      </c>
      <c r="C225" s="344" t="s">
        <v>211</v>
      </c>
      <c r="D225" s="72" t="s">
        <v>91</v>
      </c>
      <c r="E225" s="71" t="s">
        <v>24</v>
      </c>
      <c r="F225" s="217">
        <v>450</v>
      </c>
      <c r="G225" s="217"/>
      <c r="H225" s="217"/>
      <c r="I225" s="217"/>
    </row>
    <row r="226" spans="1:10" s="38" customFormat="1" x14ac:dyDescent="0.25">
      <c r="A226" s="78" t="s">
        <v>206</v>
      </c>
      <c r="B226" s="78" t="str">
        <f>IF(ISBLANK(A226),"","T"&amp;COUNTA($A$200:A226))</f>
        <v>T25</v>
      </c>
      <c r="C226" s="344" t="s">
        <v>561</v>
      </c>
      <c r="D226" s="72" t="s">
        <v>91</v>
      </c>
      <c r="E226" s="71">
        <v>21</v>
      </c>
      <c r="F226" s="217">
        <v>1000</v>
      </c>
      <c r="G226" s="217">
        <v>1000</v>
      </c>
      <c r="H226" s="217">
        <v>1000</v>
      </c>
      <c r="I226" s="217">
        <v>1000</v>
      </c>
    </row>
    <row r="227" spans="1:10" s="38" customFormat="1" x14ac:dyDescent="0.25">
      <c r="A227" s="78"/>
      <c r="B227" s="78" t="str">
        <f>IF(ISBLANK(A227),"","T"&amp;COUNTA($A$200:A227))</f>
        <v/>
      </c>
      <c r="C227" s="208" t="s">
        <v>212</v>
      </c>
      <c r="D227" s="72"/>
      <c r="E227" s="71"/>
      <c r="F227" s="4">
        <f>+F213</f>
        <v>2023</v>
      </c>
      <c r="G227" s="4">
        <f>F227+1</f>
        <v>2024</v>
      </c>
      <c r="H227" s="4">
        <f>G227+1</f>
        <v>2025</v>
      </c>
      <c r="I227" s="4">
        <f>H227+1</f>
        <v>2026</v>
      </c>
    </row>
    <row r="228" spans="1:10" s="38" customFormat="1" x14ac:dyDescent="0.25">
      <c r="A228" s="78" t="s">
        <v>206</v>
      </c>
      <c r="B228" s="78" t="str">
        <f>IF(ISBLANK(A228),"","T"&amp;COUNTA($A$200:A228))</f>
        <v>T26</v>
      </c>
      <c r="C228" s="344" t="s">
        <v>562</v>
      </c>
      <c r="D228" s="72" t="s">
        <v>91</v>
      </c>
      <c r="E228" s="71">
        <v>10</v>
      </c>
      <c r="F228" s="217">
        <v>2500</v>
      </c>
      <c r="G228" s="217">
        <v>2500</v>
      </c>
      <c r="H228" s="217">
        <v>2500</v>
      </c>
      <c r="I228" s="217">
        <v>2500</v>
      </c>
    </row>
    <row r="229" spans="1:10" s="38" customFormat="1" ht="38.25" x14ac:dyDescent="0.25">
      <c r="A229" s="78" t="s">
        <v>206</v>
      </c>
      <c r="B229" s="78" t="str">
        <f>IF(ISBLANK(A229),"","T"&amp;COUNTA($A$200:A229))</f>
        <v>T27</v>
      </c>
      <c r="C229" s="344" t="s">
        <v>563</v>
      </c>
      <c r="D229" s="72" t="s">
        <v>91</v>
      </c>
      <c r="E229" s="400">
        <v>11</v>
      </c>
      <c r="F229" s="217">
        <v>500</v>
      </c>
      <c r="G229" s="217">
        <v>1000</v>
      </c>
      <c r="H229" s="217"/>
      <c r="I229" s="217"/>
      <c r="J229" s="38" t="s">
        <v>560</v>
      </c>
    </row>
    <row r="230" spans="1:10" s="38" customFormat="1" ht="25.5" x14ac:dyDescent="0.25">
      <c r="A230" s="78" t="s">
        <v>206</v>
      </c>
      <c r="B230" s="78" t="str">
        <f>IF(ISBLANK(A230),"","T"&amp;COUNTA($A$200:A230))</f>
        <v>T28</v>
      </c>
      <c r="C230" s="344" t="s">
        <v>564</v>
      </c>
      <c r="D230" s="72" t="s">
        <v>83</v>
      </c>
      <c r="E230" s="583"/>
      <c r="F230" s="217">
        <f>350-300</f>
        <v>50</v>
      </c>
      <c r="G230" s="217">
        <f>400-350</f>
        <v>50</v>
      </c>
      <c r="H230" s="217">
        <f>450-400</f>
        <v>50</v>
      </c>
      <c r="I230" s="217">
        <v>50</v>
      </c>
      <c r="J230" s="144" t="s">
        <v>565</v>
      </c>
    </row>
    <row r="231" spans="1:10" s="38" customFormat="1" x14ac:dyDescent="0.25">
      <c r="A231" s="78"/>
      <c r="B231" s="78" t="str">
        <f>IF(ISBLANK(A231),"","T"&amp;COUNTA($A$200:A231))</f>
        <v/>
      </c>
      <c r="C231" s="208" t="s">
        <v>213</v>
      </c>
      <c r="D231" s="72"/>
      <c r="E231" s="71"/>
      <c r="F231" s="4">
        <f>F213</f>
        <v>2023</v>
      </c>
      <c r="G231" s="4">
        <f>F231+1</f>
        <v>2024</v>
      </c>
      <c r="H231" s="4">
        <f>G231+1</f>
        <v>2025</v>
      </c>
      <c r="I231" s="4">
        <f>H231+1</f>
        <v>2026</v>
      </c>
    </row>
    <row r="232" spans="1:10" s="38" customFormat="1" x14ac:dyDescent="0.25">
      <c r="A232" s="45" t="s">
        <v>206</v>
      </c>
      <c r="B232" s="78" t="str">
        <f>IF(ISBLANK(A232),"","T"&amp;COUNTA($A$200:A232))</f>
        <v>T29</v>
      </c>
      <c r="C232" s="565" t="s">
        <v>566</v>
      </c>
      <c r="D232" s="228" t="s">
        <v>83</v>
      </c>
      <c r="E232" s="231" t="s">
        <v>84</v>
      </c>
      <c r="F232" s="545">
        <f>3300-3300</f>
        <v>0</v>
      </c>
      <c r="G232" s="545">
        <f t="shared" ref="G232:I232" si="5">3300-3300</f>
        <v>0</v>
      </c>
      <c r="H232" s="545">
        <f t="shared" si="5"/>
        <v>0</v>
      </c>
      <c r="I232" s="545">
        <f t="shared" si="5"/>
        <v>0</v>
      </c>
      <c r="J232" s="218" t="s">
        <v>567</v>
      </c>
    </row>
    <row r="233" spans="1:10" s="38" customFormat="1" ht="25.5" x14ac:dyDescent="0.25">
      <c r="A233" s="45" t="s">
        <v>206</v>
      </c>
      <c r="B233" s="78" t="str">
        <f>IF(ISBLANK(A233),"","T"&amp;COUNTA($A$200:A233))</f>
        <v>T30</v>
      </c>
      <c r="C233" s="212" t="s">
        <v>214</v>
      </c>
      <c r="D233" s="72" t="s">
        <v>83</v>
      </c>
      <c r="E233" s="71" t="s">
        <v>84</v>
      </c>
      <c r="F233" s="546">
        <v>10</v>
      </c>
      <c r="G233" s="546">
        <v>20</v>
      </c>
      <c r="H233" s="546">
        <v>30</v>
      </c>
      <c r="I233" s="546">
        <v>40</v>
      </c>
      <c r="J233" s="144" t="s">
        <v>441</v>
      </c>
    </row>
    <row r="234" spans="1:10" s="38" customFormat="1" x14ac:dyDescent="0.25">
      <c r="A234" s="45" t="s">
        <v>206</v>
      </c>
      <c r="B234" s="78" t="str">
        <f>IF(ISBLANK(A234),"","T"&amp;COUNTA($A$200:A234))</f>
        <v>T31</v>
      </c>
      <c r="C234" s="212" t="s">
        <v>568</v>
      </c>
      <c r="D234" s="72" t="s">
        <v>83</v>
      </c>
      <c r="E234" s="71">
        <v>43</v>
      </c>
      <c r="F234" s="546"/>
      <c r="G234" s="546"/>
      <c r="H234" s="546">
        <v>300</v>
      </c>
      <c r="I234" s="546">
        <v>300</v>
      </c>
      <c r="J234" s="144" t="s">
        <v>569</v>
      </c>
    </row>
    <row r="235" spans="1:10" s="38" customFormat="1" ht="25.5" x14ac:dyDescent="0.25">
      <c r="A235" s="45" t="s">
        <v>206</v>
      </c>
      <c r="B235" s="78" t="str">
        <f>IF(ISBLANK(A235),"","T"&amp;COUNTA($A$200:A235))</f>
        <v>T32</v>
      </c>
      <c r="C235" s="212" t="s">
        <v>570</v>
      </c>
      <c r="D235" s="72" t="s">
        <v>91</v>
      </c>
      <c r="E235" s="71">
        <v>37</v>
      </c>
      <c r="F235" s="546">
        <v>200</v>
      </c>
      <c r="G235" s="546">
        <v>200</v>
      </c>
      <c r="H235" s="546">
        <v>200</v>
      </c>
      <c r="I235" s="546">
        <v>200</v>
      </c>
    </row>
    <row r="236" spans="1:10" s="38" customFormat="1" x14ac:dyDescent="0.25">
      <c r="A236" s="45" t="s">
        <v>206</v>
      </c>
      <c r="B236" s="78" t="str">
        <f>IF(ISBLANK(A236),"","T"&amp;COUNTA($A$200:A236))</f>
        <v>T33</v>
      </c>
      <c r="C236" s="212" t="s">
        <v>571</v>
      </c>
      <c r="D236" s="72" t="s">
        <v>91</v>
      </c>
      <c r="E236" s="71">
        <v>3</v>
      </c>
      <c r="F236" s="546">
        <v>300</v>
      </c>
      <c r="G236" s="546">
        <v>400</v>
      </c>
      <c r="H236" s="546">
        <v>500</v>
      </c>
      <c r="I236" s="546">
        <v>600</v>
      </c>
    </row>
    <row r="237" spans="1:10" s="38" customFormat="1" ht="25.5" x14ac:dyDescent="0.25">
      <c r="A237" s="45" t="s">
        <v>206</v>
      </c>
      <c r="B237" s="78" t="str">
        <f>IF(ISBLANK(A237),"","T"&amp;COUNTA($A$200:A237))</f>
        <v>T34</v>
      </c>
      <c r="C237" s="212" t="s">
        <v>572</v>
      </c>
      <c r="D237" s="72" t="s">
        <v>91</v>
      </c>
      <c r="E237" s="71">
        <v>41</v>
      </c>
      <c r="F237" s="546">
        <v>1000</v>
      </c>
      <c r="G237" s="546">
        <v>1000</v>
      </c>
      <c r="H237" s="546">
        <v>1000</v>
      </c>
      <c r="I237" s="546">
        <v>1000</v>
      </c>
    </row>
    <row r="238" spans="1:10" s="38" customFormat="1" ht="30" x14ac:dyDescent="0.25">
      <c r="A238" s="45" t="s">
        <v>206</v>
      </c>
      <c r="B238" s="78" t="str">
        <f>IF(ISBLANK(A238),"","T"&amp;COUNTA($A$200:A238))</f>
        <v>T35</v>
      </c>
      <c r="C238" s="212" t="s">
        <v>217</v>
      </c>
      <c r="D238" s="72" t="s">
        <v>83</v>
      </c>
      <c r="E238" s="71" t="s">
        <v>24</v>
      </c>
      <c r="F238" s="546">
        <v>-1437</v>
      </c>
      <c r="G238" s="546">
        <v>-1437</v>
      </c>
      <c r="H238" s="546">
        <v>-1437</v>
      </c>
      <c r="I238" s="546">
        <v>-1437</v>
      </c>
      <c r="J238" s="295" t="s">
        <v>348</v>
      </c>
    </row>
    <row r="239" spans="1:10" s="38" customFormat="1" x14ac:dyDescent="0.25">
      <c r="A239" s="45" t="s">
        <v>206</v>
      </c>
      <c r="B239" s="78" t="str">
        <f>IF(ISBLANK(A239),"","T"&amp;COUNTA($A$200:A239))</f>
        <v>T36</v>
      </c>
      <c r="C239" s="212" t="s">
        <v>573</v>
      </c>
      <c r="D239" s="72" t="s">
        <v>91</v>
      </c>
      <c r="E239" s="231"/>
      <c r="F239" s="546">
        <v>300</v>
      </c>
      <c r="G239" s="546">
        <v>300</v>
      </c>
      <c r="H239" s="546">
        <v>300</v>
      </c>
      <c r="I239" s="546">
        <v>300</v>
      </c>
      <c r="J239" s="218" t="s">
        <v>574</v>
      </c>
    </row>
    <row r="240" spans="1:10" s="38" customFormat="1" ht="25.5" x14ac:dyDescent="0.25">
      <c r="A240" s="45" t="s">
        <v>206</v>
      </c>
      <c r="B240" s="78" t="str">
        <f>IF(ISBLANK(A240),"","T"&amp;COUNTA($A$200:A240))</f>
        <v>T37</v>
      </c>
      <c r="C240" s="212" t="s">
        <v>575</v>
      </c>
      <c r="D240" s="72" t="s">
        <v>91</v>
      </c>
      <c r="E240" s="71">
        <v>39</v>
      </c>
      <c r="F240" s="546">
        <v>62</v>
      </c>
      <c r="G240" s="546">
        <v>62</v>
      </c>
      <c r="H240" s="546">
        <v>62</v>
      </c>
      <c r="I240" s="546">
        <v>62</v>
      </c>
    </row>
    <row r="241" spans="1:10" s="38" customFormat="1" x14ac:dyDescent="0.25">
      <c r="A241" s="45" t="s">
        <v>206</v>
      </c>
      <c r="B241" s="78" t="str">
        <f>IF(ISBLANK(A241),"","T"&amp;COUNTA($A$200:A241))</f>
        <v>T38</v>
      </c>
      <c r="C241" s="212" t="s">
        <v>218</v>
      </c>
      <c r="D241" s="72" t="s">
        <v>83</v>
      </c>
      <c r="E241" s="71" t="s">
        <v>24</v>
      </c>
      <c r="F241" s="546">
        <v>1300</v>
      </c>
      <c r="G241" s="546">
        <v>1300</v>
      </c>
      <c r="H241" s="546">
        <v>1300</v>
      </c>
      <c r="I241" s="546">
        <v>1300</v>
      </c>
      <c r="J241" s="38" t="s">
        <v>349</v>
      </c>
    </row>
    <row r="242" spans="1:10" s="38" customFormat="1" x14ac:dyDescent="0.25">
      <c r="A242" s="45" t="s">
        <v>206</v>
      </c>
      <c r="B242" s="78" t="str">
        <f>IF(ISBLANK(A242),"","T"&amp;COUNTA($A$200:A242))</f>
        <v>T39</v>
      </c>
      <c r="C242" s="212" t="s">
        <v>576</v>
      </c>
      <c r="D242" s="72" t="s">
        <v>91</v>
      </c>
      <c r="E242" s="71">
        <v>40</v>
      </c>
      <c r="F242" s="546">
        <v>250</v>
      </c>
      <c r="G242" s="546">
        <v>250</v>
      </c>
      <c r="H242" s="546">
        <v>250</v>
      </c>
      <c r="I242" s="546">
        <v>250</v>
      </c>
    </row>
    <row r="243" spans="1:10" s="38" customFormat="1" x14ac:dyDescent="0.25">
      <c r="A243" s="45"/>
      <c r="B243" s="78" t="str">
        <f>IF(ISBLANK(A243),"","T"&amp;COUNTA($A$200:A243))</f>
        <v/>
      </c>
      <c r="C243" s="208" t="s">
        <v>224</v>
      </c>
      <c r="D243" s="72"/>
      <c r="E243" s="71"/>
      <c r="F243" s="4">
        <f>+F231</f>
        <v>2023</v>
      </c>
      <c r="G243" s="4">
        <f>F243+1</f>
        <v>2024</v>
      </c>
      <c r="H243" s="4">
        <f>G243+1</f>
        <v>2025</v>
      </c>
      <c r="I243" s="4">
        <f>H243+1</f>
        <v>2026</v>
      </c>
    </row>
    <row r="244" spans="1:10" s="38" customFormat="1" ht="30" x14ac:dyDescent="0.25">
      <c r="A244" s="45" t="s">
        <v>206</v>
      </c>
      <c r="B244" s="78" t="str">
        <f>IF(ISBLANK(A244),"","T"&amp;COUNTA($A$200:A244))</f>
        <v>T40</v>
      </c>
      <c r="C244" s="212" t="s">
        <v>225</v>
      </c>
      <c r="D244" s="72" t="s">
        <v>91</v>
      </c>
      <c r="E244" s="231">
        <v>6</v>
      </c>
      <c r="F244" s="546">
        <v>1300</v>
      </c>
      <c r="G244" s="546">
        <v>1300</v>
      </c>
      <c r="H244" s="546">
        <v>600</v>
      </c>
      <c r="I244" s="546">
        <v>500</v>
      </c>
      <c r="J244" s="295" t="s">
        <v>350</v>
      </c>
    </row>
    <row r="245" spans="1:10" s="38" customFormat="1" ht="45" x14ac:dyDescent="0.25">
      <c r="A245" s="45" t="s">
        <v>206</v>
      </c>
      <c r="B245" s="78" t="str">
        <f>IF(ISBLANK(A245),"","T"&amp;COUNTA($A$200:A245))</f>
        <v>T41</v>
      </c>
      <c r="C245" s="212" t="s">
        <v>226</v>
      </c>
      <c r="D245" s="72" t="s">
        <v>91</v>
      </c>
      <c r="E245" s="71">
        <v>16</v>
      </c>
      <c r="F245" s="546">
        <v>250</v>
      </c>
      <c r="G245" s="546">
        <v>250</v>
      </c>
      <c r="H245" s="546">
        <v>250</v>
      </c>
      <c r="I245" s="546">
        <v>250</v>
      </c>
      <c r="J245" s="295" t="s">
        <v>351</v>
      </c>
    </row>
    <row r="246" spans="1:10" s="38" customFormat="1" ht="45" x14ac:dyDescent="0.25">
      <c r="A246" s="45" t="s">
        <v>206</v>
      </c>
      <c r="B246" s="78" t="str">
        <f>IF(ISBLANK(A246),"","T"&amp;COUNTA($A$200:A246))</f>
        <v>T42</v>
      </c>
      <c r="C246" s="212" t="s">
        <v>227</v>
      </c>
      <c r="D246" s="72" t="s">
        <v>91</v>
      </c>
      <c r="E246" s="71">
        <v>19</v>
      </c>
      <c r="F246" s="546">
        <v>150</v>
      </c>
      <c r="G246" s="546">
        <v>150</v>
      </c>
      <c r="H246" s="546">
        <v>150</v>
      </c>
      <c r="I246" s="546">
        <v>150</v>
      </c>
      <c r="J246" s="295" t="s">
        <v>351</v>
      </c>
    </row>
    <row r="247" spans="1:10" s="38" customFormat="1" ht="30" x14ac:dyDescent="0.25">
      <c r="A247" s="45" t="s">
        <v>206</v>
      </c>
      <c r="B247" s="78" t="str">
        <f>IF(ISBLANK(A247),"","T"&amp;COUNTA($A$200:A247))</f>
        <v>T43</v>
      </c>
      <c r="C247" s="212" t="s">
        <v>577</v>
      </c>
      <c r="D247" s="72" t="s">
        <v>91</v>
      </c>
      <c r="E247" s="71">
        <v>22</v>
      </c>
      <c r="F247" s="546">
        <v>300</v>
      </c>
      <c r="G247" s="546">
        <v>300</v>
      </c>
      <c r="H247" s="546">
        <v>300</v>
      </c>
      <c r="I247" s="546">
        <v>300</v>
      </c>
      <c r="J247" s="295" t="s">
        <v>578</v>
      </c>
    </row>
    <row r="248" spans="1:10" s="38" customFormat="1" ht="30" x14ac:dyDescent="0.25">
      <c r="A248" s="45" t="s">
        <v>206</v>
      </c>
      <c r="B248" s="78" t="str">
        <f>IF(ISBLANK(A248),"","T"&amp;COUNTA($A$200:A248))</f>
        <v>T44</v>
      </c>
      <c r="C248" s="212" t="s">
        <v>579</v>
      </c>
      <c r="D248" s="72" t="s">
        <v>91</v>
      </c>
      <c r="E248" s="71">
        <v>27</v>
      </c>
      <c r="F248" s="546">
        <v>80</v>
      </c>
      <c r="G248" s="546">
        <v>80</v>
      </c>
      <c r="H248" s="546">
        <v>80</v>
      </c>
      <c r="I248" s="546">
        <v>80</v>
      </c>
      <c r="J248" s="295" t="s">
        <v>580</v>
      </c>
    </row>
    <row r="249" spans="1:10" s="38" customFormat="1" x14ac:dyDescent="0.25">
      <c r="A249" s="45" t="s">
        <v>206</v>
      </c>
      <c r="B249" s="78" t="str">
        <f>IF(ISBLANK(A249),"","T"&amp;COUNTA($A$200:A249))</f>
        <v>T45</v>
      </c>
      <c r="C249" s="212" t="s">
        <v>581</v>
      </c>
      <c r="D249" s="72" t="s">
        <v>91</v>
      </c>
      <c r="E249" s="71">
        <v>34</v>
      </c>
      <c r="F249" s="546">
        <v>200</v>
      </c>
      <c r="G249" s="546">
        <v>200</v>
      </c>
      <c r="H249" s="546">
        <v>200</v>
      </c>
      <c r="I249" s="546">
        <v>200</v>
      </c>
      <c r="J249" s="38" t="s">
        <v>582</v>
      </c>
    </row>
    <row r="250" spans="1:10" s="38" customFormat="1" ht="45" x14ac:dyDescent="0.25">
      <c r="A250" s="45" t="s">
        <v>206</v>
      </c>
      <c r="B250" s="78" t="str">
        <f>IF(ISBLANK(A250),"","T"&amp;COUNTA($A$200:A250))</f>
        <v>T46</v>
      </c>
      <c r="C250" s="212" t="s">
        <v>583</v>
      </c>
      <c r="D250" s="72" t="s">
        <v>91</v>
      </c>
      <c r="E250" s="231">
        <v>35</v>
      </c>
      <c r="F250" s="546">
        <v>150</v>
      </c>
      <c r="G250" s="546">
        <v>150</v>
      </c>
      <c r="H250" s="546">
        <v>150</v>
      </c>
      <c r="I250" s="546">
        <v>150</v>
      </c>
      <c r="J250" s="295" t="s">
        <v>584</v>
      </c>
    </row>
    <row r="251" spans="1:10" s="38" customFormat="1" x14ac:dyDescent="0.25">
      <c r="A251" s="45"/>
      <c r="B251" s="78" t="str">
        <f>IF(ISBLANK(A251),"","T"&amp;COUNTA($A$200:A251))</f>
        <v/>
      </c>
      <c r="C251" s="208" t="s">
        <v>228</v>
      </c>
      <c r="D251" s="72"/>
      <c r="E251" s="71"/>
      <c r="F251" s="4">
        <f>+F243</f>
        <v>2023</v>
      </c>
      <c r="G251" s="4">
        <f>F251+1</f>
        <v>2024</v>
      </c>
      <c r="H251" s="4">
        <f>G251+1</f>
        <v>2025</v>
      </c>
      <c r="I251" s="4">
        <f>H251+1</f>
        <v>2026</v>
      </c>
    </row>
    <row r="252" spans="1:10" s="38" customFormat="1" x14ac:dyDescent="0.25">
      <c r="A252" s="45" t="s">
        <v>206</v>
      </c>
      <c r="B252" s="78" t="str">
        <f>IF(ISBLANK(A252),"","T"&amp;COUNTA($A$200:A252))</f>
        <v>T47</v>
      </c>
      <c r="C252" s="84" t="s">
        <v>585</v>
      </c>
      <c r="D252" s="72" t="s">
        <v>91</v>
      </c>
      <c r="E252" s="71">
        <v>17</v>
      </c>
      <c r="F252" s="217">
        <v>800</v>
      </c>
      <c r="G252" s="217">
        <v>800</v>
      </c>
      <c r="H252" s="217">
        <v>800</v>
      </c>
      <c r="I252" s="217">
        <v>800</v>
      </c>
    </row>
    <row r="253" spans="1:10" s="38" customFormat="1" x14ac:dyDescent="0.25">
      <c r="A253" s="45" t="s">
        <v>206</v>
      </c>
      <c r="B253" s="78" t="str">
        <f>IF(ISBLANK(A253),"","T"&amp;COUNTA($A$200:A253))</f>
        <v>T48</v>
      </c>
      <c r="C253" s="385" t="s">
        <v>586</v>
      </c>
      <c r="D253" s="72" t="s">
        <v>91</v>
      </c>
      <c r="E253" s="71">
        <v>20</v>
      </c>
      <c r="F253" s="547">
        <v>1000</v>
      </c>
      <c r="G253" s="547">
        <v>1000</v>
      </c>
      <c r="H253" s="547">
        <v>1000</v>
      </c>
      <c r="I253" s="547">
        <v>1000</v>
      </c>
    </row>
    <row r="254" spans="1:10" s="38" customFormat="1" x14ac:dyDescent="0.25">
      <c r="A254" s="45" t="s">
        <v>206</v>
      </c>
      <c r="B254" s="78" t="str">
        <f>IF(ISBLANK(A254),"","T"&amp;COUNTA($A$200:A254))</f>
        <v>T49</v>
      </c>
      <c r="C254" s="385" t="s">
        <v>587</v>
      </c>
      <c r="D254" s="72" t="s">
        <v>91</v>
      </c>
      <c r="E254" s="111">
        <v>23</v>
      </c>
      <c r="F254" s="547">
        <v>500</v>
      </c>
      <c r="G254" s="547">
        <v>500</v>
      </c>
      <c r="H254" s="547"/>
      <c r="I254" s="547"/>
    </row>
    <row r="255" spans="1:10" s="38" customFormat="1" x14ac:dyDescent="0.25">
      <c r="A255" s="45" t="s">
        <v>206</v>
      </c>
      <c r="B255" s="78" t="str">
        <f>IF(ISBLANK(A255),"","T"&amp;COUNTA($A$200:A255))</f>
        <v>T50</v>
      </c>
      <c r="C255" s="385" t="s">
        <v>588</v>
      </c>
      <c r="D255" s="72" t="s">
        <v>91</v>
      </c>
      <c r="E255" s="400"/>
      <c r="F255" s="547">
        <v>1000</v>
      </c>
      <c r="G255" s="547">
        <v>500</v>
      </c>
      <c r="H255" s="547"/>
      <c r="I255" s="547"/>
      <c r="J255" s="38" t="s">
        <v>589</v>
      </c>
    </row>
    <row r="256" spans="1:10" s="38" customFormat="1" x14ac:dyDescent="0.25">
      <c r="A256" s="45" t="s">
        <v>206</v>
      </c>
      <c r="B256" s="78" t="str">
        <f>IF(ISBLANK(A256),"","T"&amp;COUNTA($A$200:A256))</f>
        <v>T51</v>
      </c>
      <c r="C256" s="385" t="s">
        <v>590</v>
      </c>
      <c r="D256" s="72" t="s">
        <v>91</v>
      </c>
      <c r="E256" s="111">
        <v>28</v>
      </c>
      <c r="F256" s="547">
        <v>1000</v>
      </c>
      <c r="G256" s="547">
        <v>1000</v>
      </c>
      <c r="H256" s="547">
        <v>1000</v>
      </c>
      <c r="I256" s="547">
        <v>1000</v>
      </c>
    </row>
    <row r="257" spans="1:10" s="38" customFormat="1" x14ac:dyDescent="0.25">
      <c r="A257" s="45" t="s">
        <v>206</v>
      </c>
      <c r="B257" s="78" t="str">
        <f>IF(ISBLANK(A257),"","T"&amp;COUNTA($A$200:A257))</f>
        <v>T52</v>
      </c>
      <c r="C257" s="385" t="s">
        <v>591</v>
      </c>
      <c r="D257" s="214" t="s">
        <v>91</v>
      </c>
      <c r="E257" s="111">
        <v>36</v>
      </c>
      <c r="F257" s="547">
        <f>1600*0.65</f>
        <v>1040</v>
      </c>
      <c r="G257" s="547">
        <f t="shared" ref="G257:I257" si="6">1600*0.65</f>
        <v>1040</v>
      </c>
      <c r="H257" s="547">
        <f t="shared" si="6"/>
        <v>1040</v>
      </c>
      <c r="I257" s="547">
        <f t="shared" si="6"/>
        <v>1040</v>
      </c>
      <c r="J257" s="38" t="s">
        <v>592</v>
      </c>
    </row>
    <row r="258" spans="1:10" s="38" customFormat="1" x14ac:dyDescent="0.25">
      <c r="A258" s="45" t="s">
        <v>206</v>
      </c>
      <c r="B258" s="78" t="str">
        <f>IF(ISBLANK(A258),"","T"&amp;COUNTA($A$200:A258))</f>
        <v>T53</v>
      </c>
      <c r="C258" s="385" t="s">
        <v>593</v>
      </c>
      <c r="D258" s="214" t="s">
        <v>91</v>
      </c>
      <c r="E258" s="111">
        <v>42</v>
      </c>
      <c r="F258" s="547">
        <f>1300*0.65</f>
        <v>845</v>
      </c>
      <c r="G258" s="547">
        <f t="shared" ref="G258:I258" si="7">1300*0.65</f>
        <v>845</v>
      </c>
      <c r="H258" s="547">
        <f t="shared" si="7"/>
        <v>845</v>
      </c>
      <c r="I258" s="547">
        <f t="shared" si="7"/>
        <v>845</v>
      </c>
      <c r="J258" s="38" t="s">
        <v>592</v>
      </c>
    </row>
    <row r="259" spans="1:10" s="38" customFormat="1" x14ac:dyDescent="0.25">
      <c r="A259" s="45" t="s">
        <v>206</v>
      </c>
      <c r="B259" s="78" t="str">
        <f>IF(ISBLANK(A259),"","T"&amp;COUNTA($A$200:A259))</f>
        <v>T54</v>
      </c>
      <c r="C259" s="385" t="s">
        <v>442</v>
      </c>
      <c r="D259" s="214" t="s">
        <v>91</v>
      </c>
      <c r="E259" s="400">
        <v>5</v>
      </c>
      <c r="F259" s="547">
        <v>1000</v>
      </c>
      <c r="G259" s="547">
        <v>1000</v>
      </c>
      <c r="H259" s="547">
        <v>1000</v>
      </c>
      <c r="I259" s="547">
        <v>1000</v>
      </c>
    </row>
    <row r="260" spans="1:10" s="38" customFormat="1" x14ac:dyDescent="0.25">
      <c r="A260" s="45"/>
      <c r="B260" s="78"/>
      <c r="C260" s="212"/>
      <c r="D260" s="214"/>
      <c r="E260" s="111"/>
      <c r="F260" s="217"/>
      <c r="G260" s="217"/>
      <c r="H260" s="217"/>
      <c r="I260" s="217"/>
    </row>
    <row r="261" spans="1:10" s="38" customFormat="1" x14ac:dyDescent="0.25">
      <c r="A261" s="43"/>
      <c r="B261" s="43" t="s">
        <v>127</v>
      </c>
      <c r="C261" s="3" t="s">
        <v>230</v>
      </c>
      <c r="D261" s="52"/>
      <c r="E261" s="52"/>
      <c r="F261" s="56">
        <f>SUMIF($A:$A,"byte",F:F)</f>
        <v>46756</v>
      </c>
      <c r="G261" s="56">
        <f>SUMIF($A:$A,"byte",G:G)</f>
        <v>42491</v>
      </c>
      <c r="H261" s="56">
        <f>SUMIF($A:$A,"byte",H:H)</f>
        <v>25201</v>
      </c>
      <c r="I261" s="56">
        <f>SUMIF($A:$A,"byte",I:I)</f>
        <v>26911</v>
      </c>
    </row>
    <row r="262" spans="1:10" s="38" customFormat="1" x14ac:dyDescent="0.25">
      <c r="A262"/>
      <c r="B262" s="78"/>
      <c r="C262"/>
      <c r="D262"/>
      <c r="E262"/>
      <c r="F262"/>
      <c r="G262"/>
      <c r="H262"/>
      <c r="I262"/>
    </row>
    <row r="263" spans="1:10" s="38" customFormat="1" x14ac:dyDescent="0.25">
      <c r="A263" s="78"/>
      <c r="B263" s="78"/>
      <c r="C263" s="208" t="s">
        <v>231</v>
      </c>
      <c r="D263" s="72"/>
      <c r="E263" s="71"/>
      <c r="F263" s="4">
        <f>F231</f>
        <v>2023</v>
      </c>
      <c r="G263" s="4">
        <f>F263+1</f>
        <v>2024</v>
      </c>
      <c r="H263" s="4">
        <f>G263+1</f>
        <v>2025</v>
      </c>
      <c r="I263" s="4">
        <f>H263+1</f>
        <v>2026</v>
      </c>
    </row>
    <row r="264" spans="1:10" s="38" customFormat="1" x14ac:dyDescent="0.25">
      <c r="A264" s="78" t="s">
        <v>232</v>
      </c>
      <c r="B264" s="78" t="str">
        <f>IF(ISBLANK(A264),"","O"&amp;COUNTA($A$264:A264))</f>
        <v>O1</v>
      </c>
      <c r="C264" s="84" t="s">
        <v>233</v>
      </c>
      <c r="D264" s="72" t="s">
        <v>89</v>
      </c>
      <c r="E264" s="71" t="s">
        <v>84</v>
      </c>
      <c r="F264" s="70"/>
      <c r="G264" s="70">
        <v>5000</v>
      </c>
      <c r="H264" s="70">
        <v>10000</v>
      </c>
      <c r="I264" s="70">
        <v>10000</v>
      </c>
    </row>
    <row r="265" spans="1:10" s="38" customFormat="1" x14ac:dyDescent="0.25">
      <c r="A265" s="78" t="s">
        <v>232</v>
      </c>
      <c r="B265" s="78" t="str">
        <f>IF(ISBLANK(A265),"","O"&amp;COUNTA($A$264:A265))</f>
        <v>O2</v>
      </c>
      <c r="C265" s="84" t="s">
        <v>234</v>
      </c>
      <c r="D265" s="72" t="s">
        <v>89</v>
      </c>
      <c r="E265" s="71" t="s">
        <v>84</v>
      </c>
      <c r="F265" s="70"/>
      <c r="G265" s="70">
        <v>-6400</v>
      </c>
      <c r="H265" s="70">
        <v>-6400</v>
      </c>
      <c r="I265" s="70">
        <v>-6400</v>
      </c>
    </row>
    <row r="266" spans="1:10" s="38" customFormat="1" x14ac:dyDescent="0.25">
      <c r="A266" s="78" t="s">
        <v>232</v>
      </c>
      <c r="B266" s="78" t="str">
        <f>IF(ISBLANK(A266),"","O"&amp;COUNTA($A$264:A266))</f>
        <v>O3</v>
      </c>
      <c r="C266" s="84" t="s">
        <v>594</v>
      </c>
      <c r="D266" s="72" t="s">
        <v>91</v>
      </c>
      <c r="E266" s="414" t="s">
        <v>488</v>
      </c>
      <c r="F266" s="70">
        <v>150</v>
      </c>
      <c r="G266" s="70">
        <v>150</v>
      </c>
      <c r="H266" s="70">
        <v>150</v>
      </c>
      <c r="I266" s="70">
        <v>150</v>
      </c>
      <c r="J266" s="586"/>
    </row>
    <row r="267" spans="1:10" s="38" customFormat="1" ht="25.5" x14ac:dyDescent="0.25">
      <c r="A267" s="78" t="s">
        <v>232</v>
      </c>
      <c r="B267" s="78" t="str">
        <f>IF(ISBLANK(A267),"","O"&amp;COUNTA($A$264:A267))</f>
        <v>O4</v>
      </c>
      <c r="C267" s="84" t="s">
        <v>595</v>
      </c>
      <c r="D267" s="72" t="s">
        <v>91</v>
      </c>
      <c r="E267" s="231">
        <v>2</v>
      </c>
      <c r="F267" s="70">
        <v>0</v>
      </c>
      <c r="G267" s="70">
        <v>900</v>
      </c>
      <c r="H267" s="70">
        <v>1800</v>
      </c>
      <c r="I267" s="70">
        <f>H267</f>
        <v>1800</v>
      </c>
      <c r="J267" s="38" t="s">
        <v>596</v>
      </c>
    </row>
    <row r="268" spans="1:10" s="38" customFormat="1" x14ac:dyDescent="0.25">
      <c r="A268" s="78" t="s">
        <v>232</v>
      </c>
      <c r="B268" s="78" t="str">
        <f>IF(ISBLANK(A268),"","O"&amp;COUNTA($A$264:A268))</f>
        <v>O5</v>
      </c>
      <c r="C268" s="84" t="s">
        <v>466</v>
      </c>
      <c r="D268" s="72" t="s">
        <v>91</v>
      </c>
      <c r="E268" s="231">
        <v>1</v>
      </c>
      <c r="F268" s="70">
        <v>1400</v>
      </c>
      <c r="G268" s="70">
        <v>1400</v>
      </c>
      <c r="H268" s="70">
        <v>1400</v>
      </c>
      <c r="I268" s="70">
        <v>1400</v>
      </c>
    </row>
    <row r="269" spans="1:10" s="38" customFormat="1" x14ac:dyDescent="0.25">
      <c r="A269" s="78" t="s">
        <v>232</v>
      </c>
      <c r="B269" s="78" t="str">
        <f>IF(ISBLANK(A269),"","O"&amp;COUNTA($A$264:A269))</f>
        <v>O6</v>
      </c>
      <c r="C269" s="84" t="s">
        <v>597</v>
      </c>
      <c r="D269" s="72" t="s">
        <v>91</v>
      </c>
      <c r="E269" s="414" t="s">
        <v>488</v>
      </c>
      <c r="F269" s="70">
        <v>500</v>
      </c>
      <c r="G269" s="70">
        <v>500</v>
      </c>
      <c r="H269" s="70">
        <v>500</v>
      </c>
      <c r="I269" s="70">
        <v>500</v>
      </c>
      <c r="J269" s="585" t="s">
        <v>598</v>
      </c>
    </row>
    <row r="270" spans="1:10" s="38" customFormat="1" x14ac:dyDescent="0.25">
      <c r="A270" s="78" t="s">
        <v>232</v>
      </c>
      <c r="B270" s="78" t="str">
        <f>IF(ISBLANK(A270),"","O"&amp;COUNTA($A$264:A270))</f>
        <v>O7</v>
      </c>
      <c r="C270" s="84" t="s">
        <v>599</v>
      </c>
      <c r="D270" s="72" t="s">
        <v>91</v>
      </c>
      <c r="E270" s="414" t="s">
        <v>488</v>
      </c>
      <c r="F270" s="70">
        <v>300</v>
      </c>
      <c r="G270" s="70">
        <v>300</v>
      </c>
      <c r="H270" s="70">
        <v>300</v>
      </c>
      <c r="I270" s="70">
        <v>300</v>
      </c>
      <c r="J270" s="586"/>
    </row>
    <row r="271" spans="1:10" s="38" customFormat="1" x14ac:dyDescent="0.25">
      <c r="A271" s="78" t="s">
        <v>232</v>
      </c>
      <c r="B271" s="78" t="str">
        <f>IF(ISBLANK(A271),"","O"&amp;COUNTA($A$264:A271))</f>
        <v>O8</v>
      </c>
      <c r="C271" s="84" t="s">
        <v>445</v>
      </c>
      <c r="D271" s="72" t="s">
        <v>91</v>
      </c>
      <c r="E271" s="231" t="s">
        <v>24</v>
      </c>
      <c r="F271" s="70">
        <v>1200</v>
      </c>
      <c r="G271" s="70">
        <v>1200</v>
      </c>
      <c r="H271" s="70">
        <v>1200</v>
      </c>
      <c r="I271" s="70">
        <v>1200</v>
      </c>
    </row>
    <row r="272" spans="1:10" s="38" customFormat="1" x14ac:dyDescent="0.25">
      <c r="A272" s="78" t="s">
        <v>232</v>
      </c>
      <c r="B272" s="78" t="str">
        <f>IF(ISBLANK(A272),"","O"&amp;COUNTA($A$264:A272))</f>
        <v>O9</v>
      </c>
      <c r="C272" s="84" t="s">
        <v>600</v>
      </c>
      <c r="D272" s="72" t="s">
        <v>91</v>
      </c>
      <c r="E272" s="414"/>
      <c r="F272" s="287">
        <v>150</v>
      </c>
      <c r="G272" s="287">
        <v>150</v>
      </c>
      <c r="H272" s="287">
        <v>150</v>
      </c>
      <c r="I272" s="287">
        <v>150</v>
      </c>
      <c r="J272" s="586"/>
    </row>
    <row r="273" spans="1:10" s="38" customFormat="1" x14ac:dyDescent="0.25">
      <c r="A273" s="78" t="s">
        <v>232</v>
      </c>
      <c r="B273" s="78" t="str">
        <f>IF(ISBLANK(A273),"","O"&amp;COUNTA($A$264:A273))</f>
        <v>O10</v>
      </c>
      <c r="C273" s="599" t="s">
        <v>477</v>
      </c>
      <c r="D273" s="596" t="s">
        <v>91</v>
      </c>
      <c r="E273" s="600"/>
      <c r="F273" s="601">
        <v>600</v>
      </c>
      <c r="G273" s="601">
        <v>600</v>
      </c>
      <c r="H273" s="601">
        <v>600</v>
      </c>
      <c r="I273" s="601">
        <v>600</v>
      </c>
      <c r="J273" s="38" t="s">
        <v>478</v>
      </c>
    </row>
    <row r="274" spans="1:10" s="38" customFormat="1" x14ac:dyDescent="0.25">
      <c r="A274" s="43"/>
      <c r="B274" s="43" t="s">
        <v>127</v>
      </c>
      <c r="C274" s="3" t="s">
        <v>240</v>
      </c>
      <c r="D274" s="52"/>
      <c r="E274" s="52"/>
      <c r="F274" s="56">
        <f>SUMIF($A:$A,"ORG",F:F)</f>
        <v>4300</v>
      </c>
      <c r="G274" s="56">
        <f>SUMIF($A:$A,"ORG",G:G)</f>
        <v>3800</v>
      </c>
      <c r="H274" s="56">
        <f>SUMIF($A:$A,"ORG",H:H)</f>
        <v>9700</v>
      </c>
      <c r="I274" s="56">
        <f>SUMIF($A:$A,"ORG",I:I)</f>
        <v>9700</v>
      </c>
    </row>
    <row r="275" spans="1:10" s="38" customFormat="1" x14ac:dyDescent="0.25">
      <c r="A275" s="47"/>
      <c r="B275" s="78"/>
      <c r="C275" s="11"/>
      <c r="D275" s="49"/>
      <c r="E275" s="49"/>
      <c r="F275" s="57"/>
      <c r="G275" s="57"/>
      <c r="H275" s="57"/>
      <c r="I275" s="57"/>
    </row>
    <row r="276" spans="1:10" s="38" customFormat="1" x14ac:dyDescent="0.25">
      <c r="A276" s="48"/>
      <c r="B276" s="78"/>
      <c r="C276" s="13" t="s">
        <v>241</v>
      </c>
      <c r="D276" s="50"/>
      <c r="E276" s="61"/>
      <c r="F276" s="4">
        <f>F263</f>
        <v>2023</v>
      </c>
      <c r="G276" s="4">
        <f>F276+1</f>
        <v>2024</v>
      </c>
      <c r="H276" s="4">
        <f>G276+1</f>
        <v>2025</v>
      </c>
      <c r="I276" s="4">
        <f>H276+1</f>
        <v>2026</v>
      </c>
    </row>
    <row r="277" spans="1:10" s="38" customFormat="1" x14ac:dyDescent="0.25">
      <c r="A277" s="45" t="s">
        <v>242</v>
      </c>
      <c r="B277" s="78" t="str">
        <f>IF(ISBLANK(A277),"","Ø"&amp;COUNTA($A$277:A277))</f>
        <v>Ø1</v>
      </c>
      <c r="C277" s="346" t="s">
        <v>447</v>
      </c>
      <c r="D277" s="72" t="s">
        <v>91</v>
      </c>
      <c r="E277" s="71">
        <v>1</v>
      </c>
      <c r="F277" s="70">
        <v>1400</v>
      </c>
      <c r="G277" s="70">
        <v>1400</v>
      </c>
      <c r="H277" s="70">
        <v>1400</v>
      </c>
      <c r="I277" s="70">
        <v>1400</v>
      </c>
    </row>
    <row r="278" spans="1:10" s="38" customFormat="1" x14ac:dyDescent="0.25">
      <c r="A278" s="45" t="s">
        <v>242</v>
      </c>
      <c r="B278" s="78" t="str">
        <f>IF(ISBLANK(A278),"","Ø"&amp;COUNTA($A$277:A278))</f>
        <v>Ø2</v>
      </c>
      <c r="C278" s="347" t="s">
        <v>601</v>
      </c>
      <c r="D278" s="72" t="s">
        <v>91</v>
      </c>
      <c r="E278" s="71">
        <v>2</v>
      </c>
      <c r="F278" s="70">
        <v>225</v>
      </c>
      <c r="G278" s="70">
        <v>225</v>
      </c>
      <c r="H278" s="70">
        <v>225</v>
      </c>
      <c r="I278" s="70">
        <v>225</v>
      </c>
    </row>
    <row r="279" spans="1:10" s="38" customFormat="1" ht="30" x14ac:dyDescent="0.25">
      <c r="A279" s="45" t="s">
        <v>242</v>
      </c>
      <c r="B279" s="78" t="str">
        <f>IF(ISBLANK(A279),"","Ø"&amp;COUNTA($A$277:A279))</f>
        <v>Ø3</v>
      </c>
      <c r="C279" s="347" t="s">
        <v>602</v>
      </c>
      <c r="D279" s="72" t="s">
        <v>91</v>
      </c>
      <c r="E279" s="71">
        <v>3</v>
      </c>
      <c r="F279" s="70">
        <v>210</v>
      </c>
      <c r="G279" s="70">
        <v>210</v>
      </c>
      <c r="H279" s="70">
        <v>210</v>
      </c>
      <c r="I279" s="70">
        <v>210</v>
      </c>
    </row>
    <row r="280" spans="1:10" s="38" customFormat="1" x14ac:dyDescent="0.25">
      <c r="A280" s="45" t="s">
        <v>242</v>
      </c>
      <c r="B280" s="78" t="str">
        <f>IF(ISBLANK(A280),"","Ø"&amp;COUNTA($A$277:A280))</f>
        <v>Ø4</v>
      </c>
      <c r="C280" s="347" t="s">
        <v>245</v>
      </c>
      <c r="D280" s="72" t="s">
        <v>91</v>
      </c>
      <c r="E280" s="71">
        <v>1</v>
      </c>
      <c r="F280" s="69">
        <f>1600-1600</f>
        <v>0</v>
      </c>
      <c r="G280" s="70">
        <v>1600</v>
      </c>
      <c r="H280" s="70">
        <v>1600</v>
      </c>
      <c r="I280" s="70">
        <v>1600</v>
      </c>
      <c r="J280" s="38" t="s">
        <v>467</v>
      </c>
    </row>
    <row r="281" spans="1:10" s="38" customFormat="1" x14ac:dyDescent="0.25">
      <c r="A281" s="45" t="s">
        <v>242</v>
      </c>
      <c r="B281" s="78" t="str">
        <f>IF(ISBLANK(A281),"","Ø"&amp;COUNTA($A$277:A281))</f>
        <v>Ø5</v>
      </c>
      <c r="C281" s="347" t="s">
        <v>382</v>
      </c>
      <c r="D281" s="72" t="s">
        <v>91</v>
      </c>
      <c r="E281" s="71">
        <v>1</v>
      </c>
      <c r="F281" s="70"/>
      <c r="G281" s="70"/>
      <c r="H281" s="70"/>
      <c r="I281" s="70"/>
      <c r="J281" s="38" t="s">
        <v>383</v>
      </c>
    </row>
    <row r="282" spans="1:10" s="38" customFormat="1" x14ac:dyDescent="0.25">
      <c r="A282" s="45" t="s">
        <v>242</v>
      </c>
      <c r="B282" s="78" t="str">
        <f>IF(ISBLANK(A282),"","Ø"&amp;COUNTA($A$277:A282))</f>
        <v>Ø6</v>
      </c>
      <c r="C282" s="603" t="s">
        <v>477</v>
      </c>
      <c r="D282" s="596" t="s">
        <v>91</v>
      </c>
      <c r="E282" s="597"/>
      <c r="F282" s="610">
        <v>600</v>
      </c>
      <c r="G282" s="610">
        <v>600</v>
      </c>
      <c r="H282" s="610">
        <v>600</v>
      </c>
      <c r="I282" s="610">
        <v>600</v>
      </c>
      <c r="J282" s="38" t="s">
        <v>478</v>
      </c>
    </row>
    <row r="283" spans="1:10" s="38" customFormat="1" x14ac:dyDescent="0.25">
      <c r="A283" s="45" t="s">
        <v>242</v>
      </c>
      <c r="B283" s="78" t="str">
        <f>IF(ISBLANK(A283),"","Ø"&amp;COUNTA($A$277:A283))</f>
        <v>Ø7</v>
      </c>
      <c r="C283" s="347"/>
      <c r="D283" s="72"/>
      <c r="E283" s="71"/>
      <c r="F283" s="70"/>
      <c r="G283" s="70"/>
      <c r="H283" s="70"/>
      <c r="I283" s="70"/>
    </row>
    <row r="284" spans="1:10" s="38" customFormat="1" x14ac:dyDescent="0.25">
      <c r="A284" s="45" t="s">
        <v>242</v>
      </c>
      <c r="B284" s="78" t="str">
        <f>IF(ISBLANK(A284),"","Ø"&amp;COUNTA($A$277:A284))</f>
        <v>Ø8</v>
      </c>
      <c r="C284" s="347"/>
      <c r="D284" s="72"/>
      <c r="E284" s="71"/>
      <c r="F284" s="70"/>
      <c r="G284" s="70"/>
      <c r="H284" s="70"/>
      <c r="I284" s="70"/>
    </row>
    <row r="285" spans="1:10" s="38" customFormat="1" x14ac:dyDescent="0.25">
      <c r="A285" s="43"/>
      <c r="B285" s="43" t="s">
        <v>127</v>
      </c>
      <c r="C285" s="3" t="s">
        <v>248</v>
      </c>
      <c r="D285" s="52"/>
      <c r="E285" s="52"/>
      <c r="F285" s="56">
        <f>SUMIF($A:$A,"ØK",F:F)</f>
        <v>2435</v>
      </c>
      <c r="G285" s="56">
        <f>SUMIF($A:$A,"ØK",G:G)</f>
        <v>4035</v>
      </c>
      <c r="H285" s="56">
        <f>SUMIF($A:$A,"ØK",H:H)</f>
        <v>4035</v>
      </c>
      <c r="I285" s="56">
        <f>SUMIF($A:$A,"ØK",I:I)</f>
        <v>4035</v>
      </c>
    </row>
    <row r="286" spans="1:10" s="38" customFormat="1" x14ac:dyDescent="0.25">
      <c r="A286" s="47"/>
      <c r="B286" s="78"/>
      <c r="C286" s="11"/>
      <c r="D286" s="49"/>
      <c r="E286" s="49"/>
      <c r="F286" s="57"/>
      <c r="G286" s="57"/>
      <c r="H286" s="57"/>
      <c r="I286" s="57"/>
    </row>
    <row r="287" spans="1:10" s="38" customFormat="1" ht="30" x14ac:dyDescent="0.25">
      <c r="A287" s="48"/>
      <c r="B287" s="78"/>
      <c r="C287" s="13" t="s">
        <v>249</v>
      </c>
      <c r="D287" s="50"/>
      <c r="E287" s="61"/>
      <c r="F287" s="58"/>
      <c r="G287" s="58"/>
      <c r="H287" s="58"/>
      <c r="I287" s="58"/>
    </row>
    <row r="288" spans="1:10" s="38" customFormat="1" x14ac:dyDescent="0.25">
      <c r="A288" s="249"/>
      <c r="B288" s="78"/>
      <c r="C288" s="82" t="s">
        <v>250</v>
      </c>
      <c r="D288" s="83"/>
      <c r="E288" s="71"/>
      <c r="F288" s="4">
        <f>F276</f>
        <v>2023</v>
      </c>
      <c r="G288" s="4">
        <f>F288+1</f>
        <v>2024</v>
      </c>
      <c r="H288" s="4">
        <f>G288+1</f>
        <v>2025</v>
      </c>
      <c r="I288" s="4">
        <f>H288+1</f>
        <v>2026</v>
      </c>
    </row>
    <row r="289" spans="1:11" s="38" customFormat="1" x14ac:dyDescent="0.25">
      <c r="A289" s="72" t="s">
        <v>251</v>
      </c>
      <c r="B289" s="78" t="str">
        <f>IF(ISBLANK(A289),"","F"&amp;COUNTA($A$289:A289))</f>
        <v>F1</v>
      </c>
      <c r="C289" s="245" t="s">
        <v>450</v>
      </c>
      <c r="D289" s="79" t="s">
        <v>91</v>
      </c>
      <c r="E289" s="71" t="s">
        <v>24</v>
      </c>
      <c r="F289" s="191">
        <v>150</v>
      </c>
      <c r="G289" s="191">
        <v>150</v>
      </c>
      <c r="H289" s="191">
        <v>150</v>
      </c>
      <c r="I289" s="191">
        <v>150</v>
      </c>
    </row>
    <row r="290" spans="1:11" s="38" customFormat="1" x14ac:dyDescent="0.25">
      <c r="A290" s="72" t="s">
        <v>251</v>
      </c>
      <c r="B290" s="78" t="str">
        <f>IF(ISBLANK(A290),"","F"&amp;COUNTA($A$289:A290))</f>
        <v>F2</v>
      </c>
      <c r="C290" s="602" t="s">
        <v>477</v>
      </c>
      <c r="D290" s="594" t="s">
        <v>91</v>
      </c>
      <c r="E290" s="597"/>
      <c r="F290" s="610">
        <v>600</v>
      </c>
      <c r="G290" s="610">
        <v>600</v>
      </c>
      <c r="H290" s="610">
        <v>600</v>
      </c>
      <c r="I290" s="610">
        <v>600</v>
      </c>
      <c r="J290" s="38" t="s">
        <v>478</v>
      </c>
    </row>
    <row r="291" spans="1:11" s="38" customFormat="1" x14ac:dyDescent="0.25">
      <c r="A291" s="72"/>
      <c r="B291" s="78" t="str">
        <f>IF(ISBLANK(A291),"","F"&amp;COUNTA($A$289:A291))</f>
        <v/>
      </c>
      <c r="C291" s="82" t="s">
        <v>257</v>
      </c>
      <c r="D291" s="83"/>
      <c r="E291" s="71"/>
      <c r="F291" s="300">
        <f>F288</f>
        <v>2023</v>
      </c>
      <c r="G291" s="300">
        <f>F291+1</f>
        <v>2024</v>
      </c>
      <c r="H291" s="300">
        <f>G291+1</f>
        <v>2025</v>
      </c>
      <c r="I291" s="300">
        <f>H291+1</f>
        <v>2026</v>
      </c>
    </row>
    <row r="292" spans="1:11" s="38" customFormat="1" x14ac:dyDescent="0.25">
      <c r="A292" s="72" t="s">
        <v>251</v>
      </c>
      <c r="B292" s="78" t="str">
        <f>IF(ISBLANK(A292),"","F"&amp;COUNTA($A$289:A292))</f>
        <v>F3</v>
      </c>
      <c r="C292" s="84" t="s">
        <v>384</v>
      </c>
      <c r="D292" s="72" t="s">
        <v>89</v>
      </c>
      <c r="E292" s="71" t="s">
        <v>84</v>
      </c>
      <c r="F292" s="605">
        <v>-128</v>
      </c>
      <c r="G292" s="605">
        <v>-218</v>
      </c>
      <c r="H292" s="605">
        <v>-359</v>
      </c>
      <c r="I292" s="605">
        <v>-359</v>
      </c>
      <c r="J292" s="144" t="s">
        <v>603</v>
      </c>
    </row>
    <row r="293" spans="1:11" s="38" customFormat="1" x14ac:dyDescent="0.25">
      <c r="A293" s="72" t="s">
        <v>251</v>
      </c>
      <c r="B293" s="78" t="str">
        <f>IF(ISBLANK(A293),"","F"&amp;COUNTA($A$289:A293))</f>
        <v>F4</v>
      </c>
      <c r="C293" s="84" t="s">
        <v>386</v>
      </c>
      <c r="D293" s="72" t="s">
        <v>89</v>
      </c>
      <c r="E293" s="71" t="s">
        <v>84</v>
      </c>
      <c r="F293" s="605">
        <v>1500</v>
      </c>
      <c r="G293" s="605">
        <v>-786</v>
      </c>
      <c r="H293" s="605">
        <v>-1268</v>
      </c>
      <c r="I293" s="605">
        <v>-1268</v>
      </c>
      <c r="J293" s="144" t="s">
        <v>603</v>
      </c>
    </row>
    <row r="294" spans="1:11" s="38" customFormat="1" x14ac:dyDescent="0.25">
      <c r="A294" s="72" t="s">
        <v>251</v>
      </c>
      <c r="B294" s="78" t="str">
        <f>IF(ISBLANK(A294),"","F"&amp;COUNTA($A$289:A294))</f>
        <v>F5</v>
      </c>
      <c r="C294" s="84" t="s">
        <v>260</v>
      </c>
      <c r="D294" s="72" t="s">
        <v>83</v>
      </c>
      <c r="E294" s="71" t="s">
        <v>24</v>
      </c>
      <c r="F294" s="282">
        <v>140000</v>
      </c>
      <c r="G294" s="282">
        <v>140000</v>
      </c>
      <c r="H294" s="282">
        <v>140000</v>
      </c>
      <c r="I294" s="282">
        <v>140000</v>
      </c>
      <c r="J294" s="38" t="s">
        <v>604</v>
      </c>
    </row>
    <row r="295" spans="1:11" s="38" customFormat="1" ht="25.5" x14ac:dyDescent="0.25">
      <c r="A295" s="72" t="s">
        <v>251</v>
      </c>
      <c r="B295" s="78" t="str">
        <f>IF(ISBLANK(A295),"","F"&amp;COUNTA($A$289:A295))</f>
        <v>F6</v>
      </c>
      <c r="C295" s="84" t="s">
        <v>451</v>
      </c>
      <c r="D295" s="72" t="s">
        <v>89</v>
      </c>
      <c r="E295" s="71" t="s">
        <v>84</v>
      </c>
      <c r="F295" s="528"/>
      <c r="G295" s="528">
        <v>-575</v>
      </c>
      <c r="H295" s="528">
        <v>-575</v>
      </c>
      <c r="I295" s="528">
        <v>-575</v>
      </c>
    </row>
    <row r="296" spans="1:11" s="38" customFormat="1" ht="25.5" x14ac:dyDescent="0.25">
      <c r="A296" s="72" t="s">
        <v>251</v>
      </c>
      <c r="B296" s="78" t="str">
        <f>IF(ISBLANK(A296),"","F"&amp;COUNTA($A$289:A296))</f>
        <v>F7</v>
      </c>
      <c r="C296" s="84" t="s">
        <v>263</v>
      </c>
      <c r="D296" s="72" t="s">
        <v>89</v>
      </c>
      <c r="E296" s="71" t="s">
        <v>84</v>
      </c>
      <c r="F296" s="255"/>
      <c r="G296" s="255"/>
      <c r="H296" s="255"/>
      <c r="I296" s="255">
        <v>-450</v>
      </c>
    </row>
    <row r="297" spans="1:11" s="38" customFormat="1" x14ac:dyDescent="0.25">
      <c r="A297" s="72" t="s">
        <v>251</v>
      </c>
      <c r="B297" s="78" t="str">
        <f>IF(ISBLANK(A297),"","F"&amp;COUNTA($A$289:A297))</f>
        <v>F8</v>
      </c>
      <c r="C297" s="604" t="s">
        <v>452</v>
      </c>
      <c r="D297" s="72" t="s">
        <v>91</v>
      </c>
      <c r="E297" s="71" t="s">
        <v>24</v>
      </c>
      <c r="F297" s="290"/>
      <c r="G297" s="290"/>
      <c r="H297" s="290"/>
      <c r="I297" s="290"/>
      <c r="J297" s="144" t="s">
        <v>605</v>
      </c>
    </row>
    <row r="298" spans="1:11" s="38" customFormat="1" x14ac:dyDescent="0.25">
      <c r="A298" s="72" t="s">
        <v>251</v>
      </c>
      <c r="B298" s="78" t="str">
        <f>IF(ISBLANK(A298),"","F"&amp;COUNTA($A$289:A298))</f>
        <v>F9</v>
      </c>
      <c r="C298" s="604" t="s">
        <v>265</v>
      </c>
      <c r="D298" s="72" t="s">
        <v>91</v>
      </c>
      <c r="E298" s="71">
        <v>2</v>
      </c>
      <c r="F298" s="606">
        <v>800</v>
      </c>
      <c r="G298" s="606">
        <v>800</v>
      </c>
      <c r="H298" s="606">
        <v>800</v>
      </c>
      <c r="I298" s="606">
        <v>800</v>
      </c>
      <c r="J298" s="144" t="s">
        <v>606</v>
      </c>
    </row>
    <row r="299" spans="1:11" s="38" customFormat="1" x14ac:dyDescent="0.25">
      <c r="A299" s="72" t="s">
        <v>251</v>
      </c>
      <c r="B299" s="78" t="str">
        <f>IF(ISBLANK(A299),"","F"&amp;COUNTA($A$289:A299))</f>
        <v>F10</v>
      </c>
      <c r="C299" s="604" t="s">
        <v>454</v>
      </c>
      <c r="D299" s="72" t="s">
        <v>91</v>
      </c>
      <c r="E299" s="71" t="s">
        <v>24</v>
      </c>
      <c r="F299" s="290"/>
      <c r="G299" s="290"/>
      <c r="H299" s="290"/>
      <c r="I299" s="290"/>
      <c r="J299" s="144" t="s">
        <v>605</v>
      </c>
    </row>
    <row r="300" spans="1:11" s="38" customFormat="1" x14ac:dyDescent="0.25">
      <c r="A300" s="72" t="s">
        <v>251</v>
      </c>
      <c r="B300" s="78" t="str">
        <f>IF(ISBLANK(A300),"","F"&amp;COUNTA($A$289:A300))</f>
        <v>F11</v>
      </c>
      <c r="C300" s="604" t="s">
        <v>607</v>
      </c>
      <c r="D300" s="72" t="s">
        <v>91</v>
      </c>
      <c r="E300" s="231" t="s">
        <v>24</v>
      </c>
      <c r="F300" s="606">
        <v>428</v>
      </c>
      <c r="G300" s="606"/>
      <c r="H300" s="606"/>
      <c r="I300" s="606"/>
      <c r="J300" s="144" t="s">
        <v>608</v>
      </c>
    </row>
    <row r="301" spans="1:11" s="38" customFormat="1" x14ac:dyDescent="0.25">
      <c r="A301" s="72" t="s">
        <v>251</v>
      </c>
      <c r="B301" s="78" t="str">
        <f>IF(ISBLANK(A301),"","F"&amp;COUNTA($A$289:A301))</f>
        <v>F12</v>
      </c>
      <c r="C301" s="604" t="s">
        <v>389</v>
      </c>
      <c r="D301" s="72" t="s">
        <v>91</v>
      </c>
      <c r="E301" s="71" t="s">
        <v>24</v>
      </c>
      <c r="F301" s="606">
        <v>1000</v>
      </c>
      <c r="G301" s="606">
        <v>1000</v>
      </c>
      <c r="H301" s="606">
        <v>1000</v>
      </c>
      <c r="I301" s="606">
        <v>1000</v>
      </c>
      <c r="J301" s="144" t="s">
        <v>606</v>
      </c>
      <c r="K301" s="38" t="s">
        <v>360</v>
      </c>
    </row>
    <row r="302" spans="1:11" s="38" customFormat="1" x14ac:dyDescent="0.25">
      <c r="A302" s="72" t="s">
        <v>251</v>
      </c>
      <c r="B302" s="78" t="str">
        <f>IF(ISBLANK(A302),"","F"&amp;COUNTA($A$289:A302))</f>
        <v>F13</v>
      </c>
      <c r="C302" s="604" t="s">
        <v>390</v>
      </c>
      <c r="D302" s="72" t="s">
        <v>91</v>
      </c>
      <c r="E302" s="71" t="s">
        <v>24</v>
      </c>
      <c r="F302" s="606">
        <v>200</v>
      </c>
      <c r="G302" s="606">
        <v>200</v>
      </c>
      <c r="H302" s="606">
        <v>200</v>
      </c>
      <c r="I302" s="606">
        <v>200</v>
      </c>
      <c r="J302" s="144" t="s">
        <v>609</v>
      </c>
    </row>
    <row r="303" spans="1:11" s="38" customFormat="1" x14ac:dyDescent="0.25">
      <c r="A303" s="72" t="s">
        <v>251</v>
      </c>
      <c r="B303" s="78" t="str">
        <f>IF(ISBLANK(A303),"","F"&amp;COUNTA($A$289:A303))</f>
        <v>F14</v>
      </c>
      <c r="C303" s="604" t="s">
        <v>391</v>
      </c>
      <c r="D303" s="72" t="s">
        <v>91</v>
      </c>
      <c r="E303" s="71" t="s">
        <v>24</v>
      </c>
      <c r="F303" s="606">
        <v>50</v>
      </c>
      <c r="G303" s="606">
        <v>50</v>
      </c>
      <c r="H303" s="606">
        <v>50</v>
      </c>
      <c r="I303" s="606">
        <v>50</v>
      </c>
      <c r="J303" s="144" t="s">
        <v>610</v>
      </c>
    </row>
    <row r="304" spans="1:11" s="38" customFormat="1" x14ac:dyDescent="0.25">
      <c r="A304" s="72" t="s">
        <v>251</v>
      </c>
      <c r="B304" s="78" t="str">
        <f>IF(ISBLANK(A304),"","F"&amp;COUNTA($A$289:A304))</f>
        <v>F15</v>
      </c>
      <c r="C304" s="604" t="s">
        <v>270</v>
      </c>
      <c r="D304" s="72" t="s">
        <v>91</v>
      </c>
      <c r="E304" s="71">
        <v>1</v>
      </c>
      <c r="F304" s="606">
        <v>500</v>
      </c>
      <c r="G304" s="606"/>
      <c r="H304" s="606"/>
      <c r="I304" s="606"/>
      <c r="J304" s="144" t="s">
        <v>609</v>
      </c>
    </row>
    <row r="305" spans="1:10" s="38" customFormat="1" x14ac:dyDescent="0.25">
      <c r="A305" s="72"/>
      <c r="B305" s="78" t="str">
        <f>IF(ISBLANK(A305),"","F"&amp;COUNTA($A$289:A305))</f>
        <v/>
      </c>
      <c r="C305" s="82" t="s">
        <v>282</v>
      </c>
      <c r="D305" s="72"/>
      <c r="E305" s="71"/>
      <c r="F305" s="255"/>
      <c r="G305" s="255"/>
      <c r="H305" s="255"/>
      <c r="I305" s="255"/>
    </row>
    <row r="306" spans="1:10" s="38" customFormat="1" ht="25.5" x14ac:dyDescent="0.25">
      <c r="A306" s="72" t="s">
        <v>251</v>
      </c>
      <c r="B306" s="78" t="str">
        <f>IF(ISBLANK(A306),"","F"&amp;COUNTA($A$289:A306))</f>
        <v>F16</v>
      </c>
      <c r="C306" s="84" t="s">
        <v>457</v>
      </c>
      <c r="D306" s="72" t="s">
        <v>91</v>
      </c>
      <c r="E306" s="231" t="s">
        <v>24</v>
      </c>
      <c r="F306" s="255">
        <v>2082</v>
      </c>
      <c r="G306" s="255">
        <v>3750</v>
      </c>
      <c r="H306" s="255">
        <v>4536</v>
      </c>
      <c r="I306" s="255">
        <v>6335</v>
      </c>
    </row>
    <row r="307" spans="1:10" s="38" customFormat="1" ht="25.5" x14ac:dyDescent="0.25">
      <c r="A307" s="72" t="s">
        <v>251</v>
      </c>
      <c r="B307" s="78" t="str">
        <f>IF(ISBLANK(A307),"","F"&amp;COUNTA($A$289:A307))</f>
        <v>F17</v>
      </c>
      <c r="C307" s="84" t="s">
        <v>458</v>
      </c>
      <c r="D307" s="72" t="s">
        <v>91</v>
      </c>
      <c r="E307" s="231" t="s">
        <v>24</v>
      </c>
      <c r="F307" s="255">
        <v>517</v>
      </c>
      <c r="G307" s="255">
        <v>517</v>
      </c>
      <c r="H307" s="255">
        <v>568</v>
      </c>
      <c r="I307" s="255">
        <v>1542</v>
      </c>
    </row>
    <row r="308" spans="1:10" s="38" customFormat="1" x14ac:dyDescent="0.25">
      <c r="A308" s="72" t="s">
        <v>251</v>
      </c>
      <c r="B308" s="78" t="str">
        <f>IF(ISBLANK(A308),"","F"&amp;COUNTA($A$289:A308))</f>
        <v>F18</v>
      </c>
      <c r="C308" s="84" t="s">
        <v>611</v>
      </c>
      <c r="D308" s="72" t="s">
        <v>91</v>
      </c>
      <c r="E308" s="231"/>
      <c r="F308" s="255">
        <v>259</v>
      </c>
      <c r="G308" s="255">
        <v>259</v>
      </c>
      <c r="H308" s="255">
        <v>297</v>
      </c>
      <c r="I308" s="255">
        <v>1178</v>
      </c>
    </row>
    <row r="309" spans="1:10" s="38" customFormat="1" x14ac:dyDescent="0.25">
      <c r="A309" s="72" t="s">
        <v>251</v>
      </c>
      <c r="B309" s="78" t="str">
        <f>IF(ISBLANK(A309),"","F"&amp;COUNTA($A$289:A309))</f>
        <v>F19</v>
      </c>
      <c r="C309" s="84" t="s">
        <v>285</v>
      </c>
      <c r="D309" s="72" t="s">
        <v>91</v>
      </c>
      <c r="E309" s="231" t="s">
        <v>24</v>
      </c>
      <c r="F309" s="255">
        <v>10854</v>
      </c>
      <c r="G309" s="255">
        <v>10854</v>
      </c>
      <c r="H309" s="255">
        <v>10854</v>
      </c>
      <c r="I309" s="255">
        <v>10854</v>
      </c>
    </row>
    <row r="310" spans="1:10" s="38" customFormat="1" x14ac:dyDescent="0.25">
      <c r="A310" s="72" t="s">
        <v>251</v>
      </c>
      <c r="B310" s="78" t="str">
        <f>IF(ISBLANK(A310),"","F"&amp;COUNTA($A$289:A310))</f>
        <v>F20</v>
      </c>
      <c r="C310" s="84" t="s">
        <v>612</v>
      </c>
      <c r="D310" s="72" t="s">
        <v>91</v>
      </c>
      <c r="E310" s="231"/>
      <c r="F310" s="255">
        <v>4268</v>
      </c>
      <c r="G310" s="255">
        <v>4268</v>
      </c>
      <c r="H310" s="255">
        <v>4268</v>
      </c>
      <c r="I310" s="255">
        <v>4268</v>
      </c>
      <c r="J310" s="144" t="s">
        <v>613</v>
      </c>
    </row>
    <row r="311" spans="1:10" s="38" customFormat="1" x14ac:dyDescent="0.25">
      <c r="A311" s="72" t="s">
        <v>251</v>
      </c>
      <c r="B311" s="78" t="str">
        <f>IF(ISBLANK(A311),"","F"&amp;COUNTA($A$289:A311))</f>
        <v>F21</v>
      </c>
      <c r="C311" s="84" t="s">
        <v>614</v>
      </c>
      <c r="D311" s="72" t="s">
        <v>91</v>
      </c>
      <c r="E311" s="231"/>
      <c r="F311" s="255"/>
      <c r="G311" s="255"/>
      <c r="H311" s="255"/>
      <c r="I311" s="255"/>
      <c r="J311" s="144" t="s">
        <v>615</v>
      </c>
    </row>
    <row r="312" spans="1:10" s="38" customFormat="1" x14ac:dyDescent="0.25">
      <c r="A312" s="72" t="s">
        <v>251</v>
      </c>
      <c r="B312" s="78" t="str">
        <f>IF(ISBLANK(A312),"","F"&amp;COUNTA($A$289:A312))</f>
        <v>F22</v>
      </c>
      <c r="C312" s="84" t="s">
        <v>210</v>
      </c>
      <c r="D312" s="72" t="s">
        <v>91</v>
      </c>
      <c r="E312" s="231"/>
      <c r="F312" s="255">
        <v>12000</v>
      </c>
      <c r="G312" s="255">
        <v>12000</v>
      </c>
      <c r="H312" s="255"/>
      <c r="I312" s="255"/>
      <c r="J312" s="144" t="s">
        <v>459</v>
      </c>
    </row>
    <row r="313" spans="1:10" s="38" customFormat="1" x14ac:dyDescent="0.25">
      <c r="A313" s="72" t="s">
        <v>251</v>
      </c>
      <c r="B313" s="78" t="str">
        <f>IF(ISBLANK(A313),"","F"&amp;COUNTA($A$289:A313))</f>
        <v>F23</v>
      </c>
      <c r="C313" s="84" t="s">
        <v>287</v>
      </c>
      <c r="D313" s="72" t="s">
        <v>91</v>
      </c>
      <c r="E313" s="71"/>
      <c r="F313" s="255">
        <v>100000</v>
      </c>
      <c r="G313" s="255">
        <v>100000</v>
      </c>
      <c r="H313" s="255">
        <v>100000</v>
      </c>
      <c r="I313" s="255">
        <v>100000</v>
      </c>
      <c r="J313" s="38" t="s">
        <v>371</v>
      </c>
    </row>
    <row r="314" spans="1:10" s="38" customFormat="1" x14ac:dyDescent="0.25">
      <c r="A314" s="72" t="s">
        <v>251</v>
      </c>
      <c r="B314" s="78" t="str">
        <f>IF(ISBLANK(A314),"","F"&amp;COUNTA($A$289:A314))</f>
        <v>F24</v>
      </c>
      <c r="C314" s="84"/>
      <c r="D314" s="72"/>
      <c r="E314" s="71"/>
      <c r="F314" s="255"/>
      <c r="G314" s="255"/>
      <c r="H314" s="255"/>
      <c r="I314" s="255"/>
    </row>
    <row r="315" spans="1:10" s="38" customFormat="1" x14ac:dyDescent="0.25">
      <c r="A315" s="72" t="s">
        <v>251</v>
      </c>
      <c r="B315" s="78" t="str">
        <f>IF(ISBLANK(A315),"","F"&amp;COUNTA($A$289:A315))</f>
        <v>F25</v>
      </c>
      <c r="C315" s="84"/>
      <c r="D315" s="72"/>
      <c r="E315" s="71"/>
      <c r="F315" s="255"/>
      <c r="G315" s="255"/>
      <c r="H315" s="255"/>
      <c r="I315" s="255"/>
    </row>
    <row r="316" spans="1:10" s="38" customFormat="1" ht="18" customHeight="1" x14ac:dyDescent="0.25">
      <c r="A316" s="72"/>
      <c r="B316" s="78" t="str">
        <f>IF(ISBLANK(A316),"","F"&amp;COUNTA($A$289:A316))</f>
        <v/>
      </c>
      <c r="C316" s="82" t="s">
        <v>288</v>
      </c>
      <c r="D316" s="83"/>
      <c r="E316" s="71"/>
      <c r="F316" s="4">
        <f>F291</f>
        <v>2023</v>
      </c>
      <c r="G316" s="4">
        <f>F316+1</f>
        <v>2024</v>
      </c>
      <c r="H316" s="4">
        <f>G316+1</f>
        <v>2025</v>
      </c>
      <c r="I316" s="4">
        <f>H316+1</f>
        <v>2026</v>
      </c>
    </row>
    <row r="317" spans="1:10" s="38" customFormat="1" x14ac:dyDescent="0.25">
      <c r="A317" s="72" t="s">
        <v>251</v>
      </c>
      <c r="B317" s="78" t="str">
        <f>IF(ISBLANK(A317),"","F"&amp;COUNTA($A$289:A317))</f>
        <v>F26</v>
      </c>
      <c r="C317" s="38" t="s">
        <v>289</v>
      </c>
      <c r="D317" s="72" t="s">
        <v>89</v>
      </c>
      <c r="E317" s="71" t="s">
        <v>84</v>
      </c>
      <c r="F317" s="373">
        <v>2430</v>
      </c>
      <c r="G317" s="564">
        <v>0</v>
      </c>
      <c r="H317" s="564">
        <v>2430</v>
      </c>
      <c r="I317" s="564">
        <v>0</v>
      </c>
    </row>
    <row r="318" spans="1:10" s="38" customFormat="1" x14ac:dyDescent="0.25">
      <c r="A318" s="72" t="s">
        <v>251</v>
      </c>
      <c r="B318" s="78" t="str">
        <f>IF(ISBLANK(A318),"","F"&amp;COUNTA($A$289:A318))</f>
        <v>F27</v>
      </c>
      <c r="C318" s="295" t="s">
        <v>290</v>
      </c>
      <c r="D318" s="72" t="s">
        <v>89</v>
      </c>
      <c r="E318" s="71" t="s">
        <v>84</v>
      </c>
      <c r="F318" s="373">
        <v>400</v>
      </c>
      <c r="G318" s="564">
        <v>0</v>
      </c>
      <c r="H318" s="564">
        <v>400</v>
      </c>
      <c r="I318" s="564">
        <v>0</v>
      </c>
    </row>
    <row r="319" spans="1:10" s="38" customFormat="1" ht="30" x14ac:dyDescent="0.25">
      <c r="A319" s="72" t="s">
        <v>251</v>
      </c>
      <c r="B319" s="78" t="str">
        <f>IF(ISBLANK(A319),"","F"&amp;COUNTA($A$289:A319))</f>
        <v>F28</v>
      </c>
      <c r="C319" s="295" t="s">
        <v>291</v>
      </c>
      <c r="D319" s="72" t="s">
        <v>89</v>
      </c>
      <c r="E319" s="71" t="s">
        <v>84</v>
      </c>
      <c r="F319" s="373">
        <v>300</v>
      </c>
      <c r="G319" s="564">
        <v>0</v>
      </c>
      <c r="H319" s="564">
        <v>0</v>
      </c>
      <c r="I319" s="564">
        <v>0</v>
      </c>
    </row>
    <row r="320" spans="1:10" s="38" customFormat="1" x14ac:dyDescent="0.25">
      <c r="A320" s="72" t="s">
        <v>251</v>
      </c>
      <c r="B320" s="78" t="str">
        <f>IF(ISBLANK(A320),"","F"&amp;COUNTA($A$289:A320))</f>
        <v>F29</v>
      </c>
      <c r="C320" s="295" t="s">
        <v>292</v>
      </c>
      <c r="D320" s="72" t="s">
        <v>89</v>
      </c>
      <c r="E320" s="71" t="s">
        <v>84</v>
      </c>
      <c r="F320" s="373">
        <v>200</v>
      </c>
      <c r="G320" s="564">
        <v>0</v>
      </c>
      <c r="H320" s="564">
        <v>0</v>
      </c>
      <c r="I320" s="564">
        <v>0</v>
      </c>
    </row>
    <row r="321" spans="1:10" s="38" customFormat="1" x14ac:dyDescent="0.25">
      <c r="A321" s="72" t="s">
        <v>251</v>
      </c>
      <c r="B321" s="78" t="str">
        <f>IF(ISBLANK(A321),"","F"&amp;COUNTA($A$289:A321))</f>
        <v>F30</v>
      </c>
      <c r="C321" s="295" t="s">
        <v>293</v>
      </c>
      <c r="D321" s="72" t="s">
        <v>89</v>
      </c>
      <c r="E321" s="71" t="s">
        <v>84</v>
      </c>
      <c r="F321" s="373">
        <v>-2000</v>
      </c>
      <c r="G321" s="564">
        <v>-2000</v>
      </c>
      <c r="H321" s="564">
        <v>-2000</v>
      </c>
      <c r="I321" s="564">
        <v>-2000</v>
      </c>
    </row>
    <row r="322" spans="1:10" s="38" customFormat="1" ht="30" x14ac:dyDescent="0.25">
      <c r="A322" s="72" t="s">
        <v>251</v>
      </c>
      <c r="B322" s="78" t="str">
        <f>IF(ISBLANK(A322),"","F"&amp;COUNTA($A$289:A322))</f>
        <v>F31</v>
      </c>
      <c r="C322" s="295" t="s">
        <v>398</v>
      </c>
      <c r="D322" s="72" t="s">
        <v>89</v>
      </c>
      <c r="E322" s="71" t="s">
        <v>84</v>
      </c>
      <c r="F322" s="373">
        <v>400</v>
      </c>
      <c r="G322" s="564">
        <v>0</v>
      </c>
      <c r="H322" s="564">
        <v>400</v>
      </c>
      <c r="I322" s="564">
        <v>0</v>
      </c>
    </row>
    <row r="323" spans="1:10" s="38" customFormat="1" x14ac:dyDescent="0.25">
      <c r="A323" s="72" t="s">
        <v>251</v>
      </c>
      <c r="B323" s="78" t="str">
        <f>IF(ISBLANK(A323),"","F"&amp;COUNTA($A$289:A323))</f>
        <v>F32</v>
      </c>
      <c r="C323" s="295" t="s">
        <v>297</v>
      </c>
      <c r="D323" s="72" t="s">
        <v>89</v>
      </c>
      <c r="E323" s="71" t="s">
        <v>84</v>
      </c>
      <c r="F323" s="373"/>
      <c r="G323" s="564">
        <v>1000</v>
      </c>
      <c r="H323" s="564"/>
      <c r="I323" s="564"/>
    </row>
    <row r="324" spans="1:10" s="38" customFormat="1" x14ac:dyDescent="0.25">
      <c r="A324" s="72" t="s">
        <v>251</v>
      </c>
      <c r="B324" s="78" t="str">
        <f>IF(ISBLANK(A324),"","F"&amp;COUNTA($A$289:A324))</f>
        <v>F33</v>
      </c>
      <c r="C324" s="295" t="s">
        <v>298</v>
      </c>
      <c r="D324" s="72" t="s">
        <v>91</v>
      </c>
      <c r="E324" s="71">
        <v>1</v>
      </c>
      <c r="F324" s="373">
        <v>225</v>
      </c>
      <c r="G324" s="217">
        <v>225</v>
      </c>
      <c r="H324" s="217">
        <v>225</v>
      </c>
      <c r="I324" s="217">
        <v>225</v>
      </c>
      <c r="J324" s="38" t="s">
        <v>372</v>
      </c>
    </row>
    <row r="325" spans="1:10" s="38" customFormat="1" x14ac:dyDescent="0.25">
      <c r="A325" s="72" t="s">
        <v>251</v>
      </c>
      <c r="B325" s="78" t="str">
        <f>IF(ISBLANK(A325),"","F"&amp;COUNTA($A$289:A325))</f>
        <v>F34</v>
      </c>
      <c r="C325" s="295" t="s">
        <v>470</v>
      </c>
      <c r="D325" s="72" t="s">
        <v>91</v>
      </c>
      <c r="E325" s="231"/>
      <c r="F325" s="373">
        <v>300</v>
      </c>
      <c r="G325" s="564"/>
      <c r="H325" s="564">
        <v>300</v>
      </c>
      <c r="I325" s="564"/>
      <c r="J325" s="38" t="s">
        <v>471</v>
      </c>
    </row>
    <row r="326" spans="1:10" s="38" customFormat="1" x14ac:dyDescent="0.25">
      <c r="A326" s="72" t="s">
        <v>251</v>
      </c>
      <c r="B326" s="78" t="str">
        <f>IF(ISBLANK(A326),"","F"&amp;COUNTA($A$289:A326))</f>
        <v>F35</v>
      </c>
      <c r="C326" s="38" t="s">
        <v>299</v>
      </c>
      <c r="D326" s="72" t="s">
        <v>91</v>
      </c>
      <c r="E326" s="231"/>
      <c r="F326" s="271">
        <v>200</v>
      </c>
      <c r="G326" s="281"/>
      <c r="H326" s="281"/>
      <c r="I326" s="281"/>
      <c r="J326" s="38" t="s">
        <v>472</v>
      </c>
    </row>
    <row r="327" spans="1:10" s="38" customFormat="1" x14ac:dyDescent="0.25">
      <c r="A327" s="72"/>
      <c r="B327" s="78"/>
      <c r="C327" s="82"/>
      <c r="D327" s="83"/>
      <c r="E327" s="71"/>
      <c r="F327" s="191"/>
      <c r="G327" s="191"/>
      <c r="H327" s="191"/>
      <c r="I327" s="191"/>
    </row>
    <row r="328" spans="1:10" s="38" customFormat="1" ht="30" x14ac:dyDescent="0.25">
      <c r="A328" s="43"/>
      <c r="B328" s="43" t="s">
        <v>127</v>
      </c>
      <c r="C328" s="3" t="s">
        <v>304</v>
      </c>
      <c r="D328" s="52"/>
      <c r="E328" s="52"/>
      <c r="F328" s="56">
        <f>SUMIF($A:$A,"KOM.FELLES",F:F)</f>
        <v>277535</v>
      </c>
      <c r="G328" s="56">
        <f>SUMIF($A:$A,"KOM.FELLES",G:G)</f>
        <v>272094</v>
      </c>
      <c r="H328" s="56">
        <f>SUMIF($A:$A,"KOM.FELLES",H:H)</f>
        <v>262876</v>
      </c>
      <c r="I328" s="56">
        <f>SUMIF($A:$A,"KOM.FELLES",I:I)</f>
        <v>262550</v>
      </c>
    </row>
    <row r="334" spans="1:10" x14ac:dyDescent="0.25">
      <c r="F334" s="182"/>
      <c r="G334" s="182"/>
      <c r="H334" s="182"/>
      <c r="I334" s="182"/>
    </row>
    <row r="335" spans="1:10" x14ac:dyDescent="0.25">
      <c r="D335" s="256"/>
      <c r="E335" s="256"/>
      <c r="F335" s="256"/>
      <c r="G335" s="256"/>
      <c r="H335" s="256"/>
      <c r="I335" s="256"/>
    </row>
    <row r="336" spans="1:10" x14ac:dyDescent="0.25">
      <c r="F336" s="256"/>
      <c r="G336" s="256"/>
      <c r="H336" s="256"/>
      <c r="I336" s="256"/>
    </row>
    <row r="337" spans="6:9" x14ac:dyDescent="0.25">
      <c r="F337" s="256"/>
      <c r="G337" s="256"/>
      <c r="H337" s="256"/>
      <c r="I337" s="256"/>
    </row>
    <row r="338" spans="6:9" x14ac:dyDescent="0.25">
      <c r="F338" s="256"/>
      <c r="G338" s="256"/>
      <c r="H338" s="256"/>
      <c r="I338" s="256"/>
    </row>
    <row r="339" spans="6:9" x14ac:dyDescent="0.25">
      <c r="F339" s="256"/>
      <c r="G339" s="256"/>
      <c r="H339" s="256"/>
      <c r="I339" s="256"/>
    </row>
    <row r="340" spans="6:9" x14ac:dyDescent="0.25">
      <c r="F340" s="256"/>
      <c r="G340" s="256"/>
      <c r="H340" s="256"/>
      <c r="I340" s="256"/>
    </row>
    <row r="341" spans="6:9" x14ac:dyDescent="0.25">
      <c r="F341" s="256"/>
      <c r="G341" s="256"/>
      <c r="H341" s="256"/>
      <c r="I341" s="256"/>
    </row>
    <row r="342" spans="6:9" x14ac:dyDescent="0.25">
      <c r="F342" s="256"/>
      <c r="G342" s="256"/>
      <c r="H342" s="256"/>
      <c r="I342" s="256"/>
    </row>
  </sheetData>
  <phoneticPr fontId="23" type="noConversion"/>
  <conditionalFormatting sqref="F20:I20">
    <cfRule type="cellIs" dxfId="13" priority="2" operator="notEqual">
      <formula>0</formula>
    </cfRule>
  </conditionalFormatting>
  <conditionalFormatting sqref="I20">
    <cfRule type="cellIs" dxfId="12" priority="1" operator="notEqual">
      <formula>0</formula>
    </cfRule>
  </conditionalFormatting>
  <dataValidations count="1">
    <dataValidation type="list" allowBlank="1" showInputMessage="1" showErrorMessage="1" sqref="D251:D252 D260" xr:uid="{8363FDF3-A421-41D0-BAED-27CDF1DF3B7E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BCA63A3-E988-4756-86BD-2FCF8CDAE50C}">
          <x14:formula1>
            <xm:f>Div!$A$3:$A$11</xm:f>
          </x14:formula1>
          <xm:sqref>A31:A70 A128:A328</xm:sqref>
        </x14:dataValidation>
        <x14:dataValidation type="list" allowBlank="1" showInputMessage="1" showErrorMessage="1" xr:uid="{D0A1474A-A0D7-40A7-9652-D52986D7FE1F}">
          <x14:formula1>
            <xm:f>Div!$B$3:$B$8</xm:f>
          </x14:formula1>
          <xm:sqref>D317:D326 D200:D250 D277:D284 D168:D182 D187:D190 D192:D196 D292:D315 D264:D273 D253:D259 D31:D64 D104:D127 D289:D290 D92:D102 D71:D90 D131:D165</xm:sqref>
        </x14:dataValidation>
        <x14:dataValidation type="list" allowBlank="1" showInputMessage="1" showErrorMessage="1" xr:uid="{B48872B7-7E12-4988-80DB-969D9234D0DB}">
          <x14:formula1>
            <xm:f>Div!$C$3:$C$58</xm:f>
          </x14:formula1>
          <xm:sqref>E31:E64 D191 D328:E328 D103:E103 D166:D167 D183:D186 D274:D276 D285:D288 D291 D316 D327 D197:D199 D202 D138:D139 D179 D261:D263 E292:E315 E187:E190 E289:E290 D91 E200:E262 E317:E326 D128:D130 E277:E286 E192:E198 E104:E128 E168:E184 E264:E275 D65:D70 E92:E102 E71:E90 E131:E165</xm:sqref>
        </x14:dataValidation>
        <x14:dataValidation type="list" allowBlank="1" showInputMessage="1" showErrorMessage="1" xr:uid="{BD4877B4-C6C8-4EEE-BD5A-083470E2B067}">
          <x14:formula1>
            <xm:f>Div!$B$3:$B$6</xm:f>
          </x14:formula1>
          <xm:sqref>E91 E287:E288 E166:E167 E263 E327 E276 E185:E186 E191 E291 E316 E199 E202 E138:E139 E179 E129:E130 E65:E70</xm:sqref>
        </x14:dataValidation>
        <x14:dataValidation type="list" allowBlank="1" showInputMessage="1" showErrorMessage="1" xr:uid="{E98118CB-C026-475D-9261-EAFC947111C1}">
          <x14:formula1>
            <xm:f>Div!$A$3:$A$13</xm:f>
          </x14:formula1>
          <xm:sqref>A71:A127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C7B1A-1DCE-4A50-B8E7-9CA03B9A2C78}">
  <sheetPr codeName="Ark1">
    <tabColor rgb="FFFF0000"/>
  </sheetPr>
  <dimension ref="A1:K335"/>
  <sheetViews>
    <sheetView topLeftCell="A40" zoomScaleNormal="100" workbookViewId="0">
      <selection activeCell="F149" sqref="F149"/>
    </sheetView>
  </sheetViews>
  <sheetFormatPr baseColWidth="10" defaultColWidth="11.42578125" defaultRowHeight="15" x14ac:dyDescent="0.25"/>
  <cols>
    <col min="1" max="1" width="7.140625" customWidth="1"/>
    <col min="2" max="2" width="5.5703125" style="563" bestFit="1" customWidth="1"/>
    <col min="3" max="3" width="46.42578125" customWidth="1"/>
    <col min="4" max="4" width="12.140625" bestFit="1" customWidth="1"/>
    <col min="5" max="5" width="7.5703125" bestFit="1" customWidth="1"/>
    <col min="6" max="9" width="11.42578125" customWidth="1"/>
    <col min="10" max="10" width="59.85546875" customWidth="1"/>
  </cols>
  <sheetData>
    <row r="1" spans="1:10" s="28" customFormat="1" ht="23.25" x14ac:dyDescent="0.25">
      <c r="A1" s="294" t="s">
        <v>0</v>
      </c>
      <c r="B1" s="553"/>
      <c r="C1" s="296"/>
      <c r="D1" s="525"/>
      <c r="E1" s="93"/>
      <c r="F1" s="294"/>
      <c r="G1" s="294"/>
      <c r="H1" s="294"/>
      <c r="I1" s="294"/>
    </row>
    <row r="2" spans="1:10" s="28" customFormat="1" x14ac:dyDescent="0.25">
      <c r="A2" s="38"/>
      <c r="B2" s="553"/>
      <c r="C2" s="295"/>
      <c r="D2" s="93"/>
      <c r="E2" s="93"/>
      <c r="F2" s="38"/>
      <c r="G2" s="38"/>
      <c r="H2" s="38"/>
      <c r="I2" s="38"/>
    </row>
    <row r="3" spans="1:10" s="38" customFormat="1" x14ac:dyDescent="0.25">
      <c r="A3" s="297"/>
      <c r="B3" s="554"/>
      <c r="C3" s="298"/>
      <c r="D3" s="299"/>
      <c r="E3" s="299"/>
      <c r="F3" s="300">
        <v>2020</v>
      </c>
      <c r="G3" s="300">
        <v>46210</v>
      </c>
      <c r="H3" s="300">
        <v>2022</v>
      </c>
      <c r="I3" s="300"/>
    </row>
    <row r="4" spans="1:10" s="38" customFormat="1" x14ac:dyDescent="0.25">
      <c r="A4" s="301" t="s">
        <v>1</v>
      </c>
      <c r="B4" s="555"/>
      <c r="C4" s="303"/>
      <c r="D4" s="304"/>
      <c r="E4" s="304"/>
      <c r="F4" s="566">
        <v>4902782</v>
      </c>
      <c r="G4" s="566">
        <f>F4</f>
        <v>4902782</v>
      </c>
      <c r="H4" s="566">
        <f>G4</f>
        <v>4902782</v>
      </c>
      <c r="I4" s="566">
        <f>H4</f>
        <v>4902782</v>
      </c>
    </row>
    <row r="5" spans="1:10" s="38" customFormat="1" x14ac:dyDescent="0.25">
      <c r="A5" s="38" t="str">
        <f>C64</f>
        <v>SUM SENTRALE INNTEKTER OG FINANSPOSTER</v>
      </c>
      <c r="B5" s="553"/>
      <c r="C5" s="123"/>
      <c r="D5" s="93"/>
      <c r="E5" s="93"/>
      <c r="F5" s="2">
        <f>F64</f>
        <v>-5173416</v>
      </c>
      <c r="G5" s="2">
        <f>G64</f>
        <v>-5081882</v>
      </c>
      <c r="H5" s="2">
        <f>H64</f>
        <v>-5061058</v>
      </c>
      <c r="I5" s="2">
        <f>I64</f>
        <v>-5064441</v>
      </c>
      <c r="J5" s="95"/>
    </row>
    <row r="6" spans="1:10" s="38" customFormat="1" x14ac:dyDescent="0.25">
      <c r="A6" s="307" t="s">
        <v>2</v>
      </c>
      <c r="B6" s="556"/>
      <c r="C6" s="309"/>
      <c r="D6" s="310"/>
      <c r="E6" s="310"/>
      <c r="F6" s="311">
        <f>SUM(F4:F5)</f>
        <v>-270634</v>
      </c>
      <c r="G6" s="311">
        <f>SUM(G4:G5)</f>
        <v>-179100</v>
      </c>
      <c r="H6" s="311">
        <f>SUM(H4:H5)</f>
        <v>-158276</v>
      </c>
      <c r="I6" s="311">
        <f>SUM(I4:I5)</f>
        <v>-161659</v>
      </c>
    </row>
    <row r="7" spans="1:10" s="38" customFormat="1" x14ac:dyDescent="0.25">
      <c r="A7" s="312"/>
      <c r="B7" s="555"/>
      <c r="C7" s="302"/>
      <c r="D7" s="304"/>
      <c r="E7" s="304"/>
      <c r="F7" s="313"/>
      <c r="G7" s="313"/>
      <c r="H7" s="313"/>
      <c r="I7" s="313"/>
    </row>
    <row r="8" spans="1:10" s="38" customFormat="1" x14ac:dyDescent="0.25">
      <c r="A8" s="314" t="s">
        <v>3</v>
      </c>
      <c r="B8" s="341"/>
      <c r="C8" s="207"/>
      <c r="D8" s="315"/>
      <c r="E8" s="315"/>
      <c r="F8" s="39">
        <f>SUMIF($D:$D,"ØP 22-25",F:F)</f>
        <v>10802</v>
      </c>
      <c r="G8" s="39">
        <f>SUMIF($D:$D,"ØP 22-25",G:G)</f>
        <v>6169</v>
      </c>
      <c r="H8" s="39">
        <f>SUMIF($D:$D,"ØP 22-25",H:H)</f>
        <v>26676</v>
      </c>
      <c r="I8" s="39">
        <f>SUMIF($D:$D,"ØP 22-25",I:I)</f>
        <v>25496</v>
      </c>
    </row>
    <row r="9" spans="1:10" s="38" customFormat="1" x14ac:dyDescent="0.25">
      <c r="A9" s="316" t="s">
        <v>4</v>
      </c>
      <c r="B9" s="557"/>
      <c r="C9" s="317"/>
      <c r="D9" s="318"/>
      <c r="E9" s="318"/>
      <c r="F9" s="267">
        <f>SUMIF($D:$D,"ØP 22-25 REKALK",F:F)</f>
        <v>150903</v>
      </c>
      <c r="G9" s="267">
        <f>SUMIF($D:$D,"ØP 22-25 REKALK",G:G)</f>
        <v>156558</v>
      </c>
      <c r="H9" s="267">
        <f>SUMIF($D:$D,"ØP 22-25 REKALK",H:H)</f>
        <v>158456</v>
      </c>
      <c r="I9" s="267">
        <f>SUMIF($D:$D,"ØP 22-25 REKALK",I:I)</f>
        <v>160876</v>
      </c>
    </row>
    <row r="10" spans="1:10" s="38" customFormat="1" x14ac:dyDescent="0.25">
      <c r="A10" s="319" t="s">
        <v>5</v>
      </c>
      <c r="B10" s="558"/>
      <c r="C10" s="320"/>
      <c r="D10" s="321"/>
      <c r="E10" s="321"/>
      <c r="F10" s="322">
        <f>F6+F8+F9</f>
        <v>-108929</v>
      </c>
      <c r="G10" s="322">
        <f>G6+G8+G9</f>
        <v>-16373</v>
      </c>
      <c r="H10" s="322">
        <f>H6+H8+H9</f>
        <v>26856</v>
      </c>
      <c r="I10" s="322">
        <f>I6+I8+I9</f>
        <v>24713</v>
      </c>
    </row>
    <row r="11" spans="1:10" s="28" customFormat="1" x14ac:dyDescent="0.25">
      <c r="A11" s="38"/>
      <c r="B11" s="553"/>
      <c r="C11" s="295"/>
      <c r="D11" s="93"/>
      <c r="E11" s="93"/>
      <c r="F11" s="2"/>
      <c r="G11" s="2"/>
      <c r="H11" s="2"/>
      <c r="I11" s="2"/>
    </row>
    <row r="12" spans="1:10" s="28" customFormat="1" x14ac:dyDescent="0.25">
      <c r="A12" s="312" t="s">
        <v>6</v>
      </c>
      <c r="B12" s="553"/>
      <c r="C12" s="295"/>
      <c r="D12" s="93"/>
      <c r="E12" s="93"/>
      <c r="F12" s="2">
        <f>SUMIFS(F:F,$D:$D,"NYTT",$E:$E,"INNSP")</f>
        <v>0</v>
      </c>
      <c r="G12" s="2">
        <f>SUMIFS(G:G,$D:$D,"NYTT",$E:$E,"INNSP")</f>
        <v>0</v>
      </c>
      <c r="H12" s="2">
        <f>SUMIFS(H:H,$D:$D,"NYTT",$E:$E,"INNSP")</f>
        <v>0</v>
      </c>
      <c r="I12" s="2">
        <f>SUMIFS(I:I,$D:$D,"NYTT",$E:$E,"INNSP")</f>
        <v>0</v>
      </c>
    </row>
    <row r="13" spans="1:10" s="38" customFormat="1" x14ac:dyDescent="0.25">
      <c r="A13" s="316" t="s">
        <v>7</v>
      </c>
      <c r="B13" s="557"/>
      <c r="C13" s="317"/>
      <c r="D13" s="318"/>
      <c r="E13" s="318"/>
      <c r="F13" s="267">
        <f>SUMIFS(F:F,$D:$D,"NYTT",$E:$E,"MÅ")</f>
        <v>99150</v>
      </c>
      <c r="G13" s="267">
        <f>SUMIFS(G:G,$D:$D,"NYTT",$E:$E,"MÅ")</f>
        <v>101300</v>
      </c>
      <c r="H13" s="267">
        <f>SUMIFS(H:H,$D:$D,"NYTT",$E:$E,"MÅ")</f>
        <v>96300</v>
      </c>
      <c r="I13" s="267">
        <f>SUMIFS(I:I,$D:$D,"NYTT",$E:$E,"MÅ")</f>
        <v>96300</v>
      </c>
    </row>
    <row r="14" spans="1:10" s="38" customFormat="1" x14ac:dyDescent="0.25">
      <c r="A14" s="307" t="s">
        <v>8</v>
      </c>
      <c r="B14" s="559"/>
      <c r="C14" s="309"/>
      <c r="D14" s="323"/>
      <c r="E14" s="323"/>
      <c r="F14" s="324">
        <f>F6+F8+F9+F12+F13</f>
        <v>-9779</v>
      </c>
      <c r="G14" s="324">
        <f>G6+G8+G9+G12+G13</f>
        <v>84927</v>
      </c>
      <c r="H14" s="324">
        <f>H6+H8+H9+H12+H13</f>
        <v>123156</v>
      </c>
      <c r="I14" s="324">
        <f>I6+I8+I9+I12+I13</f>
        <v>121013</v>
      </c>
    </row>
    <row r="15" spans="1:10" s="38" customFormat="1" x14ac:dyDescent="0.25">
      <c r="A15" s="312"/>
      <c r="B15" s="555"/>
      <c r="C15" s="302"/>
      <c r="D15" s="304"/>
      <c r="E15" s="304"/>
      <c r="F15" s="491"/>
      <c r="G15" s="313"/>
      <c r="H15" s="313"/>
      <c r="I15" s="313"/>
    </row>
    <row r="16" spans="1:10" s="38" customFormat="1" x14ac:dyDescent="0.25">
      <c r="A16" s="312" t="s">
        <v>9</v>
      </c>
      <c r="B16" s="555"/>
      <c r="C16" s="302"/>
      <c r="D16" s="304"/>
      <c r="E16" s="304"/>
      <c r="F16" s="267">
        <f>SUMIFS(F:F,$D:$D,"Endring",$E:$E,"endring")</f>
        <v>0</v>
      </c>
      <c r="G16" s="267">
        <f>SUMIFS(G:G,$D:$D,"Endring",$E:$E,"endring")</f>
        <v>0</v>
      </c>
      <c r="H16" s="267">
        <f>SUMIFS(H:H,$D:$D,"Endring",$E:$E,"endring")</f>
        <v>0</v>
      </c>
      <c r="I16" s="267">
        <f>SUMIFS(I:I,$D:$D,"Endring",$E:$E,"endring")</f>
        <v>0</v>
      </c>
    </row>
    <row r="17" spans="1:10" s="38" customFormat="1" x14ac:dyDescent="0.25">
      <c r="A17" s="312"/>
      <c r="B17" s="555"/>
      <c r="C17" s="302"/>
      <c r="D17" s="304"/>
      <c r="E17" s="304"/>
      <c r="F17" s="491"/>
      <c r="G17" s="313"/>
      <c r="H17" s="313"/>
      <c r="I17" s="313"/>
    </row>
    <row r="18" spans="1:10" s="38" customFormat="1" x14ac:dyDescent="0.25">
      <c r="A18" s="314" t="s">
        <v>10</v>
      </c>
      <c r="B18" s="341"/>
      <c r="C18" s="207"/>
      <c r="D18" s="315"/>
      <c r="E18" s="315"/>
      <c r="F18" s="39">
        <f>SUMIF($D:$D,"NYTT",F:F)-F19-F13-F12</f>
        <v>151506</v>
      </c>
      <c r="G18" s="39">
        <f>SUMIF($D:$D,"NYTT",G:G)-G19-G13-G12</f>
        <v>156111</v>
      </c>
      <c r="H18" s="39">
        <f>SUMIF($D:$D,"NYTT",H:H)-H19-H13-H12</f>
        <v>156772</v>
      </c>
      <c r="I18" s="39">
        <f>SUMIF($D:$D,"NYTT",I:I)-I19-I13-I12</f>
        <v>161540</v>
      </c>
    </row>
    <row r="19" spans="1:10" s="38" customFormat="1" x14ac:dyDescent="0.25">
      <c r="A19" s="325" t="s">
        <v>11</v>
      </c>
      <c r="B19" s="341"/>
      <c r="C19" s="326"/>
      <c r="D19" s="315"/>
      <c r="E19" s="315"/>
      <c r="F19" s="327">
        <f>SUMIFS(F:F,$D:$D,"NYTT",$E:$E,"IKKE PRI")</f>
        <v>6270</v>
      </c>
      <c r="G19" s="327">
        <f>SUMIFS(G:G,$D:$D,"NYTT",$E:$E,"IKKE PRI")</f>
        <v>6150</v>
      </c>
      <c r="H19" s="327">
        <f>SUMIFS(H:H,$D:$D,"NYTT",$E:$E,"IKKE PRI")</f>
        <v>5920</v>
      </c>
      <c r="I19" s="327">
        <f>SUMIFS(I:I,$D:$D,"NYTT",$E:$E,"IKKE PRI")</f>
        <v>6040</v>
      </c>
    </row>
    <row r="20" spans="1:10" s="38" customFormat="1" x14ac:dyDescent="0.25">
      <c r="A20" s="325"/>
      <c r="B20" s="341"/>
      <c r="C20" s="326"/>
      <c r="D20" s="315"/>
      <c r="E20" s="315"/>
      <c r="F20" s="292">
        <f>(F8+F9+F13+F18+F19+F12+F16)-SUMIF($B:$B,"X",F:F)</f>
        <v>0</v>
      </c>
      <c r="G20" s="292">
        <f>(G8+G9+G13+G18+G19+G12+G16)-SUMIF($B:$B,"X",G:G)</f>
        <v>0</v>
      </c>
      <c r="H20" s="292">
        <f>(H8+H9+H13+H18+H19+H12+H16)-SUMIF($B:$B,"X",H:H)</f>
        <v>0</v>
      </c>
      <c r="I20" s="292">
        <f>(I8+I9+I13+I18+I19+I12+I16)-SUMIF($B:$B,"X",I:I)</f>
        <v>0</v>
      </c>
    </row>
    <row r="21" spans="1:10" s="38" customFormat="1" x14ac:dyDescent="0.25">
      <c r="A21" s="328"/>
      <c r="B21" s="329"/>
      <c r="C21" s="298"/>
      <c r="D21" s="330"/>
      <c r="E21" s="330"/>
      <c r="F21" s="331"/>
      <c r="G21" s="331"/>
      <c r="H21" s="331"/>
      <c r="I21" s="331"/>
    </row>
    <row r="22" spans="1:10" s="38" customFormat="1" x14ac:dyDescent="0.25">
      <c r="A22" s="332"/>
      <c r="B22" s="553"/>
      <c r="C22" s="333"/>
      <c r="D22" s="93"/>
      <c r="E22" s="93"/>
      <c r="F22" s="334">
        <f>F8+F9+F13+F12</f>
        <v>260855</v>
      </c>
      <c r="G22" s="334">
        <f>G8+G9+G13+G12</f>
        <v>264027</v>
      </c>
      <c r="H22" s="334">
        <f>H8+H9+H13+H12</f>
        <v>281432</v>
      </c>
      <c r="I22" s="334">
        <f>I8+I9+I13+I12</f>
        <v>282672</v>
      </c>
    </row>
    <row r="23" spans="1:10" s="38" customFormat="1" x14ac:dyDescent="0.25">
      <c r="A23" s="332"/>
      <c r="B23" s="553"/>
      <c r="C23" s="333"/>
      <c r="D23" s="93"/>
      <c r="E23" s="93"/>
      <c r="F23" s="334"/>
      <c r="G23" s="334"/>
      <c r="H23" s="334"/>
      <c r="I23" s="334"/>
    </row>
    <row r="24" spans="1:10" s="38" customFormat="1" hidden="1" x14ac:dyDescent="0.25">
      <c r="A24" s="192" t="s">
        <v>12</v>
      </c>
      <c r="B24" s="560"/>
      <c r="C24" s="236"/>
      <c r="D24" s="237"/>
      <c r="E24" s="237"/>
      <c r="F24" s="193"/>
      <c r="G24" s="193"/>
      <c r="H24" s="193"/>
      <c r="I24" s="193"/>
    </row>
    <row r="25" spans="1:10" s="125" customFormat="1" hidden="1" x14ac:dyDescent="0.25">
      <c r="A25" s="194" t="s">
        <v>13</v>
      </c>
      <c r="B25" s="561"/>
      <c r="C25" s="195"/>
      <c r="D25" s="239"/>
      <c r="E25" s="239"/>
      <c r="F25" s="196" t="e">
        <f>SUMIF(#REF!,"FOND",F:F)</f>
        <v>#REF!</v>
      </c>
      <c r="G25" s="196" t="e">
        <f>SUMIF(#REF!,"FOND",G:G)</f>
        <v>#REF!</v>
      </c>
      <c r="H25" s="196" t="e">
        <f>SUMIF(#REF!,"FOND",H:H)</f>
        <v>#REF!</v>
      </c>
      <c r="I25" s="196" t="e">
        <f>SUMIF(#REF!,"FOND",I:I)</f>
        <v>#REF!</v>
      </c>
      <c r="J25" s="38"/>
    </row>
    <row r="26" spans="1:10" s="38" customFormat="1" hidden="1" x14ac:dyDescent="0.25">
      <c r="A26" s="197" t="s">
        <v>14</v>
      </c>
      <c r="B26" s="560"/>
      <c r="C26" s="236"/>
      <c r="D26" s="237"/>
      <c r="E26" s="237"/>
      <c r="F26" s="198" t="e">
        <f>SUBTOTAL(9,F24:F25)</f>
        <v>#REF!</v>
      </c>
      <c r="G26" s="198" t="e">
        <f>SUBTOTAL(9,G24:G25)</f>
        <v>#REF!</v>
      </c>
      <c r="H26" s="198" t="e">
        <f>SUBTOTAL(9,H24:H25)</f>
        <v>#REF!</v>
      </c>
      <c r="I26" s="198" t="e">
        <f>SUBTOTAL(9,I24:I25)</f>
        <v>#REF!</v>
      </c>
    </row>
    <row r="27" spans="1:10" s="38" customFormat="1" x14ac:dyDescent="0.25">
      <c r="A27" s="28"/>
      <c r="B27" s="562"/>
      <c r="C27" s="11"/>
      <c r="D27" s="242"/>
      <c r="E27" s="242"/>
      <c r="F27" s="336">
        <f>(F8+F9+F13+F18+F19+F12)-SUMIF($B:$B,"X",F:F)</f>
        <v>0</v>
      </c>
      <c r="G27" s="336">
        <f>(G8+G9+G13+G18+G19+G12)-SUMIF($B:$B,"X",G:G)</f>
        <v>0</v>
      </c>
      <c r="H27" s="336">
        <f>(H8+H9+H13+H18+H19+H12)-SUMIF($B:$B,"X",H:H)</f>
        <v>0</v>
      </c>
      <c r="I27" s="336">
        <f>(I8+I9+I13+I18+I19+I12)-SUMIF($B:$B,"X",I:I)</f>
        <v>0</v>
      </c>
    </row>
    <row r="28" spans="1:10" s="38" customFormat="1" x14ac:dyDescent="0.25">
      <c r="A28" s="4" t="s">
        <v>15</v>
      </c>
      <c r="B28" s="5" t="s">
        <v>16</v>
      </c>
      <c r="C28" s="3" t="s">
        <v>17</v>
      </c>
      <c r="D28" s="8" t="s">
        <v>18</v>
      </c>
      <c r="E28" s="46" t="s">
        <v>19</v>
      </c>
      <c r="F28" s="4">
        <v>2023</v>
      </c>
      <c r="G28" s="4">
        <v>2024</v>
      </c>
      <c r="H28" s="4">
        <v>2025</v>
      </c>
      <c r="I28" s="4">
        <v>2026</v>
      </c>
      <c r="J28" s="4" t="s">
        <v>20</v>
      </c>
    </row>
    <row r="29" spans="1:10" s="38" customFormat="1" x14ac:dyDescent="0.25">
      <c r="A29" s="234"/>
      <c r="B29" s="562"/>
      <c r="C29" s="17"/>
      <c r="D29" s="51"/>
      <c r="E29" s="549"/>
      <c r="F29" s="550"/>
      <c r="G29" s="550"/>
      <c r="H29" s="550"/>
      <c r="I29" s="235"/>
    </row>
    <row r="30" spans="1:10" s="38" customFormat="1" x14ac:dyDescent="0.25">
      <c r="A30" s="15"/>
      <c r="B30" s="44"/>
      <c r="C30" s="16" t="s">
        <v>21</v>
      </c>
      <c r="D30" s="41"/>
      <c r="E30" s="551"/>
      <c r="F30" s="552"/>
      <c r="G30" s="552"/>
      <c r="H30" s="552"/>
      <c r="I30" s="85"/>
    </row>
    <row r="31" spans="1:10" s="38" customFormat="1" ht="22.5" x14ac:dyDescent="0.25">
      <c r="A31" s="78" t="s">
        <v>22</v>
      </c>
      <c r="B31" s="78" t="str">
        <f>IF(ISBLANK(A31),"","I"&amp;COUNTA($A$31:A31))</f>
        <v>I1</v>
      </c>
      <c r="C31" s="526" t="s">
        <v>23</v>
      </c>
      <c r="D31" s="79" t="s">
        <v>22</v>
      </c>
      <c r="E31" s="79" t="s">
        <v>24</v>
      </c>
      <c r="F31" s="481">
        <v>-2994000</v>
      </c>
      <c r="G31" s="481">
        <v>-3026000</v>
      </c>
      <c r="H31" s="481">
        <v>-3058000</v>
      </c>
      <c r="I31" s="481">
        <v>-3089000</v>
      </c>
      <c r="J31" s="38" t="s">
        <v>70</v>
      </c>
    </row>
    <row r="32" spans="1:10" s="38" customFormat="1" ht="22.5" x14ac:dyDescent="0.25">
      <c r="A32" s="78" t="s">
        <v>22</v>
      </c>
      <c r="B32" s="78" t="str">
        <f>IF(ISBLANK(A32),"","I"&amp;COUNTA($A$31:A32))</f>
        <v>I2</v>
      </c>
      <c r="C32" s="526" t="s">
        <v>29</v>
      </c>
      <c r="D32" s="79" t="s">
        <v>22</v>
      </c>
      <c r="E32" s="79" t="s">
        <v>24</v>
      </c>
      <c r="F32" s="481">
        <v>-2255000</v>
      </c>
      <c r="G32" s="481">
        <v>-2286000</v>
      </c>
      <c r="H32" s="481">
        <v>-2309000</v>
      </c>
      <c r="I32" s="481">
        <v>-2331000</v>
      </c>
      <c r="J32" s="38" t="s">
        <v>70</v>
      </c>
    </row>
    <row r="33" spans="1:10" s="38" customFormat="1" ht="22.5" x14ac:dyDescent="0.25">
      <c r="A33" s="78" t="s">
        <v>22</v>
      </c>
      <c r="B33" s="78" t="str">
        <f>IF(ISBLANK(A33),"","I"&amp;COUNTA($A$31:A33))</f>
        <v>I3</v>
      </c>
      <c r="C33" s="526" t="s">
        <v>32</v>
      </c>
      <c r="D33" s="79" t="s">
        <v>22</v>
      </c>
      <c r="E33" s="79" t="s">
        <v>24</v>
      </c>
      <c r="F33" s="481">
        <v>-60000</v>
      </c>
      <c r="G33" s="576">
        <v>-5000</v>
      </c>
      <c r="H33" s="576">
        <v>-5000</v>
      </c>
      <c r="I33" s="576">
        <v>-5000</v>
      </c>
      <c r="J33" s="38" t="s">
        <v>616</v>
      </c>
    </row>
    <row r="34" spans="1:10" s="38" customFormat="1" ht="22.5" x14ac:dyDescent="0.25">
      <c r="A34" s="78" t="s">
        <v>22</v>
      </c>
      <c r="B34" s="78" t="str">
        <f>IF(ISBLANK(A34),"","I"&amp;COUNTA($A$31:A34))</f>
        <v>I4</v>
      </c>
      <c r="C34" s="526" t="s">
        <v>34</v>
      </c>
      <c r="D34" s="79" t="s">
        <v>22</v>
      </c>
      <c r="E34" s="79" t="s">
        <v>24</v>
      </c>
      <c r="F34" s="481">
        <v>-126000</v>
      </c>
      <c r="G34" s="481">
        <v>-82000</v>
      </c>
      <c r="H34" s="481">
        <v>-64000</v>
      </c>
      <c r="I34" s="481">
        <v>-64000</v>
      </c>
      <c r="J34" s="38" t="s">
        <v>617</v>
      </c>
    </row>
    <row r="35" spans="1:10" s="38" customFormat="1" ht="22.5" x14ac:dyDescent="0.25">
      <c r="A35" s="78" t="s">
        <v>22</v>
      </c>
      <c r="B35" s="78" t="s">
        <v>618</v>
      </c>
      <c r="C35" s="526" t="s">
        <v>311</v>
      </c>
      <c r="D35" s="79" t="s">
        <v>22</v>
      </c>
      <c r="E35" s="79" t="s">
        <v>24</v>
      </c>
      <c r="F35" s="576">
        <v>126000</v>
      </c>
      <c r="G35" s="576">
        <v>82000</v>
      </c>
      <c r="H35" s="576">
        <v>64000</v>
      </c>
      <c r="I35" s="576">
        <v>64000</v>
      </c>
      <c r="J35" s="38" t="s">
        <v>619</v>
      </c>
    </row>
    <row r="36" spans="1:10" s="38" customFormat="1" ht="22.5" x14ac:dyDescent="0.25">
      <c r="A36" s="78" t="s">
        <v>22</v>
      </c>
      <c r="B36" s="78" t="str">
        <f>IF(ISBLANK(A36),"","I"&amp;COUNTA($A$31:A36))</f>
        <v>I6</v>
      </c>
      <c r="C36" s="526" t="s">
        <v>36</v>
      </c>
      <c r="D36" s="79" t="s">
        <v>22</v>
      </c>
      <c r="E36" s="79" t="s">
        <v>24</v>
      </c>
      <c r="F36" s="481">
        <v>-11000</v>
      </c>
      <c r="G36" s="481">
        <v>-11000</v>
      </c>
      <c r="H36" s="481">
        <v>-11000</v>
      </c>
      <c r="I36" s="481">
        <v>-11000</v>
      </c>
      <c r="J36" s="38" t="s">
        <v>37</v>
      </c>
    </row>
    <row r="37" spans="1:10" s="38" customFormat="1" ht="22.5" x14ac:dyDescent="0.25">
      <c r="A37" s="78" t="s">
        <v>22</v>
      </c>
      <c r="B37" s="78" t="str">
        <f>IF(ISBLANK(A37),"","I"&amp;COUNTA($A$31:A37))</f>
        <v>I7</v>
      </c>
      <c r="C37" s="526" t="s">
        <v>38</v>
      </c>
      <c r="D37" s="79" t="s">
        <v>22</v>
      </c>
      <c r="E37" s="79" t="s">
        <v>24</v>
      </c>
      <c r="F37" s="481">
        <v>11000</v>
      </c>
      <c r="G37" s="481">
        <v>11000</v>
      </c>
      <c r="H37" s="481">
        <v>11000</v>
      </c>
      <c r="I37" s="481">
        <v>11000</v>
      </c>
      <c r="J37" s="38" t="s">
        <v>37</v>
      </c>
    </row>
    <row r="38" spans="1:10" s="38" customFormat="1" ht="25.5" x14ac:dyDescent="0.25">
      <c r="A38" s="78" t="s">
        <v>22</v>
      </c>
      <c r="B38" s="78" t="str">
        <f>IF(ISBLANK(A38),"","I"&amp;COUNTA($A$31:A38))</f>
        <v>I8</v>
      </c>
      <c r="C38" s="526" t="s">
        <v>39</v>
      </c>
      <c r="D38" s="79" t="s">
        <v>22</v>
      </c>
      <c r="E38" s="79" t="s">
        <v>24</v>
      </c>
      <c r="F38" s="481">
        <v>-12100</v>
      </c>
      <c r="G38" s="481">
        <v>-11300</v>
      </c>
      <c r="H38" s="481">
        <v>-10200</v>
      </c>
      <c r="I38" s="481">
        <v>-9500</v>
      </c>
      <c r="J38" s="38" t="s">
        <v>401</v>
      </c>
    </row>
    <row r="39" spans="1:10" s="38" customFormat="1" ht="22.5" x14ac:dyDescent="0.25">
      <c r="A39" s="78" t="s">
        <v>22</v>
      </c>
      <c r="B39" s="78" t="str">
        <f>IF(ISBLANK(A39),"","I"&amp;COUNTA($A$31:A39))</f>
        <v>I9</v>
      </c>
      <c r="C39" s="578" t="s">
        <v>41</v>
      </c>
      <c r="D39" s="579" t="s">
        <v>22</v>
      </c>
      <c r="E39" s="579" t="s">
        <v>24</v>
      </c>
      <c r="F39" s="592">
        <v>-119087</v>
      </c>
      <c r="G39" s="592">
        <v>-98138</v>
      </c>
      <c r="H39" s="592">
        <v>-73164</v>
      </c>
      <c r="I39" s="481">
        <v>-68436</v>
      </c>
      <c r="J39" s="580" t="s">
        <v>402</v>
      </c>
    </row>
    <row r="40" spans="1:10" s="38" customFormat="1" ht="22.5" x14ac:dyDescent="0.25">
      <c r="A40" s="78" t="s">
        <v>22</v>
      </c>
      <c r="B40" s="78" t="str">
        <f>IF(ISBLANK(A40),"","I"&amp;COUNTA($A$31:A40))</f>
        <v>I10</v>
      </c>
      <c r="C40" s="526" t="s">
        <v>43</v>
      </c>
      <c r="D40" s="79" t="s">
        <v>22</v>
      </c>
      <c r="E40" s="79" t="s">
        <v>24</v>
      </c>
      <c r="F40" s="481">
        <v>173000</v>
      </c>
      <c r="G40" s="481">
        <v>194000</v>
      </c>
      <c r="H40" s="481">
        <v>206000</v>
      </c>
      <c r="I40" s="481">
        <v>229000</v>
      </c>
      <c r="J40" s="38" t="s">
        <v>307</v>
      </c>
    </row>
    <row r="41" spans="1:10" s="38" customFormat="1" ht="22.5" x14ac:dyDescent="0.25">
      <c r="A41" s="590" t="s">
        <v>22</v>
      </c>
      <c r="B41" s="590" t="str">
        <f>IF(ISBLANK(A41),"","I"&amp;COUNTA($A$31:A41))</f>
        <v>I11</v>
      </c>
      <c r="C41" s="587" t="s">
        <v>306</v>
      </c>
      <c r="D41" s="588" t="s">
        <v>22</v>
      </c>
      <c r="E41" s="588" t="s">
        <v>24</v>
      </c>
      <c r="F41" s="589">
        <v>2190</v>
      </c>
      <c r="G41" s="589">
        <v>7395</v>
      </c>
      <c r="H41" s="589">
        <v>11226</v>
      </c>
      <c r="I41" s="589">
        <v>13504</v>
      </c>
      <c r="J41" s="591" t="s">
        <v>307</v>
      </c>
    </row>
    <row r="42" spans="1:10" s="38" customFormat="1" ht="22.5" x14ac:dyDescent="0.25">
      <c r="A42" s="78" t="s">
        <v>22</v>
      </c>
      <c r="B42" s="78" t="str">
        <f>IF(ISBLANK(A42),"","I"&amp;COUNTA($A$31:A42))</f>
        <v>I12</v>
      </c>
      <c r="C42" s="526" t="s">
        <v>47</v>
      </c>
      <c r="D42" s="79" t="s">
        <v>22</v>
      </c>
      <c r="E42" s="79" t="s">
        <v>24</v>
      </c>
      <c r="F42" s="481">
        <v>310000</v>
      </c>
      <c r="G42" s="481">
        <v>330000</v>
      </c>
      <c r="H42" s="481">
        <v>358000</v>
      </c>
      <c r="I42" s="481">
        <v>377000</v>
      </c>
      <c r="J42" s="38" t="s">
        <v>307</v>
      </c>
    </row>
    <row r="43" spans="1:10" s="38" customFormat="1" ht="22.5" x14ac:dyDescent="0.25">
      <c r="A43" s="590" t="s">
        <v>22</v>
      </c>
      <c r="B43" s="590" t="str">
        <f>IF(ISBLANK(A43),"","I"&amp;COUNTA($A$31:A43))</f>
        <v>I13</v>
      </c>
      <c r="C43" s="587" t="s">
        <v>308</v>
      </c>
      <c r="D43" s="588" t="s">
        <v>22</v>
      </c>
      <c r="E43" s="588" t="s">
        <v>24</v>
      </c>
      <c r="F43" s="589">
        <v>2135</v>
      </c>
      <c r="G43" s="589">
        <v>6754</v>
      </c>
      <c r="H43" s="589">
        <v>11071</v>
      </c>
      <c r="I43" s="589">
        <v>13582</v>
      </c>
      <c r="J43" s="591" t="s">
        <v>307</v>
      </c>
    </row>
    <row r="44" spans="1:10" s="38" customFormat="1" ht="22.5" x14ac:dyDescent="0.25">
      <c r="A44" s="78" t="s">
        <v>22</v>
      </c>
      <c r="B44" s="78" t="str">
        <f>IF(ISBLANK(A44),"","I"&amp;COUNTA($A$31:A44))</f>
        <v>I14</v>
      </c>
      <c r="C44" s="526" t="s">
        <v>50</v>
      </c>
      <c r="D44" s="79" t="s">
        <v>22</v>
      </c>
      <c r="E44" s="79" t="s">
        <v>24</v>
      </c>
      <c r="F44" s="481">
        <v>-56000</v>
      </c>
      <c r="G44" s="481">
        <v>-60000</v>
      </c>
      <c r="H44" s="481">
        <v>-57000</v>
      </c>
      <c r="I44" s="481">
        <v>-57000</v>
      </c>
      <c r="J44" s="38" t="s">
        <v>307</v>
      </c>
    </row>
    <row r="45" spans="1:10" s="38" customFormat="1" ht="22.5" x14ac:dyDescent="0.25">
      <c r="A45" s="78" t="s">
        <v>22</v>
      </c>
      <c r="B45" s="78" t="str">
        <f>IF(ISBLANK(A45),"","I"&amp;COUNTA($A$31:A45))</f>
        <v>I15</v>
      </c>
      <c r="C45" s="526" t="s">
        <v>51</v>
      </c>
      <c r="D45" s="79" t="s">
        <v>22</v>
      </c>
      <c r="E45" s="79" t="s">
        <v>24</v>
      </c>
      <c r="F45" s="481">
        <v>-79900</v>
      </c>
      <c r="G45" s="481">
        <v>-88700</v>
      </c>
      <c r="H45" s="481">
        <v>-88200</v>
      </c>
      <c r="I45" s="481">
        <v>-91500</v>
      </c>
      <c r="J45" s="38" t="s">
        <v>307</v>
      </c>
    </row>
    <row r="46" spans="1:10" s="38" customFormat="1" ht="22.5" x14ac:dyDescent="0.25">
      <c r="A46" s="78" t="s">
        <v>22</v>
      </c>
      <c r="B46" s="78" t="str">
        <f>IF(ISBLANK(A46),"","I"&amp;COUNTA($A$31:A46))</f>
        <v>I16</v>
      </c>
      <c r="C46" s="526" t="s">
        <v>52</v>
      </c>
      <c r="D46" s="79" t="s">
        <v>22</v>
      </c>
      <c r="E46" s="79" t="s">
        <v>24</v>
      </c>
      <c r="F46" s="481">
        <v>79900</v>
      </c>
      <c r="G46" s="481">
        <v>88700</v>
      </c>
      <c r="H46" s="481">
        <v>88200</v>
      </c>
      <c r="I46" s="481">
        <v>91500</v>
      </c>
      <c r="J46" s="38" t="s">
        <v>307</v>
      </c>
    </row>
    <row r="47" spans="1:10" s="38" customFormat="1" ht="22.5" x14ac:dyDescent="0.25">
      <c r="A47" s="78" t="s">
        <v>22</v>
      </c>
      <c r="B47" s="78" t="str">
        <f>IF(ISBLANK(A47),"","I"&amp;COUNTA($A$31:A47))</f>
        <v>I17</v>
      </c>
      <c r="C47" s="526" t="s">
        <v>53</v>
      </c>
      <c r="D47" s="79" t="s">
        <v>22</v>
      </c>
      <c r="E47" s="79" t="s">
        <v>24</v>
      </c>
      <c r="F47" s="481">
        <v>-15900</v>
      </c>
      <c r="G47" s="481">
        <v>-15600</v>
      </c>
      <c r="H47" s="481">
        <v>-14000</v>
      </c>
      <c r="I47" s="481">
        <v>-12900</v>
      </c>
      <c r="J47" s="38" t="s">
        <v>307</v>
      </c>
    </row>
    <row r="48" spans="1:10" s="38" customFormat="1" ht="22.5" x14ac:dyDescent="0.25">
      <c r="A48" s="78" t="s">
        <v>22</v>
      </c>
      <c r="B48" s="78" t="str">
        <f>IF(ISBLANK(A48),"","I"&amp;COUNTA($A$31:A48))</f>
        <v>I18</v>
      </c>
      <c r="C48" s="526" t="s">
        <v>54</v>
      </c>
      <c r="D48" s="79" t="s">
        <v>22</v>
      </c>
      <c r="E48" s="79" t="s">
        <v>24</v>
      </c>
      <c r="F48" s="481">
        <v>-129000</v>
      </c>
      <c r="G48" s="481">
        <v>-131000</v>
      </c>
      <c r="H48" s="481">
        <v>-135000</v>
      </c>
      <c r="I48" s="481">
        <v>-139000</v>
      </c>
      <c r="J48" s="38" t="s">
        <v>70</v>
      </c>
    </row>
    <row r="49" spans="1:11" s="38" customFormat="1" ht="22.5" x14ac:dyDescent="0.25">
      <c r="A49" s="78" t="s">
        <v>22</v>
      </c>
      <c r="B49" s="78" t="str">
        <f>IF(ISBLANK(A49),"","I"&amp;COUNTA($A$31:A49))</f>
        <v>I19</v>
      </c>
      <c r="C49" s="526" t="s">
        <v>55</v>
      </c>
      <c r="D49" s="79" t="s">
        <v>22</v>
      </c>
      <c r="E49" s="79" t="s">
        <v>24</v>
      </c>
      <c r="F49" s="481">
        <v>-1339</v>
      </c>
      <c r="G49" s="481">
        <v>-1607</v>
      </c>
      <c r="H49" s="481">
        <v>-1607</v>
      </c>
      <c r="I49" s="481">
        <v>-1607</v>
      </c>
      <c r="J49" s="38" t="s">
        <v>475</v>
      </c>
    </row>
    <row r="50" spans="1:11" s="38" customFormat="1" ht="22.5" x14ac:dyDescent="0.25">
      <c r="A50" s="78" t="s">
        <v>22</v>
      </c>
      <c r="B50" s="78" t="str">
        <f>IF(ISBLANK(A50),"","I"&amp;COUNTA($A$31:A50))</f>
        <v>I20</v>
      </c>
      <c r="C50" s="526" t="s">
        <v>57</v>
      </c>
      <c r="D50" s="79" t="s">
        <v>22</v>
      </c>
      <c r="E50" s="79" t="s">
        <v>24</v>
      </c>
      <c r="F50" s="481">
        <v>-2000</v>
      </c>
      <c r="G50" s="481">
        <v>-2000</v>
      </c>
      <c r="H50" s="481">
        <v>-2000</v>
      </c>
      <c r="I50" s="481">
        <v>-2000</v>
      </c>
      <c r="J50" s="38" t="s">
        <v>475</v>
      </c>
    </row>
    <row r="51" spans="1:11" s="38" customFormat="1" ht="22.5" x14ac:dyDescent="0.25">
      <c r="A51" s="78" t="s">
        <v>22</v>
      </c>
      <c r="B51" s="78" t="str">
        <f>IF(ISBLANK(A51),"","I"&amp;COUNTA($A$31:A51))</f>
        <v>I21</v>
      </c>
      <c r="C51" s="526" t="s">
        <v>59</v>
      </c>
      <c r="D51" s="79" t="s">
        <v>22</v>
      </c>
      <c r="E51" s="79" t="s">
        <v>24</v>
      </c>
      <c r="F51" s="481">
        <v>-5100</v>
      </c>
      <c r="G51" s="481">
        <v>-5000</v>
      </c>
      <c r="H51" s="481">
        <v>-4600</v>
      </c>
      <c r="I51" s="481">
        <v>-4300</v>
      </c>
      <c r="J51" s="38" t="s">
        <v>307</v>
      </c>
    </row>
    <row r="52" spans="1:11" s="38" customFormat="1" ht="22.5" x14ac:dyDescent="0.25">
      <c r="A52" s="78" t="s">
        <v>22</v>
      </c>
      <c r="B52" s="78" t="str">
        <f>IF(ISBLANK(A52),"","I"&amp;COUNTA($A$31:A52))</f>
        <v>I22</v>
      </c>
      <c r="C52" s="526" t="s">
        <v>60</v>
      </c>
      <c r="D52" s="79" t="s">
        <v>22</v>
      </c>
      <c r="E52" s="79" t="s">
        <v>24</v>
      </c>
      <c r="F52" s="481">
        <v>-4000</v>
      </c>
      <c r="G52" s="481">
        <v>-4000</v>
      </c>
      <c r="H52" s="481">
        <v>-4000</v>
      </c>
      <c r="I52" s="481">
        <v>-4000</v>
      </c>
      <c r="J52" s="38" t="s">
        <v>475</v>
      </c>
    </row>
    <row r="53" spans="1:11" s="38" customFormat="1" ht="22.5" x14ac:dyDescent="0.25">
      <c r="A53" s="78" t="s">
        <v>22</v>
      </c>
      <c r="B53" s="78" t="str">
        <f>IF(ISBLANK(A53),"","I"&amp;COUNTA($A$31:A53))</f>
        <v>I23</v>
      </c>
      <c r="C53" s="526" t="s">
        <v>62</v>
      </c>
      <c r="D53" s="79" t="s">
        <v>22</v>
      </c>
      <c r="E53" s="79" t="s">
        <v>24</v>
      </c>
      <c r="F53" s="481">
        <v>-500</v>
      </c>
      <c r="G53" s="481">
        <v>-500</v>
      </c>
      <c r="H53" s="481">
        <v>-500</v>
      </c>
      <c r="I53" s="481">
        <v>-500</v>
      </c>
      <c r="J53" s="38" t="s">
        <v>475</v>
      </c>
    </row>
    <row r="54" spans="1:11" s="38" customFormat="1" ht="22.5" x14ac:dyDescent="0.25">
      <c r="A54" s="78" t="s">
        <v>22</v>
      </c>
      <c r="B54" s="78" t="str">
        <f>IF(ISBLANK(A54),"","I"&amp;COUNTA($A$31:A54))</f>
        <v>I24</v>
      </c>
      <c r="C54" s="526" t="s">
        <v>64</v>
      </c>
      <c r="D54" s="79" t="s">
        <v>22</v>
      </c>
      <c r="E54" s="79" t="s">
        <v>24</v>
      </c>
      <c r="F54" s="413">
        <v>61009</v>
      </c>
      <c r="G54" s="413">
        <v>97563</v>
      </c>
      <c r="H54" s="413">
        <v>100332</v>
      </c>
      <c r="I54" s="413">
        <v>100332</v>
      </c>
    </row>
    <row r="55" spans="1:11" s="38" customFormat="1" ht="22.5" x14ac:dyDescent="0.25">
      <c r="A55" s="78" t="s">
        <v>22</v>
      </c>
      <c r="B55" s="78" t="str">
        <f>IF(ISBLANK(A55),"","I"&amp;COUNTA($A$31:A55))</f>
        <v>I25</v>
      </c>
      <c r="C55" s="98" t="s">
        <v>68</v>
      </c>
      <c r="D55" s="79" t="s">
        <v>22</v>
      </c>
      <c r="E55" s="79" t="s">
        <v>24</v>
      </c>
      <c r="F55" s="481"/>
      <c r="G55" s="481"/>
      <c r="H55" s="481"/>
      <c r="I55" s="481"/>
    </row>
    <row r="56" spans="1:11" s="38" customFormat="1" ht="22.5" x14ac:dyDescent="0.25">
      <c r="A56" s="78" t="s">
        <v>22</v>
      </c>
      <c r="B56" s="78" t="str">
        <f>IF(ISBLANK(A56),"","I"&amp;COUNTA($A$31:A56))</f>
        <v>I26</v>
      </c>
      <c r="C56" s="526" t="s">
        <v>69</v>
      </c>
      <c r="D56" s="79" t="s">
        <v>22</v>
      </c>
      <c r="E56" s="79" t="s">
        <v>24</v>
      </c>
      <c r="F56" s="481">
        <v>340000</v>
      </c>
      <c r="G56" s="481">
        <v>350000</v>
      </c>
      <c r="H56" s="481">
        <v>360000</v>
      </c>
      <c r="I56" s="481">
        <v>370000</v>
      </c>
      <c r="J56" s="38" t="s">
        <v>70</v>
      </c>
    </row>
    <row r="57" spans="1:11" s="38" customFormat="1" ht="22.5" x14ac:dyDescent="0.25">
      <c r="A57" s="45" t="s">
        <v>22</v>
      </c>
      <c r="B57" s="78" t="str">
        <f>IF(ISBLANK(A57),"","I"&amp;COUNTA($A$31:A57))</f>
        <v>I27</v>
      </c>
      <c r="C57" s="526" t="s">
        <v>71</v>
      </c>
      <c r="D57" s="79" t="s">
        <v>22</v>
      </c>
      <c r="E57" s="79" t="s">
        <v>24</v>
      </c>
      <c r="F57" s="481">
        <v>-340000</v>
      </c>
      <c r="G57" s="481">
        <v>-350000</v>
      </c>
      <c r="H57" s="481">
        <v>-360000</v>
      </c>
      <c r="I57" s="481">
        <v>-370000</v>
      </c>
      <c r="J57" s="38" t="s">
        <v>70</v>
      </c>
    </row>
    <row r="58" spans="1:11" s="38" customFormat="1" ht="22.5" x14ac:dyDescent="0.25">
      <c r="A58" s="45" t="s">
        <v>22</v>
      </c>
      <c r="B58" s="78" t="str">
        <f>IF(ISBLANK(A58),"","I"&amp;COUNTA($A$31:A58))</f>
        <v>I28</v>
      </c>
      <c r="C58" s="526" t="s">
        <v>72</v>
      </c>
      <c r="D58" s="79" t="s">
        <v>22</v>
      </c>
      <c r="E58" s="79" t="s">
        <v>24</v>
      </c>
      <c r="F58" s="481">
        <v>-21381</v>
      </c>
      <c r="G58" s="481">
        <v>-21189</v>
      </c>
      <c r="H58" s="481">
        <v>-21619</v>
      </c>
      <c r="I58" s="481">
        <v>-21619</v>
      </c>
    </row>
    <row r="59" spans="1:11" s="38" customFormat="1" ht="22.5" x14ac:dyDescent="0.25">
      <c r="A59" s="45" t="s">
        <v>22</v>
      </c>
      <c r="B59" s="78" t="str">
        <f>IF(ISBLANK(A59),"","I"&amp;COUNTA($A$31:A59))</f>
        <v>I29</v>
      </c>
      <c r="C59" s="526" t="s">
        <v>74</v>
      </c>
      <c r="D59" s="79" t="s">
        <v>22</v>
      </c>
      <c r="E59" s="79" t="s">
        <v>24</v>
      </c>
      <c r="F59" s="481">
        <v>-46431</v>
      </c>
      <c r="G59" s="481">
        <v>-50107</v>
      </c>
      <c r="H59" s="481">
        <v>-50938</v>
      </c>
      <c r="I59" s="481">
        <v>-50938</v>
      </c>
    </row>
    <row r="60" spans="1:11" s="38" customFormat="1" ht="22.5" x14ac:dyDescent="0.25">
      <c r="A60" s="45" t="s">
        <v>22</v>
      </c>
      <c r="B60" s="78" t="str">
        <f>IF(ISBLANK(A60),"","I"&amp;COUNTA($A$31:A60))</f>
        <v>I30</v>
      </c>
      <c r="C60" s="98" t="s">
        <v>75</v>
      </c>
      <c r="D60" s="79" t="s">
        <v>22</v>
      </c>
      <c r="E60" s="79" t="s">
        <v>24</v>
      </c>
      <c r="F60" s="481">
        <v>88</v>
      </c>
      <c r="G60" s="481">
        <v>-153</v>
      </c>
      <c r="H60" s="481">
        <v>-1059</v>
      </c>
      <c r="I60" s="481">
        <v>-1059</v>
      </c>
    </row>
    <row r="61" spans="1:11" s="38" customFormat="1" ht="22.5" x14ac:dyDescent="0.25">
      <c r="A61" s="78" t="s">
        <v>22</v>
      </c>
      <c r="B61" s="78" t="str">
        <f>IF(ISBLANK(A61),"","I"&amp;COUNTA($A$31:A61))</f>
        <v>I31</v>
      </c>
      <c r="C61" s="98"/>
      <c r="D61" s="79" t="s">
        <v>22</v>
      </c>
      <c r="E61" s="79" t="s">
        <v>24</v>
      </c>
      <c r="F61" s="90"/>
      <c r="G61" s="90"/>
      <c r="H61" s="90"/>
      <c r="I61" s="90"/>
      <c r="K61" s="38" t="str">
        <f>IF(ISBLANK(C61),"","I"&amp;COUNTA($C$31:C61))</f>
        <v/>
      </c>
    </row>
    <row r="62" spans="1:11" s="38" customFormat="1" ht="22.5" x14ac:dyDescent="0.25">
      <c r="A62" s="78" t="s">
        <v>22</v>
      </c>
      <c r="B62" s="78" t="str">
        <f>IF(ISBLANK(A62),"","I"&amp;COUNTA($A$31:A62))</f>
        <v>I32</v>
      </c>
      <c r="C62" s="98"/>
      <c r="D62" s="79" t="s">
        <v>22</v>
      </c>
      <c r="E62" s="79" t="s">
        <v>24</v>
      </c>
      <c r="F62" s="90"/>
      <c r="G62" s="90"/>
      <c r="H62" s="90"/>
      <c r="I62" s="90"/>
      <c r="K62" s="38" t="str">
        <f>IF(ISBLANK(C62),"","I"&amp;COUNTA($C$31:C62))</f>
        <v/>
      </c>
    </row>
    <row r="63" spans="1:11" s="38" customFormat="1" x14ac:dyDescent="0.25">
      <c r="A63" s="244"/>
      <c r="B63" s="244"/>
      <c r="C63" s="245"/>
      <c r="D63" s="214"/>
      <c r="E63" s="111"/>
      <c r="F63" s="110"/>
      <c r="G63" s="110"/>
      <c r="H63" s="110"/>
      <c r="I63" s="110"/>
      <c r="K63" s="38" t="str">
        <f>IF(ISBLANK(C63),"","I"&amp;COUNTA($C$31:C63))</f>
        <v/>
      </c>
    </row>
    <row r="64" spans="1:11" s="38" customFormat="1" x14ac:dyDescent="0.25">
      <c r="A64" s="43"/>
      <c r="B64" s="43"/>
      <c r="C64" s="3" t="s">
        <v>76</v>
      </c>
      <c r="D64" s="63"/>
      <c r="E64" s="63"/>
      <c r="F64" s="9">
        <f>SUMIF($A:$A,"SENT.INNT",F:F)</f>
        <v>-5173416</v>
      </c>
      <c r="G64" s="9">
        <f>SUMIF($A:$A,"SENT.INNT",G:G)</f>
        <v>-5081882</v>
      </c>
      <c r="H64" s="9">
        <f>SUMIF($A:$A,"SENT.INNT",H:H)</f>
        <v>-5061058</v>
      </c>
      <c r="I64" s="9">
        <f>SUMIF($A:$A,"SENT.INNT",I:I)</f>
        <v>-5064441</v>
      </c>
    </row>
    <row r="65" spans="1:10" s="38" customFormat="1" x14ac:dyDescent="0.25">
      <c r="A65" s="46"/>
      <c r="B65" s="46"/>
      <c r="C65" s="3" t="s">
        <v>77</v>
      </c>
      <c r="D65" s="52"/>
      <c r="E65" s="52"/>
      <c r="F65" s="9">
        <f>F4</f>
        <v>4902782</v>
      </c>
      <c r="G65" s="9">
        <f>G4</f>
        <v>4902782</v>
      </c>
      <c r="H65" s="9">
        <f>H4</f>
        <v>4902782</v>
      </c>
      <c r="I65" s="9">
        <f>I4</f>
        <v>4902782</v>
      </c>
    </row>
    <row r="66" spans="1:10" s="38" customFormat="1" x14ac:dyDescent="0.25">
      <c r="A66" s="43"/>
      <c r="B66" s="43"/>
      <c r="C66" s="3" t="s">
        <v>78</v>
      </c>
      <c r="D66" s="52"/>
      <c r="E66" s="52"/>
      <c r="F66" s="9">
        <f>F64+F65</f>
        <v>-270634</v>
      </c>
      <c r="G66" s="9">
        <f>G64+G65</f>
        <v>-179100</v>
      </c>
      <c r="H66" s="9">
        <f>H64+H65</f>
        <v>-158276</v>
      </c>
      <c r="I66" s="9">
        <f>I64+I65</f>
        <v>-161659</v>
      </c>
    </row>
    <row r="67" spans="1:10" s="38" customFormat="1" x14ac:dyDescent="0.25">
      <c r="A67" s="47"/>
      <c r="B67" s="47"/>
      <c r="C67" s="11"/>
      <c r="D67" s="49"/>
      <c r="E67" s="49"/>
      <c r="F67" s="12"/>
      <c r="G67" s="12"/>
      <c r="H67" s="12"/>
      <c r="I67" s="12"/>
    </row>
    <row r="68" spans="1:10" s="1" customFormat="1" x14ac:dyDescent="0.25">
      <c r="A68" s="48"/>
      <c r="B68" s="48"/>
      <c r="C68" s="13" t="s">
        <v>79</v>
      </c>
      <c r="D68" s="50"/>
      <c r="E68" s="50"/>
      <c r="F68" s="14"/>
      <c r="G68" s="14"/>
      <c r="H68" s="14"/>
      <c r="I68" s="14"/>
    </row>
    <row r="69" spans="1:10" s="38" customFormat="1" x14ac:dyDescent="0.25">
      <c r="A69" s="72"/>
      <c r="B69" s="341"/>
      <c r="C69" s="246" t="s">
        <v>80</v>
      </c>
      <c r="D69" s="83"/>
      <c r="E69" s="83"/>
      <c r="F69" s="4">
        <v>2023</v>
      </c>
      <c r="G69" s="4">
        <v>2024</v>
      </c>
      <c r="H69" s="4">
        <f>G69+1</f>
        <v>2025</v>
      </c>
      <c r="I69" s="4">
        <f>H69+1</f>
        <v>2026</v>
      </c>
    </row>
    <row r="70" spans="1:10" s="38" customFormat="1" x14ac:dyDescent="0.25">
      <c r="A70" s="78" t="s">
        <v>81</v>
      </c>
      <c r="B70" s="78" t="str">
        <f>IF(ISBLANK(A70),"","OV"&amp;COUNTA($A$70:A70))</f>
        <v>OV1</v>
      </c>
      <c r="C70" s="245" t="s">
        <v>82</v>
      </c>
      <c r="D70" s="72" t="s">
        <v>83</v>
      </c>
      <c r="E70" s="79" t="s">
        <v>84</v>
      </c>
      <c r="F70" s="217">
        <v>4238</v>
      </c>
      <c r="G70" s="217">
        <v>7250</v>
      </c>
      <c r="H70" s="217">
        <v>7398</v>
      </c>
      <c r="I70" s="217">
        <v>7398</v>
      </c>
      <c r="J70" s="144" t="s">
        <v>421</v>
      </c>
    </row>
    <row r="71" spans="1:10" s="38" customFormat="1" x14ac:dyDescent="0.25">
      <c r="A71" s="78" t="s">
        <v>81</v>
      </c>
      <c r="B71" s="78" t="str">
        <f>IF(ISBLANK(A71),"","OV"&amp;COUNTA($A$70:A71))</f>
        <v>OV2</v>
      </c>
      <c r="C71" s="245" t="s">
        <v>85</v>
      </c>
      <c r="D71" s="72" t="s">
        <v>83</v>
      </c>
      <c r="E71" s="79" t="s">
        <v>84</v>
      </c>
      <c r="F71" s="217"/>
      <c r="G71" s="217"/>
      <c r="H71" s="217"/>
      <c r="I71" s="217"/>
    </row>
    <row r="72" spans="1:10" s="38" customFormat="1" x14ac:dyDescent="0.25">
      <c r="A72" s="78" t="s">
        <v>81</v>
      </c>
      <c r="B72" s="78" t="str">
        <f>IF(ISBLANK(A72),"","OV"&amp;COUNTA($A$70:A72))</f>
        <v>OV3</v>
      </c>
      <c r="C72" s="245" t="s">
        <v>86</v>
      </c>
      <c r="D72" s="72" t="s">
        <v>83</v>
      </c>
      <c r="E72" s="79" t="s">
        <v>84</v>
      </c>
      <c r="F72" s="217">
        <v>848</v>
      </c>
      <c r="G72" s="217">
        <v>1450</v>
      </c>
      <c r="H72" s="217">
        <v>1479</v>
      </c>
      <c r="I72" s="217">
        <v>1479</v>
      </c>
      <c r="J72" s="144" t="s">
        <v>421</v>
      </c>
    </row>
    <row r="73" spans="1:10" s="38" customFormat="1" x14ac:dyDescent="0.25">
      <c r="A73" s="78" t="s">
        <v>81</v>
      </c>
      <c r="B73" s="78" t="str">
        <f>IF(ISBLANK(A73),"","OV"&amp;COUNTA($A$70:A73))</f>
        <v>OV4</v>
      </c>
      <c r="C73" s="245" t="s">
        <v>87</v>
      </c>
      <c r="D73" s="72" t="s">
        <v>83</v>
      </c>
      <c r="E73" s="79" t="s">
        <v>84</v>
      </c>
      <c r="F73" s="217"/>
      <c r="G73" s="217"/>
      <c r="H73" s="217"/>
      <c r="I73" s="217"/>
    </row>
    <row r="74" spans="1:10" s="38" customFormat="1" x14ac:dyDescent="0.25">
      <c r="A74" s="78" t="s">
        <v>81</v>
      </c>
      <c r="B74" s="78" t="str">
        <f>IF(ISBLANK(A74),"","OV"&amp;COUNTA($A$70:A74))</f>
        <v>OV5</v>
      </c>
      <c r="C74" s="245" t="s">
        <v>88</v>
      </c>
      <c r="D74" s="72" t="s">
        <v>89</v>
      </c>
      <c r="E74" s="79" t="s">
        <v>84</v>
      </c>
      <c r="F74" s="217">
        <v>0</v>
      </c>
      <c r="G74" s="217">
        <v>-852</v>
      </c>
      <c r="H74" s="217">
        <v>-852</v>
      </c>
      <c r="I74" s="217">
        <v>-852</v>
      </c>
    </row>
    <row r="75" spans="1:10" s="38" customFormat="1" x14ac:dyDescent="0.25">
      <c r="A75" s="78" t="s">
        <v>81</v>
      </c>
      <c r="B75" s="78" t="str">
        <f>IF(ISBLANK(A75),"","OV"&amp;COUNTA($A$70:A75))</f>
        <v>OV6</v>
      </c>
      <c r="C75" s="245" t="s">
        <v>481</v>
      </c>
      <c r="D75" s="72" t="s">
        <v>91</v>
      </c>
      <c r="E75" s="79">
        <v>9</v>
      </c>
      <c r="F75" s="217">
        <v>280</v>
      </c>
      <c r="G75" s="217">
        <v>280</v>
      </c>
      <c r="H75" s="217">
        <v>280</v>
      </c>
      <c r="I75" s="217">
        <v>280</v>
      </c>
    </row>
    <row r="76" spans="1:10" s="38" customFormat="1" ht="28.5" customHeight="1" x14ac:dyDescent="0.25">
      <c r="A76" s="78" t="s">
        <v>81</v>
      </c>
      <c r="B76" s="78" t="str">
        <f>IF(ISBLANK(A76),"","OV"&amp;COUNTA($A$70:A76))</f>
        <v>OV7</v>
      </c>
      <c r="C76" s="343" t="s">
        <v>620</v>
      </c>
      <c r="D76" s="72" t="s">
        <v>91</v>
      </c>
      <c r="E76" s="79" t="s">
        <v>24</v>
      </c>
      <c r="F76" s="217">
        <v>9000</v>
      </c>
      <c r="G76" s="217">
        <v>9000</v>
      </c>
      <c r="H76" s="217">
        <v>9000</v>
      </c>
      <c r="I76" s="217">
        <v>9000</v>
      </c>
      <c r="J76" s="144" t="s">
        <v>621</v>
      </c>
    </row>
    <row r="77" spans="1:10" s="38" customFormat="1" ht="25.5" x14ac:dyDescent="0.25">
      <c r="A77" s="78" t="s">
        <v>81</v>
      </c>
      <c r="B77" s="78" t="str">
        <f>IF(ISBLANK(A77),"","OV"&amp;COUNTA($A$70:A77))</f>
        <v>OV8</v>
      </c>
      <c r="C77" s="569" t="s">
        <v>407</v>
      </c>
      <c r="D77" s="570" t="s">
        <v>91</v>
      </c>
      <c r="E77" s="568" t="s">
        <v>24</v>
      </c>
      <c r="F77" s="575">
        <v>6000</v>
      </c>
      <c r="G77" s="575">
        <v>6000</v>
      </c>
      <c r="H77" s="575">
        <v>6000</v>
      </c>
      <c r="I77" s="575">
        <v>6000</v>
      </c>
      <c r="J77" s="95">
        <f>F77+F82+F95+F110+F111+F119+F160+F165+F166+F168</f>
        <v>56200</v>
      </c>
    </row>
    <row r="78" spans="1:10" s="38" customFormat="1" x14ac:dyDescent="0.25">
      <c r="A78" s="78" t="s">
        <v>81</v>
      </c>
      <c r="B78" s="78" t="str">
        <f>IF(ISBLANK(A78),"","OV"&amp;COUNTA($A$70:A78))</f>
        <v>OV9</v>
      </c>
      <c r="C78" s="245" t="s">
        <v>93</v>
      </c>
      <c r="D78" s="72" t="s">
        <v>83</v>
      </c>
      <c r="E78" s="79" t="s">
        <v>84</v>
      </c>
      <c r="F78" s="217">
        <v>91</v>
      </c>
      <c r="G78" s="217">
        <v>155</v>
      </c>
      <c r="H78" s="217">
        <v>158</v>
      </c>
      <c r="I78" s="217">
        <v>158</v>
      </c>
      <c r="J78" s="144" t="s">
        <v>421</v>
      </c>
    </row>
    <row r="79" spans="1:10" s="38" customFormat="1" x14ac:dyDescent="0.25">
      <c r="A79" s="78" t="s">
        <v>81</v>
      </c>
      <c r="B79" s="78" t="str">
        <f>IF(ISBLANK(A79),"","OV"&amp;COUNTA($A$70:A79))</f>
        <v>OV10</v>
      </c>
      <c r="C79" s="245" t="s">
        <v>94</v>
      </c>
      <c r="D79" s="72" t="s">
        <v>83</v>
      </c>
      <c r="E79" s="79" t="s">
        <v>84</v>
      </c>
      <c r="F79" s="217"/>
      <c r="G79" s="217"/>
      <c r="H79" s="217"/>
      <c r="I79" s="217"/>
    </row>
    <row r="80" spans="1:10" s="38" customFormat="1" x14ac:dyDescent="0.25">
      <c r="A80" s="78" t="s">
        <v>81</v>
      </c>
      <c r="B80" s="78" t="str">
        <f>IF(ISBLANK(A80),"","OV"&amp;COUNTA($A$70:A80))</f>
        <v>OV11</v>
      </c>
      <c r="C80" s="245" t="s">
        <v>95</v>
      </c>
      <c r="D80" s="72" t="s">
        <v>83</v>
      </c>
      <c r="E80" s="79" t="s">
        <v>84</v>
      </c>
      <c r="F80" s="217"/>
      <c r="G80" s="217"/>
      <c r="H80" s="217"/>
      <c r="I80" s="217"/>
    </row>
    <row r="81" spans="1:11" s="38" customFormat="1" x14ac:dyDescent="0.25">
      <c r="A81" s="78" t="s">
        <v>81</v>
      </c>
      <c r="B81" s="78" t="str">
        <f>IF(ISBLANK(A81),"","OV"&amp;COUNTA($A$70:A81))</f>
        <v>OV12</v>
      </c>
      <c r="C81" s="245" t="s">
        <v>96</v>
      </c>
      <c r="D81" s="72" t="s">
        <v>83</v>
      </c>
      <c r="E81" s="79" t="s">
        <v>84</v>
      </c>
      <c r="F81" s="217"/>
      <c r="G81" s="217"/>
      <c r="H81" s="217"/>
      <c r="I81" s="217"/>
    </row>
    <row r="82" spans="1:11" s="38" customFormat="1" x14ac:dyDescent="0.25">
      <c r="A82" s="78" t="s">
        <v>81</v>
      </c>
      <c r="B82" s="78" t="str">
        <f>IF(ISBLANK(A82),"","OV"&amp;COUNTA($A$70:A82))</f>
        <v>OV13</v>
      </c>
      <c r="C82" s="569" t="s">
        <v>408</v>
      </c>
      <c r="D82" s="570" t="s">
        <v>91</v>
      </c>
      <c r="E82" s="568" t="s">
        <v>24</v>
      </c>
      <c r="F82" s="575">
        <v>5000</v>
      </c>
      <c r="G82" s="575">
        <v>5000</v>
      </c>
      <c r="H82" s="575"/>
      <c r="I82" s="575"/>
      <c r="J82" s="572" t="s">
        <v>324</v>
      </c>
    </row>
    <row r="83" spans="1:11" x14ac:dyDescent="0.25">
      <c r="A83" s="78" t="s">
        <v>81</v>
      </c>
      <c r="B83" s="78" t="str">
        <f>IF(ISBLANK(A83),"","OV"&amp;COUNTA($A$70:A83))</f>
        <v>OV14</v>
      </c>
      <c r="C83" s="245"/>
      <c r="D83" s="72" t="s">
        <v>83</v>
      </c>
      <c r="E83" s="79" t="s">
        <v>84</v>
      </c>
      <c r="F83" s="217"/>
      <c r="G83" s="217"/>
      <c r="H83" s="217"/>
      <c r="I83" s="217"/>
      <c r="K83" s="38"/>
    </row>
    <row r="84" spans="1:11" s="38" customFormat="1" x14ac:dyDescent="0.25">
      <c r="A84" s="78" t="s">
        <v>81</v>
      </c>
      <c r="B84" s="78" t="str">
        <f>IF(ISBLANK(A84),"","OV"&amp;COUNTA($A$70:A84))</f>
        <v>OV15</v>
      </c>
      <c r="C84" s="245" t="s">
        <v>410</v>
      </c>
      <c r="D84" s="72" t="s">
        <v>91</v>
      </c>
      <c r="E84" s="71" t="s">
        <v>24</v>
      </c>
      <c r="F84" s="484">
        <v>17500</v>
      </c>
      <c r="G84" s="484">
        <v>17500</v>
      </c>
      <c r="H84" s="484">
        <v>17500</v>
      </c>
      <c r="I84" s="484">
        <v>17500</v>
      </c>
      <c r="J84" s="38" t="s">
        <v>482</v>
      </c>
    </row>
    <row r="85" spans="1:11" s="1" customFormat="1" x14ac:dyDescent="0.25">
      <c r="A85" s="78"/>
      <c r="B85" s="78" t="str">
        <f>IF(ISBLANK(A85),"","OV"&amp;COUNTA($A$70:A85))</f>
        <v/>
      </c>
      <c r="C85" s="16" t="s">
        <v>112</v>
      </c>
      <c r="D85" s="50"/>
      <c r="E85" s="50"/>
      <c r="F85" s="4">
        <f>F69</f>
        <v>2023</v>
      </c>
      <c r="G85" s="4">
        <f>F85+1</f>
        <v>2024</v>
      </c>
      <c r="H85" s="4">
        <f>G85+1</f>
        <v>2025</v>
      </c>
      <c r="I85" s="4">
        <f>H85+1</f>
        <v>2026</v>
      </c>
      <c r="K85" s="38"/>
    </row>
    <row r="86" spans="1:11" s="38" customFormat="1" x14ac:dyDescent="0.25">
      <c r="A86" s="78" t="s">
        <v>81</v>
      </c>
      <c r="B86" s="78" t="str">
        <f>IF(ISBLANK(A86),"","OV"&amp;COUNTA($A$70:A86))</f>
        <v>OV16</v>
      </c>
      <c r="C86" s="480" t="s">
        <v>113</v>
      </c>
      <c r="D86" s="79" t="s">
        <v>83</v>
      </c>
      <c r="E86" s="79" t="s">
        <v>84</v>
      </c>
      <c r="F86" s="413">
        <v>14500</v>
      </c>
      <c r="G86" s="413">
        <v>14500</v>
      </c>
      <c r="H86" s="413">
        <v>14500</v>
      </c>
      <c r="I86" s="413">
        <v>14500</v>
      </c>
      <c r="J86" s="144" t="s">
        <v>421</v>
      </c>
    </row>
    <row r="87" spans="1:11" s="38" customFormat="1" x14ac:dyDescent="0.25">
      <c r="A87" s="78" t="s">
        <v>81</v>
      </c>
      <c r="B87" s="78" t="str">
        <f>IF(ISBLANK(A87),"","OV"&amp;COUNTA($A$70:A87))</f>
        <v>OV17</v>
      </c>
      <c r="C87" s="480" t="s">
        <v>114</v>
      </c>
      <c r="D87" s="79" t="s">
        <v>91</v>
      </c>
      <c r="E87" s="79" t="s">
        <v>24</v>
      </c>
      <c r="F87" s="413">
        <v>2600</v>
      </c>
      <c r="G87" s="413">
        <v>5200</v>
      </c>
      <c r="H87" s="413">
        <v>5200</v>
      </c>
      <c r="I87" s="413">
        <v>5200</v>
      </c>
      <c r="J87" s="144" t="s">
        <v>483</v>
      </c>
    </row>
    <row r="88" spans="1:11" s="38" customFormat="1" x14ac:dyDescent="0.25">
      <c r="A88" s="78" t="s">
        <v>81</v>
      </c>
      <c r="B88" s="78" t="str">
        <f>IF(ISBLANK(A88),"","OV"&amp;COUNTA($A$70:A88))</f>
        <v>OV18</v>
      </c>
      <c r="C88" s="480" t="s">
        <v>484</v>
      </c>
      <c r="D88" s="79" t="s">
        <v>91</v>
      </c>
      <c r="E88" s="79">
        <v>5</v>
      </c>
      <c r="F88" s="413">
        <v>9200</v>
      </c>
      <c r="G88" s="413">
        <v>9200</v>
      </c>
      <c r="H88" s="413">
        <v>9200</v>
      </c>
      <c r="I88" s="413">
        <v>9200</v>
      </c>
      <c r="J88" s="293" t="s">
        <v>485</v>
      </c>
    </row>
    <row r="89" spans="1:11" s="38" customFormat="1" x14ac:dyDescent="0.25">
      <c r="A89" s="78" t="s">
        <v>81</v>
      </c>
      <c r="B89" s="78" t="str">
        <f>IF(ISBLANK(A89),"","OV"&amp;COUNTA($A$70:A89))</f>
        <v>OV19</v>
      </c>
      <c r="C89" s="480" t="s">
        <v>486</v>
      </c>
      <c r="D89" s="72" t="s">
        <v>91</v>
      </c>
      <c r="E89" s="79">
        <v>4</v>
      </c>
      <c r="F89" s="481">
        <v>2000</v>
      </c>
      <c r="G89" s="481">
        <v>2000</v>
      </c>
      <c r="H89" s="481">
        <v>2000</v>
      </c>
      <c r="I89" s="481">
        <v>2000</v>
      </c>
    </row>
    <row r="90" spans="1:11" s="38" customFormat="1" x14ac:dyDescent="0.25">
      <c r="A90" s="78" t="s">
        <v>81</v>
      </c>
      <c r="B90" s="78" t="str">
        <f>IF(ISBLANK(A90),"","OV"&amp;COUNTA($A$70:A90))</f>
        <v>OV20</v>
      </c>
      <c r="C90" s="480" t="s">
        <v>487</v>
      </c>
      <c r="D90" s="214" t="s">
        <v>91</v>
      </c>
      <c r="E90" s="71" t="s">
        <v>488</v>
      </c>
      <c r="F90" s="481">
        <v>1600</v>
      </c>
      <c r="G90" s="481">
        <v>1600</v>
      </c>
      <c r="H90" s="481">
        <v>1600</v>
      </c>
      <c r="I90" s="481">
        <v>1600</v>
      </c>
    </row>
    <row r="91" spans="1:11" s="38" customFormat="1" x14ac:dyDescent="0.25">
      <c r="A91" s="78" t="s">
        <v>81</v>
      </c>
      <c r="B91" s="78" t="str">
        <f>IF(ISBLANK(A91),"","OV"&amp;COUNTA($A$70:A91))</f>
        <v>OV21</v>
      </c>
      <c r="C91" s="480" t="s">
        <v>489</v>
      </c>
      <c r="D91" s="214" t="s">
        <v>91</v>
      </c>
      <c r="E91" s="71">
        <v>10</v>
      </c>
      <c r="F91" s="399">
        <v>1416</v>
      </c>
      <c r="G91" s="399">
        <v>1416</v>
      </c>
      <c r="H91" s="399">
        <v>1416</v>
      </c>
      <c r="I91" s="399">
        <v>1416</v>
      </c>
      <c r="J91" s="38" t="s">
        <v>490</v>
      </c>
    </row>
    <row r="92" spans="1:11" s="38" customFormat="1" x14ac:dyDescent="0.25">
      <c r="A92" s="78" t="s">
        <v>81</v>
      </c>
      <c r="B92" s="78" t="str">
        <f>IF(ISBLANK(A92),"","OV"&amp;COUNTA($A$70:A92))</f>
        <v>OV22</v>
      </c>
      <c r="C92" s="480" t="s">
        <v>491</v>
      </c>
      <c r="D92" s="214" t="s">
        <v>91</v>
      </c>
      <c r="E92" s="71">
        <v>10</v>
      </c>
      <c r="F92" s="399">
        <v>1416</v>
      </c>
      <c r="G92" s="399">
        <v>1416</v>
      </c>
      <c r="H92" s="399">
        <v>1416</v>
      </c>
      <c r="I92" s="399">
        <v>1416</v>
      </c>
      <c r="J92" s="38" t="s">
        <v>492</v>
      </c>
    </row>
    <row r="93" spans="1:11" s="38" customFormat="1" ht="25.5" x14ac:dyDescent="0.25">
      <c r="A93" s="78" t="s">
        <v>81</v>
      </c>
      <c r="B93" s="78" t="str">
        <f>IF(ISBLANK(A93),"","OV"&amp;COUNTA($A$70:A93))</f>
        <v>OV23</v>
      </c>
      <c r="C93" s="480" t="s">
        <v>493</v>
      </c>
      <c r="D93" s="214" t="s">
        <v>91</v>
      </c>
      <c r="E93" s="71">
        <v>11</v>
      </c>
      <c r="F93" s="399">
        <v>500</v>
      </c>
      <c r="G93" s="399"/>
      <c r="H93" s="399"/>
      <c r="I93" s="399"/>
      <c r="J93" s="38" t="s">
        <v>494</v>
      </c>
    </row>
    <row r="94" spans="1:11" s="38" customFormat="1" x14ac:dyDescent="0.25">
      <c r="A94" s="78" t="s">
        <v>81</v>
      </c>
      <c r="B94" s="78" t="str">
        <f>IF(ISBLANK(A94),"","OV"&amp;COUNTA($A$70:A94))</f>
        <v>OV24</v>
      </c>
      <c r="C94" s="569" t="s">
        <v>495</v>
      </c>
      <c r="D94" s="577" t="s">
        <v>91</v>
      </c>
      <c r="E94" s="573"/>
      <c r="F94" s="572"/>
      <c r="G94" s="572"/>
      <c r="H94" s="572"/>
      <c r="I94" s="572"/>
      <c r="J94" s="144"/>
    </row>
    <row r="95" spans="1:11" s="38" customFormat="1" ht="25.5" x14ac:dyDescent="0.25">
      <c r="A95" s="78" t="s">
        <v>81</v>
      </c>
      <c r="B95" s="78" t="str">
        <f>IF(ISBLANK(A95),"","OV"&amp;COUNTA($A$70:A95))</f>
        <v>OV25</v>
      </c>
      <c r="C95" s="569" t="s">
        <v>413</v>
      </c>
      <c r="D95" s="577" t="s">
        <v>91</v>
      </c>
      <c r="E95" s="573" t="s">
        <v>24</v>
      </c>
      <c r="F95" s="572">
        <v>1600</v>
      </c>
      <c r="G95" s="572">
        <v>1600</v>
      </c>
      <c r="H95" s="572">
        <v>1600</v>
      </c>
      <c r="I95" s="572">
        <v>1600</v>
      </c>
      <c r="J95" s="144"/>
    </row>
    <row r="96" spans="1:11" s="38" customFormat="1" ht="30" x14ac:dyDescent="0.25">
      <c r="A96" s="78"/>
      <c r="B96" s="78" t="str">
        <f>IF(ISBLANK(A96),"","OV"&amp;COUNTA($A$70:A96))</f>
        <v/>
      </c>
      <c r="C96" s="82" t="s">
        <v>117</v>
      </c>
      <c r="D96" s="96"/>
      <c r="E96" s="71"/>
      <c r="F96" s="4">
        <f>F85</f>
        <v>2023</v>
      </c>
      <c r="G96" s="4">
        <f>F96+1</f>
        <v>2024</v>
      </c>
      <c r="H96" s="4">
        <f>G96+1</f>
        <v>2025</v>
      </c>
      <c r="I96" s="4">
        <f>H96+1</f>
        <v>2026</v>
      </c>
    </row>
    <row r="97" spans="1:10" s="38" customFormat="1" x14ac:dyDescent="0.25">
      <c r="A97" s="78" t="s">
        <v>81</v>
      </c>
      <c r="B97" s="78" t="str">
        <f>IF(ISBLANK(A97),"","OV"&amp;COUNTA($A$70:A97))</f>
        <v>OV26</v>
      </c>
      <c r="C97" s="480" t="s">
        <v>118</v>
      </c>
      <c r="D97" s="72" t="s">
        <v>83</v>
      </c>
      <c r="E97" s="79" t="s">
        <v>84</v>
      </c>
      <c r="F97" s="217">
        <v>5500</v>
      </c>
      <c r="G97" s="217">
        <v>0</v>
      </c>
      <c r="H97" s="217">
        <v>0</v>
      </c>
      <c r="I97" s="217">
        <v>0</v>
      </c>
    </row>
    <row r="98" spans="1:10" s="38" customFormat="1" x14ac:dyDescent="0.25">
      <c r="A98" s="78" t="s">
        <v>81</v>
      </c>
      <c r="B98" s="78" t="str">
        <f>IF(ISBLANK(A98),"","OV"&amp;COUNTA($A$70:A98))</f>
        <v>OV27</v>
      </c>
      <c r="C98" s="480" t="s">
        <v>414</v>
      </c>
      <c r="D98" s="72" t="s">
        <v>89</v>
      </c>
      <c r="E98" s="111" t="s">
        <v>84</v>
      </c>
      <c r="F98" s="217">
        <v>5500</v>
      </c>
      <c r="G98" s="217">
        <v>0</v>
      </c>
      <c r="H98" s="217">
        <v>0</v>
      </c>
      <c r="I98" s="217">
        <v>0</v>
      </c>
    </row>
    <row r="99" spans="1:10" s="38" customFormat="1" x14ac:dyDescent="0.25">
      <c r="A99" s="78" t="s">
        <v>81</v>
      </c>
      <c r="B99" s="78" t="str">
        <f>IF(ISBLANK(A99),"","OV"&amp;COUNTA($A$70:A99))</f>
        <v>OV28</v>
      </c>
      <c r="C99" s="480" t="s">
        <v>120</v>
      </c>
      <c r="D99" s="72" t="s">
        <v>89</v>
      </c>
      <c r="E99" s="111" t="s">
        <v>84</v>
      </c>
      <c r="F99" s="217">
        <v>0</v>
      </c>
      <c r="G99" s="217">
        <v>4000</v>
      </c>
      <c r="H99" s="217">
        <v>4000</v>
      </c>
      <c r="I99" s="217">
        <v>4000</v>
      </c>
    </row>
    <row r="100" spans="1:10" s="38" customFormat="1" x14ac:dyDescent="0.25">
      <c r="A100" s="78" t="s">
        <v>81</v>
      </c>
      <c r="B100" s="78" t="str">
        <f>IF(ISBLANK(A100),"","OV"&amp;COUNTA($A$70:A100))</f>
        <v>OV29</v>
      </c>
      <c r="C100" s="480" t="s">
        <v>121</v>
      </c>
      <c r="D100" s="72" t="s">
        <v>83</v>
      </c>
      <c r="E100" s="111" t="s">
        <v>84</v>
      </c>
      <c r="F100" s="217">
        <v>-11000</v>
      </c>
      <c r="G100" s="217">
        <v>0</v>
      </c>
      <c r="H100" s="217">
        <v>0</v>
      </c>
      <c r="I100" s="217">
        <v>0</v>
      </c>
    </row>
    <row r="101" spans="1:10" s="38" customFormat="1" x14ac:dyDescent="0.25">
      <c r="A101" s="78" t="s">
        <v>81</v>
      </c>
      <c r="B101" s="78" t="str">
        <f>IF(ISBLANK(A101),"","OV"&amp;COUNTA($A$70:A101))</f>
        <v>OV30</v>
      </c>
      <c r="C101" s="480" t="s">
        <v>496</v>
      </c>
      <c r="D101" s="72" t="s">
        <v>91</v>
      </c>
      <c r="E101" s="111" t="s">
        <v>488</v>
      </c>
      <c r="F101" s="217">
        <v>150</v>
      </c>
      <c r="G101" s="217">
        <v>150</v>
      </c>
      <c r="H101" s="217">
        <v>150</v>
      </c>
      <c r="I101" s="217">
        <v>150</v>
      </c>
    </row>
    <row r="102" spans="1:10" s="38" customFormat="1" x14ac:dyDescent="0.25">
      <c r="A102" s="78" t="s">
        <v>81</v>
      </c>
      <c r="B102" s="78" t="str">
        <f>IF(ISBLANK(A102),"","OV"&amp;COUNTA($A$70:A102))</f>
        <v>OV31</v>
      </c>
      <c r="C102" s="480" t="s">
        <v>497</v>
      </c>
      <c r="D102" s="72" t="s">
        <v>91</v>
      </c>
      <c r="E102" s="111">
        <v>6</v>
      </c>
      <c r="F102" s="217">
        <v>557</v>
      </c>
      <c r="G102" s="217">
        <v>557</v>
      </c>
      <c r="H102" s="217">
        <v>557</v>
      </c>
      <c r="I102" s="217">
        <v>557</v>
      </c>
    </row>
    <row r="103" spans="1:10" s="38" customFormat="1" x14ac:dyDescent="0.25">
      <c r="A103" s="78" t="s">
        <v>81</v>
      </c>
      <c r="B103" s="78" t="str">
        <f>IF(ISBLANK(A103),"","OV"&amp;COUNTA($A$70:A103))</f>
        <v>OV32</v>
      </c>
      <c r="C103" s="480" t="s">
        <v>498</v>
      </c>
      <c r="D103" s="72" t="s">
        <v>91</v>
      </c>
      <c r="E103" s="111" t="s">
        <v>488</v>
      </c>
      <c r="F103" s="217">
        <v>230</v>
      </c>
      <c r="G103" s="217">
        <v>230</v>
      </c>
      <c r="H103" s="217"/>
      <c r="I103" s="217"/>
      <c r="J103" s="38" t="s">
        <v>499</v>
      </c>
    </row>
    <row r="104" spans="1:10" s="38" customFormat="1" x14ac:dyDescent="0.25">
      <c r="A104" s="78" t="s">
        <v>81</v>
      </c>
      <c r="B104" s="78" t="str">
        <f>IF(ISBLANK(A104),"","OV"&amp;COUNTA($A$70:A104))</f>
        <v>OV33</v>
      </c>
      <c r="C104" s="480" t="s">
        <v>500</v>
      </c>
      <c r="D104" s="72" t="s">
        <v>91</v>
      </c>
      <c r="E104" s="111" t="s">
        <v>488</v>
      </c>
      <c r="F104" s="217">
        <v>200</v>
      </c>
      <c r="G104" s="217">
        <v>200</v>
      </c>
      <c r="H104" s="217">
        <v>200</v>
      </c>
      <c r="I104" s="217">
        <v>200</v>
      </c>
    </row>
    <row r="105" spans="1:10" s="38" customFormat="1" x14ac:dyDescent="0.25">
      <c r="A105" s="78" t="s">
        <v>81</v>
      </c>
      <c r="B105" s="78" t="str">
        <f>IF(ISBLANK(A105),"","OV"&amp;COUNTA($A$70:A105))</f>
        <v>OV34</v>
      </c>
      <c r="C105" s="480" t="s">
        <v>501</v>
      </c>
      <c r="D105" s="72" t="s">
        <v>91</v>
      </c>
      <c r="E105" s="111" t="s">
        <v>488</v>
      </c>
      <c r="F105" s="217">
        <v>130</v>
      </c>
      <c r="G105" s="217">
        <v>10</v>
      </c>
      <c r="H105" s="217">
        <v>10</v>
      </c>
      <c r="I105" s="217">
        <v>130</v>
      </c>
    </row>
    <row r="106" spans="1:10" s="38" customFormat="1" x14ac:dyDescent="0.25">
      <c r="A106" s="78" t="s">
        <v>81</v>
      </c>
      <c r="B106" s="78" t="str">
        <f>IF(ISBLANK(A106),"","OV"&amp;COUNTA($A$70:A106))</f>
        <v>OV35</v>
      </c>
      <c r="C106" s="480" t="s">
        <v>415</v>
      </c>
      <c r="D106" s="72" t="s">
        <v>91</v>
      </c>
      <c r="E106" s="111">
        <v>1</v>
      </c>
      <c r="F106" s="217">
        <v>3200</v>
      </c>
      <c r="G106" s="217">
        <v>3200</v>
      </c>
      <c r="H106" s="217">
        <v>3200</v>
      </c>
      <c r="I106" s="217">
        <v>3200</v>
      </c>
      <c r="J106" s="38" t="s">
        <v>327</v>
      </c>
    </row>
    <row r="107" spans="1:10" s="38" customFormat="1" x14ac:dyDescent="0.25">
      <c r="A107" s="78" t="s">
        <v>81</v>
      </c>
      <c r="B107" s="78" t="str">
        <f>IF(ISBLANK(A107),"","OV"&amp;COUNTA($A$70:A107))</f>
        <v>OV36</v>
      </c>
      <c r="C107" s="480" t="s">
        <v>416</v>
      </c>
      <c r="D107" s="72" t="s">
        <v>91</v>
      </c>
      <c r="E107" s="111">
        <v>2</v>
      </c>
      <c r="F107" s="217">
        <v>3700</v>
      </c>
      <c r="G107" s="217">
        <v>3700</v>
      </c>
      <c r="H107" s="217">
        <v>3700</v>
      </c>
      <c r="I107" s="217">
        <v>3700</v>
      </c>
      <c r="J107" s="38" t="s">
        <v>328</v>
      </c>
    </row>
    <row r="108" spans="1:10" s="38" customFormat="1" x14ac:dyDescent="0.25">
      <c r="A108" s="78" t="s">
        <v>81</v>
      </c>
      <c r="B108" s="78" t="str">
        <f>IF(ISBLANK(A108),"","OV"&amp;COUNTA($A$70:A108))</f>
        <v>OV37</v>
      </c>
      <c r="C108" s="480" t="s">
        <v>502</v>
      </c>
      <c r="D108" s="72" t="s">
        <v>91</v>
      </c>
      <c r="E108" s="111">
        <v>7</v>
      </c>
      <c r="F108" s="217">
        <v>1500</v>
      </c>
      <c r="G108" s="217">
        <v>4500</v>
      </c>
      <c r="H108" s="217">
        <v>4500</v>
      </c>
      <c r="I108" s="217">
        <v>4500</v>
      </c>
    </row>
    <row r="109" spans="1:10" s="38" customFormat="1" x14ac:dyDescent="0.25">
      <c r="A109" s="78" t="s">
        <v>81</v>
      </c>
      <c r="B109" s="78" t="str">
        <f>IF(ISBLANK(A109),"","OV"&amp;COUNTA($A$70:A109))</f>
        <v>OV38</v>
      </c>
      <c r="C109" s="480" t="s">
        <v>503</v>
      </c>
      <c r="D109" s="72" t="s">
        <v>91</v>
      </c>
      <c r="E109" s="111" t="s">
        <v>488</v>
      </c>
      <c r="F109" s="217">
        <v>1500</v>
      </c>
      <c r="G109" s="217">
        <v>1500</v>
      </c>
      <c r="H109" s="217">
        <v>1500</v>
      </c>
      <c r="I109" s="217">
        <v>1500</v>
      </c>
    </row>
    <row r="110" spans="1:10" s="38" customFormat="1" x14ac:dyDescent="0.25">
      <c r="A110" s="78" t="s">
        <v>81</v>
      </c>
      <c r="B110" s="78" t="str">
        <f>IF(ISBLANK(A110),"","OV"&amp;COUNTA($A$70:A110))</f>
        <v>OV39</v>
      </c>
      <c r="C110" s="569" t="s">
        <v>124</v>
      </c>
      <c r="D110" s="570" t="s">
        <v>91</v>
      </c>
      <c r="E110" s="571" t="s">
        <v>24</v>
      </c>
      <c r="F110" s="575">
        <v>300</v>
      </c>
      <c r="G110" s="575">
        <v>300</v>
      </c>
      <c r="H110" s="575">
        <v>300</v>
      </c>
      <c r="I110" s="575">
        <v>300</v>
      </c>
      <c r="J110" s="572" t="s">
        <v>329</v>
      </c>
    </row>
    <row r="111" spans="1:10" s="38" customFormat="1" x14ac:dyDescent="0.25">
      <c r="A111" s="78" t="s">
        <v>81</v>
      </c>
      <c r="B111" s="78" t="str">
        <f>IF(ISBLANK(A111),"","OV"&amp;COUNTA($A$70:A111))</f>
        <v>OV40</v>
      </c>
      <c r="C111" s="569" t="s">
        <v>622</v>
      </c>
      <c r="D111" s="570" t="s">
        <v>91</v>
      </c>
      <c r="E111" s="571" t="s">
        <v>24</v>
      </c>
      <c r="F111" s="575">
        <v>2400</v>
      </c>
      <c r="G111" s="575">
        <v>2400</v>
      </c>
      <c r="H111" s="575">
        <v>2400</v>
      </c>
      <c r="I111" s="575">
        <v>2400</v>
      </c>
      <c r="J111" s="572" t="s">
        <v>329</v>
      </c>
    </row>
    <row r="112" spans="1:10" s="38" customFormat="1" x14ac:dyDescent="0.25">
      <c r="A112" s="78" t="s">
        <v>81</v>
      </c>
      <c r="B112" s="78" t="str">
        <f>IF(ISBLANK(A112),"","OV"&amp;COUNTA($A$70:A112))</f>
        <v>OV41</v>
      </c>
      <c r="C112" s="480" t="s">
        <v>504</v>
      </c>
      <c r="D112" s="72" t="s">
        <v>91</v>
      </c>
      <c r="E112" s="111" t="s">
        <v>488</v>
      </c>
      <c r="F112" s="217">
        <v>300</v>
      </c>
      <c r="G112" s="217">
        <v>300</v>
      </c>
      <c r="H112" s="217">
        <v>300</v>
      </c>
      <c r="I112" s="217">
        <v>300</v>
      </c>
    </row>
    <row r="113" spans="1:10" s="38" customFormat="1" x14ac:dyDescent="0.25">
      <c r="A113" s="78" t="s">
        <v>81</v>
      </c>
      <c r="B113" s="78" t="str">
        <f>IF(ISBLANK(A113),"","OV"&amp;COUNTA($A$70:A113))</f>
        <v>OV42</v>
      </c>
      <c r="C113" s="480" t="s">
        <v>505</v>
      </c>
      <c r="D113" s="72" t="s">
        <v>91</v>
      </c>
      <c r="E113" s="111"/>
      <c r="F113" s="217">
        <v>450</v>
      </c>
      <c r="G113" s="217">
        <v>1725</v>
      </c>
      <c r="H113" s="217">
        <v>3050</v>
      </c>
      <c r="I113" s="217">
        <v>3675</v>
      </c>
    </row>
    <row r="114" spans="1:10" s="38" customFormat="1" x14ac:dyDescent="0.25">
      <c r="A114" s="78" t="s">
        <v>81</v>
      </c>
      <c r="B114" s="78" t="str">
        <f>IF(ISBLANK(A114),"","OV"&amp;COUNTA($A$70:A114))</f>
        <v>OV43</v>
      </c>
      <c r="C114" s="480" t="s">
        <v>506</v>
      </c>
      <c r="D114" s="72" t="s">
        <v>91</v>
      </c>
      <c r="E114" s="111"/>
      <c r="F114" s="217">
        <v>2800</v>
      </c>
      <c r="G114" s="217">
        <f>F114</f>
        <v>2800</v>
      </c>
      <c r="H114" s="217">
        <f>G114</f>
        <v>2800</v>
      </c>
      <c r="I114" s="217">
        <f>H114</f>
        <v>2800</v>
      </c>
    </row>
    <row r="115" spans="1:10" s="38" customFormat="1" x14ac:dyDescent="0.25">
      <c r="A115" s="78" t="s">
        <v>81</v>
      </c>
      <c r="B115" s="78" t="str">
        <f>IF(ISBLANK(A115),"","OV"&amp;COUNTA($A$70:A115))</f>
        <v>OV44</v>
      </c>
      <c r="C115" s="480" t="s">
        <v>507</v>
      </c>
      <c r="D115" s="72" t="s">
        <v>91</v>
      </c>
      <c r="E115" s="111"/>
      <c r="F115" s="217">
        <f>(F113+F114)*-1</f>
        <v>-3250</v>
      </c>
      <c r="G115" s="217">
        <f>(G113+G114)*-1</f>
        <v>-4525</v>
      </c>
      <c r="H115" s="217">
        <f>(H113+H114)*-1</f>
        <v>-5850</v>
      </c>
      <c r="I115" s="217">
        <f>(I113+I114)*-1</f>
        <v>-6475</v>
      </c>
    </row>
    <row r="116" spans="1:10" s="38" customFormat="1" x14ac:dyDescent="0.25">
      <c r="A116" s="78" t="s">
        <v>81</v>
      </c>
      <c r="B116" s="78" t="str">
        <f>IF(ISBLANK(A116),"","OV"&amp;COUNTA($A$70:A116))</f>
        <v>OV45</v>
      </c>
      <c r="C116" s="480" t="s">
        <v>508</v>
      </c>
      <c r="D116" s="72" t="s">
        <v>91</v>
      </c>
      <c r="E116" s="111">
        <v>3</v>
      </c>
      <c r="F116" s="217">
        <v>2200</v>
      </c>
      <c r="G116" s="217">
        <f>F116</f>
        <v>2200</v>
      </c>
      <c r="H116" s="217">
        <f>G116</f>
        <v>2200</v>
      </c>
      <c r="I116" s="217">
        <f>H116</f>
        <v>2200</v>
      </c>
      <c r="J116" s="38" t="s">
        <v>509</v>
      </c>
    </row>
    <row r="117" spans="1:10" s="38" customFormat="1" x14ac:dyDescent="0.25">
      <c r="A117" s="78" t="s">
        <v>81</v>
      </c>
      <c r="B117" s="78" t="str">
        <f>IF(ISBLANK(A117),"","OV"&amp;COUNTA($A$70:A117))</f>
        <v>OV46</v>
      </c>
      <c r="C117" s="480" t="s">
        <v>510</v>
      </c>
      <c r="D117" s="72" t="s">
        <v>91</v>
      </c>
      <c r="E117" s="111"/>
      <c r="F117" s="217"/>
      <c r="G117" s="217"/>
      <c r="H117" s="217"/>
      <c r="I117" s="217"/>
      <c r="J117" s="38" t="s">
        <v>494</v>
      </c>
    </row>
    <row r="118" spans="1:10" s="38" customFormat="1" x14ac:dyDescent="0.25">
      <c r="A118" s="78" t="s">
        <v>81</v>
      </c>
      <c r="B118" s="78" t="str">
        <f>IF(ISBLANK(A118),"","OV"&amp;COUNTA($A$70:A118))</f>
        <v>OV47</v>
      </c>
      <c r="C118" s="480" t="s">
        <v>511</v>
      </c>
      <c r="D118" s="72" t="s">
        <v>91</v>
      </c>
      <c r="E118" s="111" t="s">
        <v>488</v>
      </c>
      <c r="F118" s="217">
        <v>50</v>
      </c>
      <c r="G118" s="217">
        <v>50</v>
      </c>
      <c r="H118" s="217">
        <v>50</v>
      </c>
      <c r="I118" s="217">
        <v>50</v>
      </c>
    </row>
    <row r="119" spans="1:10" s="38" customFormat="1" ht="25.5" x14ac:dyDescent="0.25">
      <c r="A119" s="78" t="s">
        <v>81</v>
      </c>
      <c r="B119" s="78" t="str">
        <f>IF(ISBLANK(A119),"","OV"&amp;COUNTA($A$70:A119))</f>
        <v>OV48</v>
      </c>
      <c r="C119" s="569" t="s">
        <v>418</v>
      </c>
      <c r="D119" s="570" t="s">
        <v>91</v>
      </c>
      <c r="E119" s="571" t="s">
        <v>24</v>
      </c>
      <c r="F119" s="575">
        <v>2400</v>
      </c>
      <c r="G119" s="575">
        <v>2400</v>
      </c>
      <c r="H119" s="575">
        <v>2400</v>
      </c>
      <c r="I119" s="575">
        <v>2400</v>
      </c>
    </row>
    <row r="120" spans="1:10" s="38" customFormat="1" x14ac:dyDescent="0.25">
      <c r="A120" s="78" t="s">
        <v>81</v>
      </c>
      <c r="B120" s="78" t="str">
        <f>IF(ISBLANK(A120),"","OV"&amp;COUNTA($A$70:A120))</f>
        <v>OV49</v>
      </c>
      <c r="C120" s="527" t="s">
        <v>512</v>
      </c>
      <c r="D120" s="72" t="s">
        <v>91</v>
      </c>
      <c r="E120" s="111">
        <v>7</v>
      </c>
      <c r="F120" s="38">
        <v>500</v>
      </c>
      <c r="G120" s="38">
        <v>500</v>
      </c>
      <c r="H120" s="38">
        <v>500</v>
      </c>
      <c r="I120" s="38">
        <v>500</v>
      </c>
    </row>
    <row r="121" spans="1:10" s="38" customFormat="1" x14ac:dyDescent="0.25">
      <c r="A121" s="43"/>
      <c r="B121" s="43" t="s">
        <v>127</v>
      </c>
      <c r="C121" s="3" t="s">
        <v>128</v>
      </c>
      <c r="D121" s="52"/>
      <c r="E121" s="52"/>
      <c r="F121" s="56">
        <f>SUMIF($A:$A,"OPP",F:F)</f>
        <v>97106</v>
      </c>
      <c r="G121" s="56">
        <f>SUMIF($A:$A,"OPP",G:G)</f>
        <v>108912</v>
      </c>
      <c r="H121" s="56">
        <f>SUMIF($A:$A,"OPP",H:H)</f>
        <v>103862</v>
      </c>
      <c r="I121" s="56">
        <f>SUMIF($A:$A,"OPP",I:I)</f>
        <v>103982</v>
      </c>
    </row>
    <row r="122" spans="1:10" s="38" customFormat="1" x14ac:dyDescent="0.25">
      <c r="A122" s="47"/>
      <c r="B122" s="78"/>
      <c r="C122" s="11"/>
      <c r="D122" s="49"/>
      <c r="E122" s="49"/>
      <c r="F122" s="57"/>
      <c r="G122" s="57"/>
      <c r="H122" s="57"/>
      <c r="I122" s="57"/>
    </row>
    <row r="123" spans="1:10" s="38" customFormat="1" x14ac:dyDescent="0.25">
      <c r="A123" s="48"/>
      <c r="B123" s="78"/>
      <c r="C123" s="13" t="s">
        <v>129</v>
      </c>
      <c r="D123" s="50"/>
      <c r="E123" s="61"/>
      <c r="F123" s="58"/>
      <c r="G123" s="58"/>
      <c r="H123" s="58"/>
      <c r="I123" s="58"/>
    </row>
    <row r="124" spans="1:10" s="38" customFormat="1" x14ac:dyDescent="0.25">
      <c r="A124" s="78"/>
      <c r="B124" s="78"/>
      <c r="C124" s="82" t="s">
        <v>130</v>
      </c>
      <c r="D124" s="72"/>
      <c r="E124" s="71"/>
      <c r="F124" s="4">
        <f>F96</f>
        <v>2023</v>
      </c>
      <c r="G124" s="4">
        <f>F124+1</f>
        <v>2024</v>
      </c>
      <c r="H124" s="4">
        <f>G124+1</f>
        <v>2025</v>
      </c>
      <c r="I124" s="4">
        <f>H124+1</f>
        <v>2026</v>
      </c>
    </row>
    <row r="125" spans="1:10" s="38" customFormat="1" x14ac:dyDescent="0.25">
      <c r="A125" s="78" t="s">
        <v>131</v>
      </c>
      <c r="B125" s="78" t="str">
        <f>IF(ISBLANK(A125),"","H"&amp;COUNTA($A$125:A125))</f>
        <v>H1</v>
      </c>
      <c r="C125" s="245" t="s">
        <v>330</v>
      </c>
      <c r="D125" s="72" t="s">
        <v>89</v>
      </c>
      <c r="E125" s="71" t="s">
        <v>84</v>
      </c>
      <c r="F125" s="74">
        <v>0</v>
      </c>
      <c r="G125" s="74">
        <v>1000</v>
      </c>
      <c r="H125" s="74">
        <v>9000</v>
      </c>
      <c r="I125" s="70">
        <v>9000</v>
      </c>
    </row>
    <row r="126" spans="1:10" s="38" customFormat="1" x14ac:dyDescent="0.25">
      <c r="A126" s="78" t="s">
        <v>131</v>
      </c>
      <c r="B126" s="78" t="str">
        <f>IF(ISBLANK(A126),"","H"&amp;COUNTA($A$125:A126))</f>
        <v>H2</v>
      </c>
      <c r="C126" s="245" t="s">
        <v>420</v>
      </c>
      <c r="D126" s="72" t="s">
        <v>83</v>
      </c>
      <c r="E126" s="71" t="s">
        <v>84</v>
      </c>
      <c r="F126" s="481">
        <f>1650-1650</f>
        <v>0</v>
      </c>
      <c r="G126" s="481">
        <f>3600-3600</f>
        <v>0</v>
      </c>
      <c r="H126" s="481">
        <f>4900-4900</f>
        <v>0</v>
      </c>
      <c r="I126" s="481">
        <f>4900-4900</f>
        <v>0</v>
      </c>
    </row>
    <row r="127" spans="1:10" s="38" customFormat="1" x14ac:dyDescent="0.25">
      <c r="A127" s="78"/>
      <c r="B127" s="78"/>
      <c r="C127" s="480"/>
      <c r="D127" s="72"/>
      <c r="E127" s="71"/>
      <c r="F127" s="481"/>
      <c r="G127" s="481"/>
      <c r="H127" s="481"/>
      <c r="I127" s="481"/>
    </row>
    <row r="128" spans="1:10" s="38" customFormat="1" x14ac:dyDescent="0.25">
      <c r="A128" s="78"/>
      <c r="B128" s="78" t="str">
        <f>IF(ISBLANK(A128),"","H"&amp;COUNTA($A$125:A128))</f>
        <v/>
      </c>
      <c r="C128" s="82" t="s">
        <v>136</v>
      </c>
      <c r="D128" s="72"/>
      <c r="E128" s="71"/>
      <c r="F128" s="4">
        <f>F124</f>
        <v>2023</v>
      </c>
      <c r="G128" s="4">
        <f>F128+1</f>
        <v>2024</v>
      </c>
      <c r="H128" s="4">
        <f>G128+1</f>
        <v>2025</v>
      </c>
      <c r="I128" s="4">
        <f>H128+1</f>
        <v>2026</v>
      </c>
    </row>
    <row r="129" spans="1:10" s="38" customFormat="1" x14ac:dyDescent="0.25">
      <c r="A129" s="78" t="s">
        <v>131</v>
      </c>
      <c r="B129" s="78" t="str">
        <f>IF(ISBLANK(A129),"","H"&amp;COUNTA($A$125:A129))</f>
        <v>H3</v>
      </c>
      <c r="C129" s="245" t="s">
        <v>137</v>
      </c>
      <c r="D129" s="72" t="s">
        <v>89</v>
      </c>
      <c r="E129" s="71" t="s">
        <v>84</v>
      </c>
      <c r="F129" s="70">
        <v>2500</v>
      </c>
      <c r="G129" s="70">
        <v>5000</v>
      </c>
      <c r="H129" s="70">
        <v>7500</v>
      </c>
      <c r="I129" s="70">
        <v>10000</v>
      </c>
    </row>
    <row r="130" spans="1:10" s="38" customFormat="1" x14ac:dyDescent="0.25">
      <c r="A130" s="78"/>
      <c r="B130" s="78"/>
      <c r="C130" s="245"/>
      <c r="D130" s="72"/>
      <c r="E130" s="71"/>
      <c r="F130" s="217"/>
      <c r="G130" s="217"/>
      <c r="H130" s="217"/>
      <c r="I130" s="217"/>
    </row>
    <row r="131" spans="1:10" s="38" customFormat="1" x14ac:dyDescent="0.25">
      <c r="A131" s="341"/>
      <c r="B131" s="78" t="str">
        <f>IF(ISBLANK(A131),"","H"&amp;COUNTA($A$125:A131))</f>
        <v/>
      </c>
      <c r="C131" s="82" t="s">
        <v>142</v>
      </c>
      <c r="D131" s="83"/>
      <c r="E131" s="71"/>
      <c r="F131" s="4">
        <f>F128</f>
        <v>2023</v>
      </c>
      <c r="G131" s="4">
        <f>F131+1</f>
        <v>2024</v>
      </c>
      <c r="H131" s="4">
        <f>G131+1</f>
        <v>2025</v>
      </c>
      <c r="I131" s="4">
        <f>H131+1</f>
        <v>2026</v>
      </c>
    </row>
    <row r="132" spans="1:10" s="38" customFormat="1" x14ac:dyDescent="0.25">
      <c r="A132" s="78" t="s">
        <v>131</v>
      </c>
      <c r="B132" s="78" t="str">
        <f>IF(ISBLANK(A132),"","H"&amp;COUNTA($A$125:A132))</f>
        <v>H4</v>
      </c>
      <c r="C132" s="245" t="s">
        <v>143</v>
      </c>
      <c r="D132" s="72" t="s">
        <v>89</v>
      </c>
      <c r="E132" s="71" t="s">
        <v>84</v>
      </c>
      <c r="F132" s="70">
        <v>-300</v>
      </c>
      <c r="G132" s="70">
        <v>-900</v>
      </c>
      <c r="H132" s="70">
        <v>-1500</v>
      </c>
      <c r="I132" s="70">
        <v>-1500</v>
      </c>
    </row>
    <row r="133" spans="1:10" s="38" customFormat="1" x14ac:dyDescent="0.25">
      <c r="A133" s="78" t="s">
        <v>131</v>
      </c>
      <c r="B133" s="78" t="str">
        <f>IF(ISBLANK(A133),"","H"&amp;COUNTA($A$125:A133))</f>
        <v>H5</v>
      </c>
      <c r="C133" s="480" t="s">
        <v>144</v>
      </c>
      <c r="D133" s="72" t="s">
        <v>83</v>
      </c>
      <c r="E133" s="71" t="s">
        <v>84</v>
      </c>
      <c r="F133" s="398">
        <v>-27256</v>
      </c>
      <c r="G133" s="398">
        <v>-27256</v>
      </c>
      <c r="H133" s="398">
        <v>-27256</v>
      </c>
      <c r="I133" s="398">
        <v>-27256</v>
      </c>
    </row>
    <row r="134" spans="1:10" s="38" customFormat="1" x14ac:dyDescent="0.25">
      <c r="A134" s="78" t="s">
        <v>131</v>
      </c>
      <c r="B134" s="78" t="str">
        <f>IF(ISBLANK(A134),"","H"&amp;COUNTA($A$125:A134))</f>
        <v>H6</v>
      </c>
      <c r="C134" s="480" t="s">
        <v>145</v>
      </c>
      <c r="D134" s="72" t="s">
        <v>91</v>
      </c>
      <c r="E134" s="71">
        <v>1</v>
      </c>
      <c r="F134" s="398">
        <v>27256</v>
      </c>
      <c r="G134" s="398">
        <v>27256</v>
      </c>
      <c r="H134" s="398">
        <v>27256</v>
      </c>
      <c r="I134" s="398">
        <v>27256</v>
      </c>
    </row>
    <row r="135" spans="1:10" s="38" customFormat="1" x14ac:dyDescent="0.25">
      <c r="A135" s="78" t="s">
        <v>131</v>
      </c>
      <c r="B135" s="78" t="str">
        <f>IF(ISBLANK(A135),"","H"&amp;COUNTA($A$125:A135))</f>
        <v>H7</v>
      </c>
      <c r="C135" s="480" t="s">
        <v>146</v>
      </c>
      <c r="D135" s="72" t="s">
        <v>91</v>
      </c>
      <c r="E135" s="71" t="s">
        <v>24</v>
      </c>
      <c r="F135" s="398">
        <v>15000</v>
      </c>
      <c r="G135" s="398">
        <v>15000</v>
      </c>
      <c r="H135" s="398">
        <v>15000</v>
      </c>
      <c r="I135" s="398">
        <v>15000</v>
      </c>
    </row>
    <row r="136" spans="1:10" s="38" customFormat="1" x14ac:dyDescent="0.25">
      <c r="A136" s="78" t="s">
        <v>131</v>
      </c>
      <c r="B136" s="78" t="str">
        <f>IF(ISBLANK(A136),"","H"&amp;COUNTA($A$125:A136))</f>
        <v>H8</v>
      </c>
      <c r="C136" s="480" t="s">
        <v>147</v>
      </c>
      <c r="D136" s="72" t="s">
        <v>91</v>
      </c>
      <c r="E136" s="71" t="s">
        <v>24</v>
      </c>
      <c r="F136" s="421">
        <v>5000</v>
      </c>
      <c r="G136" s="217">
        <f>F136</f>
        <v>5000</v>
      </c>
      <c r="H136" s="217">
        <f>G136</f>
        <v>5000</v>
      </c>
      <c r="I136" s="217">
        <f>H136</f>
        <v>5000</v>
      </c>
    </row>
    <row r="137" spans="1:10" s="38" customFormat="1" x14ac:dyDescent="0.25">
      <c r="A137" s="78" t="s">
        <v>131</v>
      </c>
      <c r="B137" s="78" t="str">
        <f>IF(ISBLANK(A137),"","H"&amp;COUNTA($A$125:A137))</f>
        <v>H9</v>
      </c>
      <c r="C137" s="480" t="s">
        <v>513</v>
      </c>
      <c r="D137" s="72" t="s">
        <v>91</v>
      </c>
      <c r="E137" s="71">
        <v>8</v>
      </c>
      <c r="F137" s="373">
        <f>475*5.8</f>
        <v>2755</v>
      </c>
      <c r="G137" s="373">
        <f t="shared" ref="G137:I137" si="0">475*5.8</f>
        <v>2755</v>
      </c>
      <c r="H137" s="373">
        <f t="shared" si="0"/>
        <v>2755</v>
      </c>
      <c r="I137" s="373">
        <f t="shared" si="0"/>
        <v>2755</v>
      </c>
    </row>
    <row r="138" spans="1:10" s="38" customFormat="1" x14ac:dyDescent="0.25">
      <c r="A138" s="78" t="s">
        <v>131</v>
      </c>
      <c r="B138" s="78" t="str">
        <f>IF(ISBLANK(A138),"","H"&amp;COUNTA($A$125:A138))</f>
        <v>H10</v>
      </c>
      <c r="C138" s="480" t="s">
        <v>514</v>
      </c>
      <c r="D138" s="72" t="s">
        <v>91</v>
      </c>
      <c r="E138" s="71">
        <v>12</v>
      </c>
      <c r="F138" s="373">
        <f>475*4.2</f>
        <v>1995</v>
      </c>
      <c r="G138" s="373">
        <f t="shared" ref="G138:H138" si="1">475*4.2</f>
        <v>1995</v>
      </c>
      <c r="H138" s="373">
        <f t="shared" si="1"/>
        <v>1995</v>
      </c>
      <c r="I138" s="373">
        <f>475*4.2</f>
        <v>1995</v>
      </c>
    </row>
    <row r="139" spans="1:10" s="38" customFormat="1" x14ac:dyDescent="0.25">
      <c r="A139" s="78" t="s">
        <v>131</v>
      </c>
      <c r="B139" s="78" t="str">
        <f>IF(ISBLANK(A139),"","H"&amp;COUNTA($A$125:A139))</f>
        <v>H11</v>
      </c>
      <c r="C139" s="396" t="s">
        <v>148</v>
      </c>
      <c r="D139" s="72" t="s">
        <v>91</v>
      </c>
      <c r="E139" s="71" t="s">
        <v>24</v>
      </c>
      <c r="F139" s="217">
        <v>10000</v>
      </c>
      <c r="G139" s="217">
        <v>10000</v>
      </c>
      <c r="H139" s="217">
        <v>10000</v>
      </c>
      <c r="I139" s="217">
        <v>10000</v>
      </c>
    </row>
    <row r="140" spans="1:10" s="38" customFormat="1" ht="25.5" x14ac:dyDescent="0.25">
      <c r="A140" s="78" t="s">
        <v>131</v>
      </c>
      <c r="B140" s="78" t="str">
        <f>IF(ISBLANK(A140),"","H"&amp;COUNTA($A$125:A140))</f>
        <v>H12</v>
      </c>
      <c r="C140" s="582" t="s">
        <v>153</v>
      </c>
      <c r="D140" s="72" t="s">
        <v>91</v>
      </c>
      <c r="E140" s="71" t="s">
        <v>24</v>
      </c>
      <c r="F140" s="217">
        <v>-3700</v>
      </c>
      <c r="G140" s="217">
        <v>-3700</v>
      </c>
      <c r="H140" s="217">
        <v>-3700</v>
      </c>
      <c r="I140" s="217">
        <v>-3700</v>
      </c>
      <c r="J140" s="38" t="s">
        <v>332</v>
      </c>
    </row>
    <row r="141" spans="1:10" s="38" customFormat="1" x14ac:dyDescent="0.25">
      <c r="A141" s="78" t="s">
        <v>131</v>
      </c>
      <c r="B141" s="78" t="str">
        <f>IF(ISBLANK(A141),"","H"&amp;COUNTA($A$125:A141))</f>
        <v>H13</v>
      </c>
      <c r="C141" s="582" t="s">
        <v>515</v>
      </c>
      <c r="D141" s="72" t="s">
        <v>91</v>
      </c>
      <c r="E141" s="71" t="s">
        <v>24</v>
      </c>
      <c r="F141" s="217">
        <v>400</v>
      </c>
      <c r="G141" s="217">
        <v>400</v>
      </c>
      <c r="H141" s="217">
        <v>400</v>
      </c>
      <c r="I141" s="217">
        <v>400</v>
      </c>
      <c r="J141" s="38" t="s">
        <v>332</v>
      </c>
    </row>
    <row r="142" spans="1:10" s="38" customFormat="1" x14ac:dyDescent="0.25">
      <c r="A142" s="78" t="s">
        <v>131</v>
      </c>
      <c r="B142" s="78" t="str">
        <f>IF(ISBLANK(A142),"","H"&amp;COUNTA($A$125:A142))</f>
        <v>H14</v>
      </c>
      <c r="C142" s="582" t="s">
        <v>150</v>
      </c>
      <c r="D142" s="72" t="s">
        <v>91</v>
      </c>
      <c r="E142" s="71" t="s">
        <v>24</v>
      </c>
      <c r="F142" s="217">
        <v>1000</v>
      </c>
      <c r="G142" s="217">
        <f>F142</f>
        <v>1000</v>
      </c>
      <c r="H142" s="217">
        <f>G142</f>
        <v>1000</v>
      </c>
      <c r="I142" s="217">
        <f>H142</f>
        <v>1000</v>
      </c>
      <c r="J142" s="38" t="s">
        <v>332</v>
      </c>
    </row>
    <row r="143" spans="1:10" s="38" customFormat="1" x14ac:dyDescent="0.25">
      <c r="A143" s="78" t="s">
        <v>131</v>
      </c>
      <c r="B143" s="78" t="str">
        <f>IF(ISBLANK(A143),"","H"&amp;COUNTA($A$125:A143))</f>
        <v>H15</v>
      </c>
      <c r="C143" s="584" t="s">
        <v>463</v>
      </c>
      <c r="D143" s="72" t="s">
        <v>91</v>
      </c>
      <c r="E143" s="71" t="s">
        <v>24</v>
      </c>
      <c r="F143" s="217">
        <v>1100</v>
      </c>
      <c r="G143" s="217">
        <v>1100</v>
      </c>
      <c r="H143" s="217">
        <v>1100</v>
      </c>
      <c r="I143" s="217">
        <v>1100</v>
      </c>
      <c r="J143" s="38" t="s">
        <v>332</v>
      </c>
    </row>
    <row r="144" spans="1:10" s="38" customFormat="1" x14ac:dyDescent="0.25">
      <c r="A144" s="78" t="s">
        <v>131</v>
      </c>
      <c r="B144" s="78" t="str">
        <f>IF(ISBLANK(A144),"","H"&amp;COUNTA($A$125:A144))</f>
        <v>H16</v>
      </c>
      <c r="C144" s="584" t="s">
        <v>464</v>
      </c>
      <c r="D144" s="72" t="s">
        <v>91</v>
      </c>
      <c r="E144" s="71" t="s">
        <v>24</v>
      </c>
      <c r="F144" s="217">
        <v>1200</v>
      </c>
      <c r="G144" s="217">
        <v>1200</v>
      </c>
      <c r="H144" s="217">
        <v>1200</v>
      </c>
      <c r="I144" s="217">
        <v>1200</v>
      </c>
      <c r="J144" s="38" t="s">
        <v>332</v>
      </c>
    </row>
    <row r="145" spans="1:10" s="38" customFormat="1" x14ac:dyDescent="0.25">
      <c r="A145" s="78"/>
      <c r="B145" s="78" t="str">
        <f>IF(ISBLANK(A145),"","H"&amp;COUNTA($A$125:A145))</f>
        <v/>
      </c>
      <c r="C145" s="82" t="s">
        <v>156</v>
      </c>
      <c r="D145" s="72"/>
      <c r="E145" s="71"/>
      <c r="F145" s="4">
        <f>F131</f>
        <v>2023</v>
      </c>
      <c r="G145" s="4">
        <f>F145+1</f>
        <v>2024</v>
      </c>
      <c r="H145" s="4">
        <f>G145+1</f>
        <v>2025</v>
      </c>
      <c r="I145" s="4">
        <f>H145+1</f>
        <v>2026</v>
      </c>
    </row>
    <row r="146" spans="1:10" s="38" customFormat="1" ht="25.5" x14ac:dyDescent="0.25">
      <c r="A146" s="78" t="s">
        <v>131</v>
      </c>
      <c r="B146" s="78" t="str">
        <f>IF(ISBLANK(A146),"","H"&amp;COUNTA($A$125:A146))</f>
        <v>H17</v>
      </c>
      <c r="C146" s="245" t="s">
        <v>157</v>
      </c>
      <c r="D146" s="72" t="s">
        <v>83</v>
      </c>
      <c r="E146" s="71" t="s">
        <v>84</v>
      </c>
      <c r="F146" s="217">
        <v>0</v>
      </c>
      <c r="G146" s="217">
        <v>57</v>
      </c>
      <c r="H146" s="217">
        <v>114</v>
      </c>
      <c r="I146" s="217">
        <v>114</v>
      </c>
      <c r="J146" s="144" t="s">
        <v>421</v>
      </c>
    </row>
    <row r="147" spans="1:10" s="38" customFormat="1" x14ac:dyDescent="0.25">
      <c r="A147" s="78" t="s">
        <v>131</v>
      </c>
      <c r="B147" s="78" t="str">
        <f>IF(ISBLANK(A147),"","H"&amp;COUNTA($A$125:A147))</f>
        <v>H18</v>
      </c>
      <c r="C147" s="245" t="s">
        <v>422</v>
      </c>
      <c r="D147" s="72" t="s">
        <v>91</v>
      </c>
      <c r="E147" s="71">
        <v>2</v>
      </c>
      <c r="F147" s="70">
        <v>1530</v>
      </c>
      <c r="G147" s="70">
        <v>1530</v>
      </c>
      <c r="H147" s="70">
        <v>1530</v>
      </c>
      <c r="I147" s="70">
        <v>1530</v>
      </c>
    </row>
    <row r="148" spans="1:10" s="38" customFormat="1" ht="25.5" x14ac:dyDescent="0.25">
      <c r="A148" s="78" t="s">
        <v>131</v>
      </c>
      <c r="B148" s="78" t="str">
        <f>IF(ISBLANK(A148),"","H"&amp;COUNTA($A$125:A148))</f>
        <v>H19</v>
      </c>
      <c r="C148" s="581" t="s">
        <v>516</v>
      </c>
      <c r="D148" s="72" t="s">
        <v>91</v>
      </c>
      <c r="E148" s="71">
        <v>3</v>
      </c>
      <c r="F148" s="398">
        <v>2400</v>
      </c>
      <c r="G148" s="398">
        <v>2400</v>
      </c>
      <c r="H148" s="398">
        <v>2400</v>
      </c>
      <c r="I148" s="398">
        <v>2400</v>
      </c>
      <c r="J148" s="144" t="s">
        <v>421</v>
      </c>
    </row>
    <row r="149" spans="1:10" s="38" customFormat="1" x14ac:dyDescent="0.25">
      <c r="A149" s="78" t="s">
        <v>131</v>
      </c>
      <c r="B149" s="78" t="str">
        <f>IF(ISBLANK(A149),"","H"&amp;COUNTA($A$125:A149))</f>
        <v>H20</v>
      </c>
      <c r="C149" s="581" t="s">
        <v>623</v>
      </c>
      <c r="D149" s="72" t="s">
        <v>91</v>
      </c>
      <c r="E149" s="71">
        <v>4</v>
      </c>
      <c r="F149" s="70">
        <f>(1400/2)+2900</f>
        <v>3600</v>
      </c>
      <c r="G149" s="70">
        <f t="shared" ref="G149:I149" si="2">(1400/2)+2900</f>
        <v>3600</v>
      </c>
      <c r="H149" s="70">
        <f t="shared" si="2"/>
        <v>3600</v>
      </c>
      <c r="I149" s="70">
        <f t="shared" si="2"/>
        <v>3600</v>
      </c>
      <c r="J149" s="38" t="s">
        <v>519</v>
      </c>
    </row>
    <row r="150" spans="1:10" s="38" customFormat="1" ht="25.5" x14ac:dyDescent="0.25">
      <c r="A150" s="78" t="s">
        <v>131</v>
      </c>
      <c r="B150" s="78" t="str">
        <f>IF(ISBLANK(A150),"","H"&amp;COUNTA($A$125:A150))</f>
        <v>H21</v>
      </c>
      <c r="C150" s="581" t="s">
        <v>424</v>
      </c>
      <c r="D150" s="72" t="s">
        <v>91</v>
      </c>
      <c r="E150" s="71" t="s">
        <v>24</v>
      </c>
      <c r="F150" s="421">
        <v>1400</v>
      </c>
      <c r="G150" s="421">
        <v>1400</v>
      </c>
      <c r="H150" s="421">
        <v>1400</v>
      </c>
      <c r="I150" s="421">
        <v>1400</v>
      </c>
      <c r="J150" s="144"/>
    </row>
    <row r="151" spans="1:10" s="38" customFormat="1" x14ac:dyDescent="0.25">
      <c r="A151" s="78" t="s">
        <v>131</v>
      </c>
      <c r="B151" s="78" t="str">
        <f>IF(ISBLANK(A151),"","H"&amp;COUNTA($A$125:A151))</f>
        <v>H22</v>
      </c>
      <c r="C151" s="581" t="s">
        <v>624</v>
      </c>
      <c r="D151" s="72" t="s">
        <v>91</v>
      </c>
      <c r="E151" s="71">
        <v>5</v>
      </c>
      <c r="F151" s="373">
        <v>400</v>
      </c>
      <c r="G151" s="373">
        <v>400</v>
      </c>
      <c r="H151" s="373">
        <v>400</v>
      </c>
      <c r="I151" s="373">
        <v>400</v>
      </c>
      <c r="J151" s="144"/>
    </row>
    <row r="152" spans="1:10" s="38" customFormat="1" ht="25.5" x14ac:dyDescent="0.25">
      <c r="A152" s="78" t="s">
        <v>131</v>
      </c>
      <c r="B152" s="78" t="str">
        <f>IF(ISBLANK(A152),"","H"&amp;COUNTA($A$125:A152))</f>
        <v>H23</v>
      </c>
      <c r="C152" s="245" t="s">
        <v>521</v>
      </c>
      <c r="D152" s="72" t="s">
        <v>91</v>
      </c>
      <c r="E152" s="71">
        <v>11</v>
      </c>
      <c r="F152" s="373">
        <v>1600</v>
      </c>
      <c r="G152" s="373">
        <v>1600</v>
      </c>
      <c r="H152" s="373">
        <v>1600</v>
      </c>
      <c r="I152" s="373">
        <v>1600</v>
      </c>
    </row>
    <row r="153" spans="1:10" s="38" customFormat="1" x14ac:dyDescent="0.25">
      <c r="A153" s="78" t="s">
        <v>131</v>
      </c>
      <c r="B153" s="78" t="str">
        <f>IF(ISBLANK(A153),"","H"&amp;COUNTA($A$125:A153))</f>
        <v>H24</v>
      </c>
      <c r="C153" s="245" t="s">
        <v>523</v>
      </c>
      <c r="D153" s="72" t="s">
        <v>91</v>
      </c>
      <c r="E153" s="71">
        <v>13</v>
      </c>
      <c r="F153" s="373">
        <v>1200</v>
      </c>
      <c r="G153" s="373">
        <v>1200</v>
      </c>
      <c r="H153" s="373">
        <v>1200</v>
      </c>
      <c r="I153" s="373">
        <v>1200</v>
      </c>
    </row>
    <row r="154" spans="1:10" s="38" customFormat="1" ht="25.5" x14ac:dyDescent="0.25">
      <c r="A154" s="78" t="s">
        <v>131</v>
      </c>
      <c r="B154" s="78" t="str">
        <f>IF(ISBLANK(A154),"","H"&amp;COUNTA($A$125:A154))</f>
        <v>H25</v>
      </c>
      <c r="C154" s="245" t="s">
        <v>524</v>
      </c>
      <c r="D154" s="72" t="s">
        <v>91</v>
      </c>
      <c r="E154" s="71">
        <v>10</v>
      </c>
      <c r="F154" s="373"/>
      <c r="G154" s="373"/>
      <c r="H154" s="373"/>
      <c r="I154" s="373">
        <v>600</v>
      </c>
      <c r="J154" s="38" t="s">
        <v>525</v>
      </c>
    </row>
    <row r="155" spans="1:10" s="38" customFormat="1" ht="25.5" x14ac:dyDescent="0.25">
      <c r="A155" s="78" t="s">
        <v>131</v>
      </c>
      <c r="B155" s="78" t="str">
        <f>IF(ISBLANK(A155),"","H"&amp;COUNTA($A$125:A155))</f>
        <v>H26</v>
      </c>
      <c r="C155" s="567" t="s">
        <v>526</v>
      </c>
      <c r="D155" s="72" t="s">
        <v>91</v>
      </c>
      <c r="E155" s="71">
        <v>6</v>
      </c>
      <c r="F155" s="564">
        <v>14100</v>
      </c>
      <c r="G155" s="373">
        <v>15350</v>
      </c>
      <c r="H155" s="373">
        <v>15350</v>
      </c>
      <c r="I155" s="373">
        <v>15350</v>
      </c>
      <c r="J155" s="38" t="s">
        <v>527</v>
      </c>
    </row>
    <row r="156" spans="1:10" s="38" customFormat="1" x14ac:dyDescent="0.25">
      <c r="A156" s="78" t="s">
        <v>131</v>
      </c>
      <c r="B156" s="78" t="str">
        <f>IF(ISBLANK(A156),"","H"&amp;COUNTA($A$125:A156))</f>
        <v>H27</v>
      </c>
      <c r="C156" s="480" t="s">
        <v>528</v>
      </c>
      <c r="D156" s="72" t="s">
        <v>91</v>
      </c>
      <c r="E156" s="71">
        <v>9</v>
      </c>
      <c r="F156" s="217">
        <v>1100</v>
      </c>
      <c r="G156" s="217">
        <v>1100</v>
      </c>
      <c r="H156" s="217">
        <v>1100</v>
      </c>
      <c r="I156" s="217">
        <v>1100</v>
      </c>
      <c r="J156" s="38" t="s">
        <v>525</v>
      </c>
    </row>
    <row r="157" spans="1:10" s="38" customFormat="1" x14ac:dyDescent="0.25">
      <c r="A157" s="78"/>
      <c r="B157" s="78" t="str">
        <f>IF(ISBLANK(A157),"","H"&amp;COUNTA($A$125:A157))</f>
        <v/>
      </c>
      <c r="D157" s="83"/>
      <c r="E157" s="71"/>
      <c r="F157" s="4">
        <f>F145</f>
        <v>2023</v>
      </c>
      <c r="G157" s="4">
        <f>F157+1</f>
        <v>2024</v>
      </c>
      <c r="H157" s="4">
        <f>G157+1</f>
        <v>2025</v>
      </c>
      <c r="I157" s="4">
        <f>H157+1</f>
        <v>2026</v>
      </c>
    </row>
    <row r="158" spans="1:10" s="38" customFormat="1" x14ac:dyDescent="0.25">
      <c r="A158" s="78"/>
      <c r="B158" s="78"/>
      <c r="C158" s="82" t="s">
        <v>172</v>
      </c>
      <c r="D158" s="83"/>
      <c r="E158" s="71"/>
      <c r="F158" s="4"/>
      <c r="G158" s="4"/>
      <c r="H158" s="4"/>
      <c r="I158" s="4"/>
    </row>
    <row r="159" spans="1:10" s="38" customFormat="1" x14ac:dyDescent="0.25">
      <c r="A159" s="78" t="s">
        <v>131</v>
      </c>
      <c r="B159" s="78" t="str">
        <f>IF(ISBLANK(A159),"","H"&amp;COUNTA($A$125:A159))</f>
        <v>H28</v>
      </c>
      <c r="C159" s="245" t="s">
        <v>173</v>
      </c>
      <c r="D159" s="72" t="s">
        <v>83</v>
      </c>
      <c r="E159" s="71" t="s">
        <v>84</v>
      </c>
      <c r="F159" s="575">
        <v>-2941</v>
      </c>
      <c r="G159" s="575">
        <v>-1531</v>
      </c>
      <c r="H159" s="575">
        <v>2820</v>
      </c>
      <c r="I159" s="575">
        <v>4230</v>
      </c>
      <c r="J159" s="144" t="s">
        <v>431</v>
      </c>
    </row>
    <row r="160" spans="1:10" s="38" customFormat="1" x14ac:dyDescent="0.25">
      <c r="A160" s="78" t="s">
        <v>131</v>
      </c>
      <c r="B160" s="78" t="str">
        <f>IF(ISBLANK(A160),"","H"&amp;COUNTA($A$125:A160))</f>
        <v>H29</v>
      </c>
      <c r="C160" s="245" t="s">
        <v>174</v>
      </c>
      <c r="D160" s="72" t="s">
        <v>83</v>
      </c>
      <c r="E160" s="71" t="s">
        <v>84</v>
      </c>
      <c r="F160" s="575">
        <v>27000</v>
      </c>
      <c r="G160" s="575">
        <v>22000</v>
      </c>
      <c r="H160" s="575">
        <v>19000</v>
      </c>
      <c r="I160" s="575">
        <v>19000</v>
      </c>
      <c r="J160" s="144" t="s">
        <v>431</v>
      </c>
    </row>
    <row r="161" spans="1:11" s="38" customFormat="1" ht="25.5" x14ac:dyDescent="0.25">
      <c r="A161" s="78" t="s">
        <v>131</v>
      </c>
      <c r="B161" s="78" t="str">
        <f>IF(ISBLANK(A161),"","H"&amp;COUNTA($A$125:A161))</f>
        <v>H30</v>
      </c>
      <c r="C161" s="245" t="s">
        <v>529</v>
      </c>
      <c r="D161" s="72" t="s">
        <v>83</v>
      </c>
      <c r="E161" s="71" t="s">
        <v>84</v>
      </c>
      <c r="F161" s="217">
        <f>1700-1700</f>
        <v>0</v>
      </c>
      <c r="G161" s="217">
        <f t="shared" ref="G161:I161" si="3">1700-1700</f>
        <v>0</v>
      </c>
      <c r="H161" s="217">
        <f t="shared" si="3"/>
        <v>0</v>
      </c>
      <c r="I161" s="217">
        <f t="shared" si="3"/>
        <v>0</v>
      </c>
    </row>
    <row r="162" spans="1:11" s="38" customFormat="1" ht="25.5" x14ac:dyDescent="0.25">
      <c r="A162" s="78" t="s">
        <v>131</v>
      </c>
      <c r="B162" s="78" t="str">
        <f>IF(ISBLANK(A162),"","H"&amp;COUNTA($A$125:A162))</f>
        <v>H31</v>
      </c>
      <c r="C162" s="245" t="s">
        <v>530</v>
      </c>
      <c r="D162" s="72" t="s">
        <v>83</v>
      </c>
      <c r="E162" s="71" t="s">
        <v>84</v>
      </c>
      <c r="F162" s="217">
        <f>6920-6920</f>
        <v>0</v>
      </c>
      <c r="G162" s="217">
        <f>13540-13540</f>
        <v>0</v>
      </c>
      <c r="H162" s="217">
        <f>18500-18500</f>
        <v>0</v>
      </c>
      <c r="I162" s="217">
        <f>18500-18500</f>
        <v>0</v>
      </c>
    </row>
    <row r="163" spans="1:11" s="38" customFormat="1" x14ac:dyDescent="0.25">
      <c r="A163" s="78" t="s">
        <v>131</v>
      </c>
      <c r="B163" s="78" t="str">
        <f>IF(ISBLANK(A163),"","H"&amp;COUNTA($A$125:A163))</f>
        <v>H32</v>
      </c>
      <c r="C163" s="245" t="s">
        <v>531</v>
      </c>
      <c r="D163" s="72" t="s">
        <v>91</v>
      </c>
      <c r="E163" s="71">
        <v>7</v>
      </c>
      <c r="F163" s="217">
        <v>700</v>
      </c>
      <c r="G163" s="217">
        <v>700</v>
      </c>
      <c r="H163" s="217">
        <v>700</v>
      </c>
      <c r="I163" s="217">
        <v>700</v>
      </c>
    </row>
    <row r="164" spans="1:11" s="38" customFormat="1" ht="25.5" x14ac:dyDescent="0.25">
      <c r="A164" s="78" t="s">
        <v>131</v>
      </c>
      <c r="B164" s="78" t="str">
        <f>IF(ISBLANK(A164),"","H"&amp;COUNTA($A$125:A164))</f>
        <v>H33</v>
      </c>
      <c r="C164" s="245" t="s">
        <v>432</v>
      </c>
      <c r="D164" s="72" t="s">
        <v>91</v>
      </c>
      <c r="E164" s="71" t="s">
        <v>24</v>
      </c>
      <c r="F164" s="217">
        <v>9000</v>
      </c>
      <c r="G164" s="217">
        <v>9000</v>
      </c>
      <c r="H164" s="217">
        <v>9000</v>
      </c>
      <c r="I164" s="217">
        <v>9000</v>
      </c>
      <c r="J164" s="38" t="s">
        <v>625</v>
      </c>
    </row>
    <row r="165" spans="1:11" s="38" customFormat="1" x14ac:dyDescent="0.25">
      <c r="A165" s="78" t="s">
        <v>131</v>
      </c>
      <c r="B165" s="78" t="str">
        <f>IF(ISBLANK(A165),"","H"&amp;COUNTA($A$125:A165))</f>
        <v>H34</v>
      </c>
      <c r="C165" s="569" t="s">
        <v>433</v>
      </c>
      <c r="D165" s="570" t="s">
        <v>91</v>
      </c>
      <c r="E165" s="573" t="s">
        <v>24</v>
      </c>
      <c r="F165" s="575">
        <v>1400</v>
      </c>
      <c r="G165" s="575">
        <v>1400</v>
      </c>
      <c r="H165" s="575">
        <v>1400</v>
      </c>
      <c r="I165" s="575">
        <v>1400</v>
      </c>
      <c r="J165" s="572" t="s">
        <v>342</v>
      </c>
      <c r="K165" s="572"/>
    </row>
    <row r="166" spans="1:11" s="38" customFormat="1" ht="38.25" x14ac:dyDescent="0.25">
      <c r="A166" s="78" t="s">
        <v>131</v>
      </c>
      <c r="B166" s="78" t="str">
        <f>IF(ISBLANK(A166),"","H"&amp;COUNTA($A$125:A166))</f>
        <v>H35</v>
      </c>
      <c r="C166" s="569" t="s">
        <v>434</v>
      </c>
      <c r="D166" s="570" t="s">
        <v>91</v>
      </c>
      <c r="E166" s="573" t="s">
        <v>24</v>
      </c>
      <c r="F166" s="575">
        <v>2700</v>
      </c>
      <c r="G166" s="575">
        <v>2700</v>
      </c>
      <c r="H166" s="575">
        <v>2700</v>
      </c>
      <c r="I166" s="575">
        <v>2700</v>
      </c>
      <c r="J166" s="572" t="s">
        <v>329</v>
      </c>
    </row>
    <row r="167" spans="1:11" s="38" customFormat="1" x14ac:dyDescent="0.25">
      <c r="A167" s="78" t="s">
        <v>131</v>
      </c>
      <c r="B167" s="78" t="str">
        <f>IF(ISBLANK(A167),"","H"&amp;COUNTA($A$125:A167))</f>
        <v>H36</v>
      </c>
      <c r="C167" s="480" t="s">
        <v>533</v>
      </c>
      <c r="D167" s="72" t="s">
        <v>91</v>
      </c>
      <c r="E167" s="71" t="s">
        <v>488</v>
      </c>
      <c r="F167" s="398">
        <v>750</v>
      </c>
      <c r="G167" s="398">
        <v>750</v>
      </c>
      <c r="H167" s="398">
        <v>750</v>
      </c>
      <c r="I167" s="398">
        <v>750</v>
      </c>
      <c r="J167" s="38" t="s">
        <v>534</v>
      </c>
    </row>
    <row r="168" spans="1:11" s="38" customFormat="1" ht="25.5" x14ac:dyDescent="0.25">
      <c r="A168" s="78" t="s">
        <v>131</v>
      </c>
      <c r="B168" s="78" t="str">
        <f>IF(ISBLANK(A168),"","H"&amp;COUNTA($A$125:A168))</f>
        <v>H37</v>
      </c>
      <c r="C168" s="569" t="s">
        <v>435</v>
      </c>
      <c r="D168" s="570" t="s">
        <v>91</v>
      </c>
      <c r="E168" s="573" t="s">
        <v>24</v>
      </c>
      <c r="F168" s="574">
        <f>6400+1000</f>
        <v>7400</v>
      </c>
      <c r="G168" s="574">
        <f t="shared" ref="G168:I168" si="4">6400+1000</f>
        <v>7400</v>
      </c>
      <c r="H168" s="574">
        <f t="shared" si="4"/>
        <v>7400</v>
      </c>
      <c r="I168" s="574">
        <f t="shared" si="4"/>
        <v>7400</v>
      </c>
      <c r="J168" s="572" t="s">
        <v>329</v>
      </c>
    </row>
    <row r="169" spans="1:11" s="38" customFormat="1" x14ac:dyDescent="0.25">
      <c r="A169" s="78"/>
      <c r="B169" s="78"/>
      <c r="C169" s="480"/>
      <c r="D169" s="72"/>
      <c r="E169" s="71"/>
      <c r="F169" s="546"/>
      <c r="G169" s="546"/>
      <c r="H169" s="546"/>
      <c r="I169" s="546"/>
    </row>
    <row r="170" spans="1:11" s="38" customFormat="1" x14ac:dyDescent="0.25">
      <c r="A170" s="78"/>
      <c r="B170" s="78" t="str">
        <f>IF(ISBLANK(A170),"","H"&amp;COUNTA($A$125:A170))</f>
        <v/>
      </c>
      <c r="C170" s="82" t="s">
        <v>179</v>
      </c>
      <c r="D170" s="83"/>
      <c r="E170" s="71"/>
      <c r="F170" s="4">
        <f>F157</f>
        <v>2023</v>
      </c>
      <c r="G170" s="4">
        <f>F170+1</f>
        <v>2024</v>
      </c>
      <c r="H170" s="4">
        <f>G170+1</f>
        <v>2025</v>
      </c>
      <c r="I170" s="4">
        <f>H170+1</f>
        <v>2026</v>
      </c>
    </row>
    <row r="171" spans="1:11" s="38" customFormat="1" x14ac:dyDescent="0.25">
      <c r="A171" s="78" t="s">
        <v>131</v>
      </c>
      <c r="B171" s="78" t="str">
        <f>IF(ISBLANK(A171),"","H"&amp;COUNTA($A$125:A171))</f>
        <v>H38</v>
      </c>
      <c r="C171" s="245" t="s">
        <v>180</v>
      </c>
      <c r="D171" s="72" t="s">
        <v>89</v>
      </c>
      <c r="E171" s="71" t="s">
        <v>84</v>
      </c>
      <c r="F171" s="70">
        <v>0</v>
      </c>
      <c r="G171" s="70">
        <v>6000</v>
      </c>
      <c r="H171" s="70">
        <v>12000</v>
      </c>
      <c r="I171" s="191">
        <v>12000</v>
      </c>
    </row>
    <row r="172" spans="1:11" s="38" customFormat="1" x14ac:dyDescent="0.25">
      <c r="A172" s="78" t="s">
        <v>131</v>
      </c>
      <c r="B172" s="78" t="str">
        <f>IF(ISBLANK(A172),"","H"&amp;COUNTA($A$125:A172))</f>
        <v>H39</v>
      </c>
      <c r="C172" s="245" t="s">
        <v>181</v>
      </c>
      <c r="D172" s="72" t="s">
        <v>89</v>
      </c>
      <c r="E172" s="71" t="s">
        <v>84</v>
      </c>
      <c r="F172" s="191">
        <v>0</v>
      </c>
      <c r="G172" s="191">
        <v>-4000</v>
      </c>
      <c r="H172" s="191">
        <v>-6000</v>
      </c>
      <c r="I172" s="191">
        <v>-6000</v>
      </c>
    </row>
    <row r="173" spans="1:11" s="38" customFormat="1" x14ac:dyDescent="0.25">
      <c r="A173" s="78" t="s">
        <v>131</v>
      </c>
      <c r="B173" s="78" t="str">
        <f>IF(ISBLANK(A173),"","H"&amp;COUNTA($A$125:A173))</f>
        <v>H40</v>
      </c>
      <c r="C173" s="245" t="s">
        <v>535</v>
      </c>
      <c r="D173" s="72" t="s">
        <v>91</v>
      </c>
      <c r="E173" s="71" t="s">
        <v>488</v>
      </c>
      <c r="F173" s="191">
        <v>260</v>
      </c>
      <c r="G173" s="191">
        <v>260</v>
      </c>
      <c r="H173" s="191">
        <v>260</v>
      </c>
      <c r="I173" s="191">
        <v>260</v>
      </c>
      <c r="J173" s="38" t="s">
        <v>536</v>
      </c>
    </row>
    <row r="174" spans="1:11" s="38" customFormat="1" x14ac:dyDescent="0.25">
      <c r="A174" s="43"/>
      <c r="B174" s="43" t="s">
        <v>127</v>
      </c>
      <c r="C174" s="3" t="s">
        <v>182</v>
      </c>
      <c r="D174" s="52"/>
      <c r="E174" s="52"/>
      <c r="F174" s="56">
        <f>SUMIF($A:$A,"H&amp;V",F:F)</f>
        <v>110549</v>
      </c>
      <c r="G174" s="56">
        <f>SUMIF($A:$A,"H&amp;V",G:G)</f>
        <v>113166</v>
      </c>
      <c r="H174" s="56">
        <f>SUMIF($A:$A,"H&amp;V",H:H)</f>
        <v>128474</v>
      </c>
      <c r="I174" s="56">
        <f>SUMIF($A:$A,"H&amp;V",I:I)</f>
        <v>132984</v>
      </c>
    </row>
    <row r="175" spans="1:11" s="38" customFormat="1" x14ac:dyDescent="0.25">
      <c r="A175" s="47"/>
      <c r="B175" s="78"/>
      <c r="C175" s="11"/>
      <c r="D175" s="49"/>
      <c r="E175" s="49"/>
      <c r="F175" s="57"/>
      <c r="G175" s="57"/>
      <c r="H175" s="57"/>
      <c r="I175" s="57"/>
    </row>
    <row r="176" spans="1:11" s="38" customFormat="1" x14ac:dyDescent="0.25">
      <c r="A176" s="48"/>
      <c r="B176" s="78"/>
      <c r="C176" s="13" t="s">
        <v>183</v>
      </c>
      <c r="D176" s="50"/>
      <c r="E176" s="61"/>
      <c r="F176" s="58"/>
      <c r="G176" s="58"/>
      <c r="H176" s="58"/>
      <c r="I176" s="58"/>
    </row>
    <row r="177" spans="1:9" s="38" customFormat="1" x14ac:dyDescent="0.25">
      <c r="A177" s="341"/>
      <c r="B177" s="78"/>
      <c r="C177" s="82" t="s">
        <v>184</v>
      </c>
      <c r="D177" s="83"/>
      <c r="E177" s="71"/>
      <c r="F177" s="4">
        <f>F170</f>
        <v>2023</v>
      </c>
      <c r="G177" s="4">
        <f>F177+1</f>
        <v>2024</v>
      </c>
      <c r="H177" s="4">
        <f>G177+1</f>
        <v>2025</v>
      </c>
      <c r="I177" s="4">
        <f>H177+1</f>
        <v>2026</v>
      </c>
    </row>
    <row r="178" spans="1:9" s="38" customFormat="1" x14ac:dyDescent="0.25">
      <c r="A178" s="78" t="s">
        <v>186</v>
      </c>
      <c r="B178" s="78" t="str">
        <f>IF(ISBLANK(A178),"","K"&amp;COUNTA($A$178:A178))</f>
        <v>K1</v>
      </c>
      <c r="C178" s="212"/>
      <c r="D178" s="72"/>
      <c r="E178" s="71"/>
      <c r="F178" s="191"/>
      <c r="G178" s="191"/>
      <c r="H178" s="191"/>
      <c r="I178" s="191"/>
    </row>
    <row r="179" spans="1:9" s="38" customFormat="1" x14ac:dyDescent="0.25">
      <c r="A179" s="78" t="s">
        <v>186</v>
      </c>
      <c r="B179" s="78" t="str">
        <f>IF(ISBLANK(A179),"","K"&amp;COUNTA($A$178:A179))</f>
        <v>K2</v>
      </c>
      <c r="C179" s="212"/>
      <c r="D179" s="79"/>
      <c r="E179" s="71"/>
      <c r="F179" s="255"/>
      <c r="G179" s="255"/>
      <c r="H179" s="255"/>
      <c r="I179" s="255"/>
    </row>
    <row r="180" spans="1:9" s="38" customFormat="1" x14ac:dyDescent="0.25">
      <c r="A180" s="78" t="s">
        <v>186</v>
      </c>
      <c r="B180" s="78" t="str">
        <f>IF(ISBLANK(A180),"","K"&amp;COUNTA($A$178:A180))</f>
        <v>K3</v>
      </c>
      <c r="C180" s="212"/>
      <c r="D180" s="79"/>
      <c r="E180" s="71"/>
      <c r="F180" s="191"/>
      <c r="G180" s="191"/>
      <c r="H180" s="191"/>
      <c r="I180" s="191"/>
    </row>
    <row r="181" spans="1:9" s="38" customFormat="1" x14ac:dyDescent="0.25">
      <c r="A181" s="78" t="s">
        <v>186</v>
      </c>
      <c r="B181" s="78" t="str">
        <f>IF(ISBLANK(A181),"","K"&amp;COUNTA($A$178:A181))</f>
        <v>K4</v>
      </c>
      <c r="C181" s="212"/>
      <c r="D181" s="79"/>
      <c r="E181" s="71"/>
      <c r="F181" s="191"/>
      <c r="G181" s="191"/>
      <c r="H181" s="191"/>
      <c r="I181" s="191"/>
    </row>
    <row r="182" spans="1:9" s="38" customFormat="1" x14ac:dyDescent="0.25">
      <c r="A182" s="78"/>
      <c r="B182" s="78" t="str">
        <f>IF(ISBLANK(A182),"","K"&amp;COUNTA($A$178:A182))</f>
        <v/>
      </c>
      <c r="C182" s="82" t="s">
        <v>185</v>
      </c>
      <c r="D182" s="79"/>
      <c r="E182" s="71"/>
      <c r="F182" s="191"/>
      <c r="G182" s="191"/>
      <c r="H182" s="191"/>
      <c r="I182" s="191"/>
    </row>
    <row r="183" spans="1:9" s="38" customFormat="1" x14ac:dyDescent="0.25">
      <c r="A183" s="78" t="s">
        <v>186</v>
      </c>
      <c r="B183" s="78" t="str">
        <f>IF(ISBLANK(A183),"","K"&amp;COUNTA($A$178:A183))</f>
        <v>K5</v>
      </c>
      <c r="C183" s="213" t="s">
        <v>187</v>
      </c>
      <c r="D183" s="72" t="s">
        <v>89</v>
      </c>
      <c r="E183" s="71" t="s">
        <v>84</v>
      </c>
      <c r="F183" s="70"/>
      <c r="G183" s="70">
        <v>-100</v>
      </c>
      <c r="H183" s="70">
        <v>-100</v>
      </c>
      <c r="I183" s="70">
        <v>-100</v>
      </c>
    </row>
    <row r="184" spans="1:9" s="38" customFormat="1" x14ac:dyDescent="0.25">
      <c r="A184" s="78" t="s">
        <v>186</v>
      </c>
      <c r="B184" s="78" t="str">
        <f>IF(ISBLANK(A184),"","K"&amp;COUNTA($A$178:A184))</f>
        <v>K6</v>
      </c>
      <c r="C184" s="212" t="s">
        <v>537</v>
      </c>
      <c r="D184" s="72" t="s">
        <v>91</v>
      </c>
      <c r="E184" s="71">
        <v>2</v>
      </c>
      <c r="F184" s="191">
        <v>750</v>
      </c>
      <c r="G184" s="191">
        <v>750</v>
      </c>
      <c r="H184" s="191">
        <v>750</v>
      </c>
      <c r="I184" s="191">
        <v>750</v>
      </c>
    </row>
    <row r="185" spans="1:9" s="38" customFormat="1" x14ac:dyDescent="0.25">
      <c r="A185" s="78" t="s">
        <v>186</v>
      </c>
      <c r="B185" s="78" t="str">
        <f>IF(ISBLANK(A185),"","K"&amp;COUNTA($A$178:A185))</f>
        <v>K7</v>
      </c>
      <c r="C185" s="212" t="s">
        <v>538</v>
      </c>
      <c r="D185" s="72" t="s">
        <v>91</v>
      </c>
      <c r="E185" s="71">
        <v>3</v>
      </c>
      <c r="F185" s="191">
        <v>188</v>
      </c>
      <c r="G185" s="191">
        <v>300</v>
      </c>
      <c r="H185" s="191">
        <v>486</v>
      </c>
      <c r="I185" s="191">
        <v>600</v>
      </c>
    </row>
    <row r="186" spans="1:9" s="38" customFormat="1" x14ac:dyDescent="0.25">
      <c r="A186" s="78" t="s">
        <v>186</v>
      </c>
      <c r="B186" s="78" t="str">
        <f>IF(ISBLANK(A186),"","K"&amp;COUNTA($A$178:A186))</f>
        <v>K8</v>
      </c>
      <c r="C186" s="212" t="s">
        <v>539</v>
      </c>
      <c r="D186" s="72" t="s">
        <v>91</v>
      </c>
      <c r="E186" s="71">
        <v>4</v>
      </c>
      <c r="F186" s="191">
        <v>540</v>
      </c>
      <c r="G186" s="191">
        <v>540</v>
      </c>
      <c r="H186" s="191">
        <v>540</v>
      </c>
      <c r="I186" s="191">
        <v>540</v>
      </c>
    </row>
    <row r="187" spans="1:9" s="38" customFormat="1" x14ac:dyDescent="0.25">
      <c r="A187" s="78" t="s">
        <v>186</v>
      </c>
      <c r="B187" s="78" t="str">
        <f>IF(ISBLANK(A187),"","K"&amp;COUNTA($A$178:A187))</f>
        <v>K9</v>
      </c>
      <c r="C187" s="213" t="s">
        <v>540</v>
      </c>
      <c r="D187" s="72" t="s">
        <v>91</v>
      </c>
      <c r="E187" s="71">
        <v>1</v>
      </c>
      <c r="F187" s="481">
        <v>750</v>
      </c>
      <c r="G187" s="481">
        <v>750</v>
      </c>
      <c r="H187" s="481">
        <v>750</v>
      </c>
      <c r="I187" s="481">
        <v>750</v>
      </c>
    </row>
    <row r="188" spans="1:9" s="38" customFormat="1" x14ac:dyDescent="0.25">
      <c r="A188" s="43"/>
      <c r="B188" s="43" t="s">
        <v>127</v>
      </c>
      <c r="C188" s="3" t="s">
        <v>203</v>
      </c>
      <c r="D188" s="52"/>
      <c r="E188" s="52"/>
      <c r="F188" s="56">
        <f>SUMIF($A:$A,"KuN",F:F)</f>
        <v>2228</v>
      </c>
      <c r="G188" s="56">
        <f>SUMIF($A:$A,"KuN",G:G)</f>
        <v>2240</v>
      </c>
      <c r="H188" s="56">
        <f>SUMIF($A:$A,"KuN",H:H)</f>
        <v>2426</v>
      </c>
      <c r="I188" s="56">
        <f>SUMIF($A:$A,"KuN",I:I)</f>
        <v>2540</v>
      </c>
    </row>
    <row r="189" spans="1:9" s="38" customFormat="1" x14ac:dyDescent="0.25">
      <c r="A189" s="47"/>
      <c r="B189" s="78"/>
      <c r="C189" s="11"/>
      <c r="D189" s="49"/>
      <c r="E189" s="49"/>
      <c r="F189" s="57"/>
      <c r="G189" s="57"/>
      <c r="H189" s="57"/>
      <c r="I189" s="57"/>
    </row>
    <row r="190" spans="1:9" s="38" customFormat="1" x14ac:dyDescent="0.25">
      <c r="A190" s="48"/>
      <c r="B190" s="78"/>
      <c r="C190" s="248" t="s">
        <v>204</v>
      </c>
      <c r="D190" s="83"/>
      <c r="E190" s="71"/>
      <c r="F190" s="4">
        <f>F177</f>
        <v>2023</v>
      </c>
      <c r="G190" s="4">
        <f>F190+1</f>
        <v>2024</v>
      </c>
      <c r="H190" s="4">
        <f>G190+1</f>
        <v>2025</v>
      </c>
      <c r="I190" s="4">
        <f>H190+1</f>
        <v>2026</v>
      </c>
    </row>
    <row r="191" spans="1:9" s="38" customFormat="1" x14ac:dyDescent="0.25">
      <c r="A191" s="78" t="s">
        <v>206</v>
      </c>
      <c r="B191" s="78" t="str">
        <f>IF(ISBLANK(A191),"","T"&amp;COUNTA($A191:A$191))</f>
        <v>T1</v>
      </c>
      <c r="C191" s="344" t="s">
        <v>440</v>
      </c>
      <c r="D191" s="72" t="s">
        <v>91</v>
      </c>
      <c r="E191" s="71">
        <v>1</v>
      </c>
      <c r="F191" s="398">
        <v>5531</v>
      </c>
      <c r="G191" s="398">
        <v>5531</v>
      </c>
      <c r="H191" s="398">
        <v>5531</v>
      </c>
      <c r="I191" s="398">
        <v>5531</v>
      </c>
    </row>
    <row r="192" spans="1:9" s="38" customFormat="1" x14ac:dyDescent="0.25">
      <c r="A192" s="78"/>
      <c r="B192" s="78"/>
      <c r="C192" s="208" t="s">
        <v>205</v>
      </c>
      <c r="D192" s="83"/>
      <c r="E192" s="71"/>
      <c r="F192" s="4">
        <f>F190</f>
        <v>2023</v>
      </c>
      <c r="G192" s="4">
        <f>F192+1</f>
        <v>2024</v>
      </c>
      <c r="H192" s="4">
        <f>G192+1</f>
        <v>2025</v>
      </c>
      <c r="I192" s="4">
        <f>H192+1</f>
        <v>2026</v>
      </c>
    </row>
    <row r="193" spans="1:10" s="38" customFormat="1" ht="25.5" x14ac:dyDescent="0.25">
      <c r="A193" s="78" t="s">
        <v>206</v>
      </c>
      <c r="B193" s="78" t="str">
        <f>IF(ISBLANK(A193),"","T"&amp;COUNTA($A$191:A193))</f>
        <v>T2</v>
      </c>
      <c r="C193" s="212" t="s">
        <v>207</v>
      </c>
      <c r="D193" s="72" t="s">
        <v>83</v>
      </c>
      <c r="E193" s="231"/>
      <c r="F193" s="217"/>
      <c r="G193" s="217"/>
      <c r="H193" s="217"/>
      <c r="I193" s="217">
        <v>1000</v>
      </c>
      <c r="J193" s="144" t="s">
        <v>541</v>
      </c>
    </row>
    <row r="194" spans="1:10" s="38" customFormat="1" x14ac:dyDescent="0.25">
      <c r="A194" s="78" t="s">
        <v>206</v>
      </c>
      <c r="B194" s="78" t="str">
        <f>IF(ISBLANK(A194),"","T"&amp;COUNTA($A$191:A194))</f>
        <v>T3</v>
      </c>
      <c r="C194" s="212" t="s">
        <v>542</v>
      </c>
      <c r="D194" s="72" t="s">
        <v>91</v>
      </c>
      <c r="E194" s="71">
        <v>7</v>
      </c>
      <c r="F194" s="398">
        <v>500</v>
      </c>
      <c r="G194" s="398">
        <v>500</v>
      </c>
      <c r="H194" s="398">
        <v>500</v>
      </c>
      <c r="I194" s="398">
        <v>500</v>
      </c>
    </row>
    <row r="195" spans="1:10" s="38" customFormat="1" ht="25.5" x14ac:dyDescent="0.25">
      <c r="A195" s="78" t="s">
        <v>206</v>
      </c>
      <c r="B195" s="78" t="str">
        <f>IF(ISBLANK(A195),"","T"&amp;COUNTA($A$191:A195))</f>
        <v>T4</v>
      </c>
      <c r="C195" s="212" t="s">
        <v>543</v>
      </c>
      <c r="D195" s="72" t="s">
        <v>91</v>
      </c>
      <c r="E195" s="71">
        <v>26</v>
      </c>
      <c r="F195" s="217"/>
      <c r="G195" s="217"/>
      <c r="H195" s="217"/>
      <c r="I195" s="217">
        <v>200</v>
      </c>
    </row>
    <row r="196" spans="1:10" s="38" customFormat="1" x14ac:dyDescent="0.25">
      <c r="A196" s="78" t="s">
        <v>206</v>
      </c>
      <c r="B196" s="78" t="str">
        <f>IF(ISBLANK(A196),"","T"&amp;COUNTA($A$191:A196))</f>
        <v>T5</v>
      </c>
      <c r="C196" s="212" t="s">
        <v>544</v>
      </c>
      <c r="D196" s="72" t="s">
        <v>91</v>
      </c>
      <c r="E196" s="71">
        <v>29</v>
      </c>
      <c r="F196" s="217">
        <v>25</v>
      </c>
      <c r="G196" s="217">
        <v>25</v>
      </c>
      <c r="H196" s="217">
        <v>25</v>
      </c>
      <c r="I196" s="217">
        <v>25</v>
      </c>
    </row>
    <row r="197" spans="1:10" s="38" customFormat="1" x14ac:dyDescent="0.25">
      <c r="A197" s="78" t="s">
        <v>206</v>
      </c>
      <c r="B197" s="78" t="str">
        <f>IF(ISBLANK(A197),"","T"&amp;COUNTA($A$191:A197))</f>
        <v>T6</v>
      </c>
      <c r="C197" s="212" t="s">
        <v>545</v>
      </c>
      <c r="D197" s="72" t="s">
        <v>91</v>
      </c>
      <c r="E197" s="71">
        <v>30</v>
      </c>
      <c r="F197" s="217">
        <v>25</v>
      </c>
      <c r="G197" s="217">
        <v>25</v>
      </c>
      <c r="H197" s="217">
        <v>25</v>
      </c>
      <c r="I197" s="217">
        <v>25</v>
      </c>
    </row>
    <row r="198" spans="1:10" s="38" customFormat="1" x14ac:dyDescent="0.25">
      <c r="A198" s="78" t="s">
        <v>206</v>
      </c>
      <c r="B198" s="78" t="str">
        <f>IF(ISBLANK(A198),"","T"&amp;COUNTA($A$191:A198))</f>
        <v>T7</v>
      </c>
      <c r="C198" s="212" t="s">
        <v>546</v>
      </c>
      <c r="D198" s="72" t="s">
        <v>91</v>
      </c>
      <c r="E198" s="71">
        <v>28</v>
      </c>
      <c r="F198" s="217">
        <v>75</v>
      </c>
      <c r="G198" s="217">
        <v>75</v>
      </c>
      <c r="H198" s="217">
        <v>75</v>
      </c>
      <c r="I198" s="217">
        <v>75</v>
      </c>
    </row>
    <row r="199" spans="1:10" s="38" customFormat="1" ht="25.5" x14ac:dyDescent="0.25">
      <c r="A199" s="78" t="s">
        <v>206</v>
      </c>
      <c r="B199" s="78" t="str">
        <f>IF(ISBLANK(A199),"","T"&amp;COUNTA($A$191:A199))</f>
        <v>T8</v>
      </c>
      <c r="C199" s="212" t="s">
        <v>547</v>
      </c>
      <c r="D199" s="72" t="s">
        <v>91</v>
      </c>
      <c r="E199" s="71">
        <v>11</v>
      </c>
      <c r="F199" s="217"/>
      <c r="G199" s="217">
        <v>75</v>
      </c>
      <c r="H199" s="217">
        <v>75</v>
      </c>
      <c r="I199" s="217">
        <v>75</v>
      </c>
    </row>
    <row r="200" spans="1:10" s="38" customFormat="1" x14ac:dyDescent="0.25">
      <c r="A200" s="78" t="s">
        <v>206</v>
      </c>
      <c r="B200" s="78" t="str">
        <f>IF(ISBLANK(A200),"","T"&amp;COUNTA($A$191:A200))</f>
        <v>T9</v>
      </c>
      <c r="C200" s="212" t="s">
        <v>208</v>
      </c>
      <c r="D200" s="72" t="s">
        <v>91</v>
      </c>
      <c r="E200" s="71">
        <v>2</v>
      </c>
      <c r="F200" s="217">
        <v>150</v>
      </c>
      <c r="G200" s="217">
        <v>150</v>
      </c>
      <c r="H200" s="217">
        <v>150</v>
      </c>
      <c r="I200" s="217">
        <v>150</v>
      </c>
    </row>
    <row r="201" spans="1:10" s="38" customFormat="1" x14ac:dyDescent="0.25">
      <c r="A201" s="78" t="s">
        <v>206</v>
      </c>
      <c r="B201" s="78" t="str">
        <f>IF(ISBLANK(A201),"","T"&amp;COUNTA($A$191:A201))</f>
        <v>T10</v>
      </c>
      <c r="C201" s="212" t="s">
        <v>548</v>
      </c>
      <c r="D201" s="72" t="s">
        <v>91</v>
      </c>
      <c r="E201" s="231"/>
      <c r="F201" s="541">
        <v>1000</v>
      </c>
      <c r="G201" s="217"/>
      <c r="H201" s="217"/>
      <c r="I201" s="217"/>
    </row>
    <row r="202" spans="1:10" s="38" customFormat="1" x14ac:dyDescent="0.25">
      <c r="A202" s="78" t="s">
        <v>206</v>
      </c>
      <c r="B202" s="78" t="str">
        <f>IF(ISBLANK(A202),"","T"&amp;COUNTA($A$191:A202))</f>
        <v>T11</v>
      </c>
      <c r="C202" s="212" t="s">
        <v>549</v>
      </c>
      <c r="D202" s="72" t="s">
        <v>91</v>
      </c>
      <c r="E202" s="71">
        <v>27</v>
      </c>
      <c r="F202" s="217"/>
      <c r="G202" s="217"/>
      <c r="H202" s="217"/>
      <c r="I202" s="217">
        <v>500</v>
      </c>
    </row>
    <row r="203" spans="1:10" s="38" customFormat="1" x14ac:dyDescent="0.25">
      <c r="A203" s="78"/>
      <c r="B203" s="78" t="str">
        <f>IF(ISBLANK(A203),"","T"&amp;COUNTA($A$191:A203))</f>
        <v/>
      </c>
      <c r="C203" s="208" t="s">
        <v>209</v>
      </c>
      <c r="D203" s="72"/>
      <c r="E203" s="71"/>
      <c r="F203" s="4">
        <f>F192</f>
        <v>2023</v>
      </c>
      <c r="G203" s="4">
        <f>F203+1</f>
        <v>2024</v>
      </c>
      <c r="H203" s="4">
        <f>G203+1</f>
        <v>2025</v>
      </c>
      <c r="I203" s="4">
        <f>H203+1</f>
        <v>2026</v>
      </c>
    </row>
    <row r="204" spans="1:10" s="38" customFormat="1" x14ac:dyDescent="0.25">
      <c r="A204" s="78" t="s">
        <v>206</v>
      </c>
      <c r="B204" s="78" t="str">
        <f>IF(ISBLANK(A204),"","T"&amp;COUNTA($A$191:A204))</f>
        <v>T12</v>
      </c>
      <c r="C204" s="344" t="s">
        <v>550</v>
      </c>
      <c r="D204" s="72" t="s">
        <v>91</v>
      </c>
      <c r="E204" s="71">
        <v>8</v>
      </c>
      <c r="F204" s="217">
        <v>1000</v>
      </c>
      <c r="G204" s="217">
        <v>1000</v>
      </c>
      <c r="H204" s="217">
        <v>1000</v>
      </c>
      <c r="I204" s="217">
        <v>1000</v>
      </c>
    </row>
    <row r="205" spans="1:10" s="38" customFormat="1" x14ac:dyDescent="0.25">
      <c r="A205" s="78" t="s">
        <v>206</v>
      </c>
      <c r="B205" s="78" t="str">
        <f>IF(ISBLANK(A205),"","T"&amp;COUNTA($A$191:A205))</f>
        <v>T13</v>
      </c>
      <c r="C205" s="344" t="s">
        <v>551</v>
      </c>
      <c r="D205" s="72" t="s">
        <v>91</v>
      </c>
      <c r="E205" s="71">
        <v>10</v>
      </c>
      <c r="F205" s="217">
        <v>1000</v>
      </c>
      <c r="G205" s="217">
        <v>1000</v>
      </c>
      <c r="H205" s="217">
        <v>1000</v>
      </c>
      <c r="I205" s="217">
        <v>1000</v>
      </c>
    </row>
    <row r="206" spans="1:10" s="38" customFormat="1" x14ac:dyDescent="0.25">
      <c r="A206" s="78" t="s">
        <v>206</v>
      </c>
      <c r="B206" s="78" t="str">
        <f>IF(ISBLANK(A206),"","T"&amp;COUNTA($A$191:A206))</f>
        <v>T14</v>
      </c>
      <c r="C206" s="344" t="s">
        <v>552</v>
      </c>
      <c r="D206" s="72" t="s">
        <v>91</v>
      </c>
      <c r="E206" s="71">
        <v>35</v>
      </c>
      <c r="F206" s="217">
        <v>300</v>
      </c>
      <c r="G206" s="217">
        <v>300</v>
      </c>
      <c r="H206" s="217">
        <v>300</v>
      </c>
      <c r="I206" s="217">
        <v>300</v>
      </c>
    </row>
    <row r="207" spans="1:10" s="38" customFormat="1" x14ac:dyDescent="0.25">
      <c r="A207" s="78" t="s">
        <v>206</v>
      </c>
      <c r="B207" s="78" t="str">
        <f>IF(ISBLANK(A207),"","T"&amp;COUNTA($A$191:A207))</f>
        <v>T15</v>
      </c>
      <c r="C207" s="344" t="s">
        <v>553</v>
      </c>
      <c r="D207" s="72" t="s">
        <v>91</v>
      </c>
      <c r="E207" s="71">
        <v>15</v>
      </c>
      <c r="F207" s="217">
        <v>500</v>
      </c>
      <c r="G207" s="217">
        <v>500</v>
      </c>
      <c r="H207" s="217">
        <v>500</v>
      </c>
      <c r="I207" s="217">
        <v>500</v>
      </c>
    </row>
    <row r="208" spans="1:10" s="38" customFormat="1" x14ac:dyDescent="0.25">
      <c r="A208" s="78" t="s">
        <v>206</v>
      </c>
      <c r="B208" s="78" t="str">
        <f>IF(ISBLANK(A208),"","T"&amp;COUNTA($A$191:A208))</f>
        <v>T16</v>
      </c>
      <c r="C208" s="344" t="s">
        <v>554</v>
      </c>
      <c r="D208" s="72" t="s">
        <v>91</v>
      </c>
      <c r="E208" s="71">
        <v>4</v>
      </c>
      <c r="F208" s="217">
        <v>350</v>
      </c>
      <c r="G208" s="217">
        <v>350</v>
      </c>
      <c r="H208" s="217">
        <v>350</v>
      </c>
      <c r="I208" s="217">
        <v>350</v>
      </c>
    </row>
    <row r="209" spans="1:10" s="38" customFormat="1" x14ac:dyDescent="0.25">
      <c r="A209" s="78" t="s">
        <v>206</v>
      </c>
      <c r="B209" s="78" t="str">
        <f>IF(ISBLANK(A209),"","T"&amp;COUNTA($A$191:A209))</f>
        <v>T17</v>
      </c>
      <c r="C209" s="344" t="s">
        <v>555</v>
      </c>
      <c r="D209" s="72" t="s">
        <v>91</v>
      </c>
      <c r="E209" s="71">
        <v>14</v>
      </c>
      <c r="F209" s="217">
        <v>600</v>
      </c>
      <c r="G209" s="217">
        <v>600</v>
      </c>
      <c r="H209" s="217">
        <v>600</v>
      </c>
      <c r="I209" s="217">
        <v>600</v>
      </c>
    </row>
    <row r="210" spans="1:10" s="38" customFormat="1" x14ac:dyDescent="0.25">
      <c r="A210" s="78" t="s">
        <v>206</v>
      </c>
      <c r="B210" s="78" t="str">
        <f>IF(ISBLANK(A210),"","T"&amp;COUNTA($A$191:A210))</f>
        <v>T18</v>
      </c>
      <c r="C210" s="344" t="s">
        <v>556</v>
      </c>
      <c r="D210" s="72" t="s">
        <v>91</v>
      </c>
      <c r="E210" s="71">
        <v>21</v>
      </c>
      <c r="F210" s="217">
        <v>200</v>
      </c>
      <c r="G210" s="217">
        <v>200</v>
      </c>
      <c r="H210" s="217">
        <v>200</v>
      </c>
      <c r="I210" s="217">
        <v>200</v>
      </c>
    </row>
    <row r="211" spans="1:10" s="38" customFormat="1" x14ac:dyDescent="0.25">
      <c r="A211" s="78" t="s">
        <v>206</v>
      </c>
      <c r="B211" s="78" t="str">
        <f>IF(ISBLANK(A211),"","T"&amp;COUNTA($A$191:A211))</f>
        <v>T19</v>
      </c>
      <c r="C211" s="344" t="s">
        <v>557</v>
      </c>
      <c r="D211" s="72" t="s">
        <v>91</v>
      </c>
      <c r="E211" s="71">
        <v>22</v>
      </c>
      <c r="F211" s="217">
        <v>300</v>
      </c>
      <c r="G211" s="217">
        <v>300</v>
      </c>
      <c r="H211" s="217">
        <v>300</v>
      </c>
      <c r="I211" s="217">
        <v>300</v>
      </c>
    </row>
    <row r="212" spans="1:10" s="38" customFormat="1" x14ac:dyDescent="0.25">
      <c r="A212" s="78" t="s">
        <v>206</v>
      </c>
      <c r="B212" s="78" t="str">
        <f>IF(ISBLANK(A212),"","T"&amp;COUNTA($A$191:A212))</f>
        <v>T20</v>
      </c>
      <c r="C212" s="344" t="s">
        <v>558</v>
      </c>
      <c r="D212" s="72" t="s">
        <v>91</v>
      </c>
      <c r="E212" s="71">
        <v>23</v>
      </c>
      <c r="F212" s="217">
        <v>500</v>
      </c>
      <c r="G212" s="217">
        <v>500</v>
      </c>
      <c r="H212" s="217">
        <v>500</v>
      </c>
      <c r="I212" s="217">
        <v>500</v>
      </c>
    </row>
    <row r="213" spans="1:10" s="38" customFormat="1" x14ac:dyDescent="0.25">
      <c r="A213" s="78" t="s">
        <v>206</v>
      </c>
      <c r="B213" s="78" t="str">
        <f>IF(ISBLANK(A213),"","T"&amp;COUNTA($A$191:A213))</f>
        <v>T21</v>
      </c>
      <c r="C213" s="344" t="s">
        <v>211</v>
      </c>
      <c r="D213" s="72" t="s">
        <v>91</v>
      </c>
      <c r="E213" s="71" t="s">
        <v>24</v>
      </c>
      <c r="F213" s="217">
        <v>450</v>
      </c>
      <c r="G213" s="217"/>
      <c r="H213" s="217"/>
      <c r="I213" s="217"/>
    </row>
    <row r="214" spans="1:10" s="38" customFormat="1" x14ac:dyDescent="0.25">
      <c r="A214" s="78" t="s">
        <v>206</v>
      </c>
      <c r="B214" s="78" t="str">
        <f>IF(ISBLANK(A214),"","T"&amp;COUNTA($A$191:A214))</f>
        <v>T22</v>
      </c>
      <c r="C214" s="344" t="s">
        <v>561</v>
      </c>
      <c r="D214" s="72" t="s">
        <v>91</v>
      </c>
      <c r="E214" s="71">
        <v>18</v>
      </c>
      <c r="F214" s="217">
        <v>1000</v>
      </c>
      <c r="G214" s="217">
        <v>1000</v>
      </c>
      <c r="H214" s="217">
        <v>1000</v>
      </c>
      <c r="I214" s="217">
        <v>1000</v>
      </c>
    </row>
    <row r="215" spans="1:10" s="38" customFormat="1" x14ac:dyDescent="0.25">
      <c r="A215" s="78"/>
      <c r="B215" s="78" t="str">
        <f>IF(ISBLANK(A215),"","T"&amp;COUNTA($A$191:A215))</f>
        <v/>
      </c>
      <c r="C215" s="208" t="s">
        <v>212</v>
      </c>
      <c r="D215" s="72"/>
      <c r="E215" s="71"/>
      <c r="F215" s="4">
        <f>+F203</f>
        <v>2023</v>
      </c>
      <c r="G215" s="4">
        <f>F215+1</f>
        <v>2024</v>
      </c>
      <c r="H215" s="4">
        <f>G215+1</f>
        <v>2025</v>
      </c>
      <c r="I215" s="4">
        <f>H215+1</f>
        <v>2026</v>
      </c>
    </row>
    <row r="216" spans="1:10" s="38" customFormat="1" x14ac:dyDescent="0.25">
      <c r="A216" s="78" t="s">
        <v>206</v>
      </c>
      <c r="B216" s="78" t="str">
        <f>IF(ISBLANK(A216),"","T"&amp;COUNTA($A$191:A216))</f>
        <v>T23</v>
      </c>
      <c r="C216" s="344" t="s">
        <v>562</v>
      </c>
      <c r="D216" s="72" t="s">
        <v>91</v>
      </c>
      <c r="E216" s="71">
        <v>9</v>
      </c>
      <c r="F216" s="217">
        <v>2500</v>
      </c>
      <c r="G216" s="217">
        <v>2500</v>
      </c>
      <c r="H216" s="217">
        <v>2500</v>
      </c>
      <c r="I216" s="217">
        <v>2500</v>
      </c>
    </row>
    <row r="217" spans="1:10" s="38" customFormat="1" ht="25.5" x14ac:dyDescent="0.25">
      <c r="A217" s="78" t="s">
        <v>206</v>
      </c>
      <c r="B217" s="78" t="str">
        <f>IF(ISBLANK(A217),"","T"&amp;COUNTA($A$191:A217))</f>
        <v>T24</v>
      </c>
      <c r="C217" s="344" t="s">
        <v>564</v>
      </c>
      <c r="D217" s="72" t="s">
        <v>83</v>
      </c>
      <c r="E217" s="583"/>
      <c r="F217" s="217">
        <f>350-300</f>
        <v>50</v>
      </c>
      <c r="G217" s="217">
        <f>400-350</f>
        <v>50</v>
      </c>
      <c r="H217" s="217">
        <f>450-400</f>
        <v>50</v>
      </c>
      <c r="I217" s="217">
        <v>50</v>
      </c>
      <c r="J217" s="144" t="s">
        <v>565</v>
      </c>
    </row>
    <row r="218" spans="1:10" s="38" customFormat="1" x14ac:dyDescent="0.25">
      <c r="A218" s="78"/>
      <c r="B218" s="78" t="str">
        <f>IF(ISBLANK(A218),"","T"&amp;COUNTA($A$191:A218))</f>
        <v/>
      </c>
      <c r="C218" s="208" t="s">
        <v>213</v>
      </c>
      <c r="D218" s="72"/>
      <c r="E218" s="71"/>
      <c r="F218" s="4">
        <f>F203</f>
        <v>2023</v>
      </c>
      <c r="G218" s="4">
        <f>F218+1</f>
        <v>2024</v>
      </c>
      <c r="H218" s="4">
        <f>G218+1</f>
        <v>2025</v>
      </c>
      <c r="I218" s="4">
        <f>H218+1</f>
        <v>2026</v>
      </c>
    </row>
    <row r="219" spans="1:10" s="38" customFormat="1" x14ac:dyDescent="0.25">
      <c r="A219" s="45" t="s">
        <v>206</v>
      </c>
      <c r="B219" s="78" t="str">
        <f>IF(ISBLANK(A219),"","T"&amp;COUNTA($A$191:A219))</f>
        <v>T25</v>
      </c>
      <c r="C219" s="565" t="s">
        <v>566</v>
      </c>
      <c r="D219" s="228" t="s">
        <v>83</v>
      </c>
      <c r="E219" s="231" t="s">
        <v>84</v>
      </c>
      <c r="F219" s="545">
        <f>3300-3300</f>
        <v>0</v>
      </c>
      <c r="G219" s="545">
        <f t="shared" ref="G219:I219" si="5">3300-3300</f>
        <v>0</v>
      </c>
      <c r="H219" s="545">
        <f t="shared" si="5"/>
        <v>0</v>
      </c>
      <c r="I219" s="545">
        <f t="shared" si="5"/>
        <v>0</v>
      </c>
      <c r="J219" s="218" t="s">
        <v>567</v>
      </c>
    </row>
    <row r="220" spans="1:10" s="38" customFormat="1" ht="25.5" x14ac:dyDescent="0.25">
      <c r="A220" s="45" t="s">
        <v>206</v>
      </c>
      <c r="B220" s="78" t="str">
        <f>IF(ISBLANK(A220),"","T"&amp;COUNTA($A$191:A220))</f>
        <v>T26</v>
      </c>
      <c r="C220" s="212" t="s">
        <v>214</v>
      </c>
      <c r="D220" s="72" t="s">
        <v>83</v>
      </c>
      <c r="E220" s="71"/>
      <c r="F220" s="546">
        <v>10</v>
      </c>
      <c r="G220" s="546">
        <v>20</v>
      </c>
      <c r="H220" s="546">
        <v>30</v>
      </c>
      <c r="I220" s="546">
        <v>40</v>
      </c>
      <c r="J220" s="144" t="s">
        <v>441</v>
      </c>
    </row>
    <row r="221" spans="1:10" s="38" customFormat="1" x14ac:dyDescent="0.25">
      <c r="A221" s="45" t="s">
        <v>206</v>
      </c>
      <c r="B221" s="78" t="str">
        <f>IF(ISBLANK(A221),"","T"&amp;COUNTA($A$191:A221))</f>
        <v>T27</v>
      </c>
      <c r="C221" s="212" t="s">
        <v>568</v>
      </c>
      <c r="D221" s="72" t="s">
        <v>83</v>
      </c>
      <c r="E221" s="71">
        <v>40</v>
      </c>
      <c r="F221" s="546"/>
      <c r="G221" s="546"/>
      <c r="H221" s="546">
        <v>300</v>
      </c>
      <c r="I221" s="546">
        <v>300</v>
      </c>
      <c r="J221" s="144" t="s">
        <v>569</v>
      </c>
    </row>
    <row r="222" spans="1:10" s="38" customFormat="1" ht="25.5" x14ac:dyDescent="0.25">
      <c r="A222" s="45" t="s">
        <v>206</v>
      </c>
      <c r="B222" s="78" t="str">
        <f>IF(ISBLANK(A222),"","T"&amp;COUNTA($A$191:A222))</f>
        <v>T28</v>
      </c>
      <c r="C222" s="212" t="s">
        <v>570</v>
      </c>
      <c r="D222" s="72" t="s">
        <v>91</v>
      </c>
      <c r="E222" s="71">
        <v>34</v>
      </c>
      <c r="F222" s="546">
        <v>200</v>
      </c>
      <c r="G222" s="546">
        <v>200</v>
      </c>
      <c r="H222" s="546">
        <v>200</v>
      </c>
      <c r="I222" s="546">
        <v>200</v>
      </c>
    </row>
    <row r="223" spans="1:10" s="38" customFormat="1" x14ac:dyDescent="0.25">
      <c r="A223" s="45" t="s">
        <v>206</v>
      </c>
      <c r="B223" s="78" t="str">
        <f>IF(ISBLANK(A223),"","T"&amp;COUNTA($A$191:A223))</f>
        <v>T29</v>
      </c>
      <c r="C223" s="212" t="s">
        <v>571</v>
      </c>
      <c r="D223" s="72" t="s">
        <v>91</v>
      </c>
      <c r="E223" s="71">
        <v>3</v>
      </c>
      <c r="F223" s="546">
        <v>300</v>
      </c>
      <c r="G223" s="546">
        <v>400</v>
      </c>
      <c r="H223" s="546">
        <v>500</v>
      </c>
      <c r="I223" s="546">
        <v>600</v>
      </c>
    </row>
    <row r="224" spans="1:10" s="38" customFormat="1" ht="25.5" x14ac:dyDescent="0.25">
      <c r="A224" s="45" t="s">
        <v>206</v>
      </c>
      <c r="B224" s="78" t="str">
        <f>IF(ISBLANK(A224),"","T"&amp;COUNTA($A$191:A224))</f>
        <v>T30</v>
      </c>
      <c r="C224" s="212" t="s">
        <v>572</v>
      </c>
      <c r="D224" s="72" t="s">
        <v>91</v>
      </c>
      <c r="E224" s="71">
        <v>38</v>
      </c>
      <c r="F224" s="546">
        <v>1000</v>
      </c>
      <c r="G224" s="546">
        <v>1000</v>
      </c>
      <c r="H224" s="546">
        <v>1000</v>
      </c>
      <c r="I224" s="546">
        <v>1000</v>
      </c>
    </row>
    <row r="225" spans="1:10" s="38" customFormat="1" ht="30" x14ac:dyDescent="0.25">
      <c r="A225" s="45" t="s">
        <v>206</v>
      </c>
      <c r="B225" s="78" t="str">
        <f>IF(ISBLANK(A225),"","T"&amp;COUNTA($A$191:A225))</f>
        <v>T31</v>
      </c>
      <c r="C225" s="212" t="s">
        <v>217</v>
      </c>
      <c r="D225" s="72" t="s">
        <v>83</v>
      </c>
      <c r="E225" s="71" t="s">
        <v>24</v>
      </c>
      <c r="F225" s="546">
        <v>-1437</v>
      </c>
      <c r="G225" s="546">
        <v>-1437</v>
      </c>
      <c r="H225" s="546">
        <v>-1437</v>
      </c>
      <c r="I225" s="546">
        <v>-1437</v>
      </c>
      <c r="J225" s="295" t="s">
        <v>348</v>
      </c>
    </row>
    <row r="226" spans="1:10" s="38" customFormat="1" x14ac:dyDescent="0.25">
      <c r="A226" s="45" t="s">
        <v>206</v>
      </c>
      <c r="B226" s="78" t="str">
        <f>IF(ISBLANK(A226),"","T"&amp;COUNTA($A$191:A226))</f>
        <v>T32</v>
      </c>
      <c r="C226" s="212" t="s">
        <v>573</v>
      </c>
      <c r="D226" s="72" t="s">
        <v>91</v>
      </c>
      <c r="E226" s="231"/>
      <c r="F226" s="546">
        <v>300</v>
      </c>
      <c r="G226" s="546">
        <v>300</v>
      </c>
      <c r="H226" s="546">
        <v>300</v>
      </c>
      <c r="I226" s="546">
        <v>300</v>
      </c>
      <c r="J226" s="218" t="s">
        <v>574</v>
      </c>
    </row>
    <row r="227" spans="1:10" s="38" customFormat="1" ht="25.5" x14ac:dyDescent="0.25">
      <c r="A227" s="45" t="s">
        <v>206</v>
      </c>
      <c r="B227" s="78" t="str">
        <f>IF(ISBLANK(A227),"","T"&amp;COUNTA($A$191:A227))</f>
        <v>T33</v>
      </c>
      <c r="C227" s="212" t="s">
        <v>575</v>
      </c>
      <c r="D227" s="72" t="s">
        <v>91</v>
      </c>
      <c r="E227" s="71">
        <v>36</v>
      </c>
      <c r="F227" s="546">
        <v>62</v>
      </c>
      <c r="G227" s="546">
        <v>62</v>
      </c>
      <c r="H227" s="546">
        <v>62</v>
      </c>
      <c r="I227" s="546">
        <v>62</v>
      </c>
    </row>
    <row r="228" spans="1:10" s="38" customFormat="1" x14ac:dyDescent="0.25">
      <c r="A228" s="45" t="s">
        <v>206</v>
      </c>
      <c r="B228" s="78" t="str">
        <f>IF(ISBLANK(A228),"","T"&amp;COUNTA($A$191:A228))</f>
        <v>T34</v>
      </c>
      <c r="C228" s="212" t="s">
        <v>218</v>
      </c>
      <c r="D228" s="72" t="s">
        <v>83</v>
      </c>
      <c r="E228" s="71" t="s">
        <v>24</v>
      </c>
      <c r="F228" s="546">
        <v>1300</v>
      </c>
      <c r="G228" s="546">
        <v>1300</v>
      </c>
      <c r="H228" s="546">
        <v>1300</v>
      </c>
      <c r="I228" s="546">
        <v>1300</v>
      </c>
      <c r="J228" s="38" t="s">
        <v>349</v>
      </c>
    </row>
    <row r="229" spans="1:10" s="38" customFormat="1" x14ac:dyDescent="0.25">
      <c r="A229" s="45" t="s">
        <v>206</v>
      </c>
      <c r="B229" s="78" t="str">
        <f>IF(ISBLANK(A229),"","T"&amp;COUNTA($A$191:A229))</f>
        <v>T35</v>
      </c>
      <c r="C229" s="212" t="s">
        <v>576</v>
      </c>
      <c r="D229" s="72" t="s">
        <v>91</v>
      </c>
      <c r="E229" s="71">
        <v>37</v>
      </c>
      <c r="F229" s="546">
        <v>250</v>
      </c>
      <c r="G229" s="546">
        <v>250</v>
      </c>
      <c r="H229" s="546">
        <v>250</v>
      </c>
      <c r="I229" s="546">
        <v>250</v>
      </c>
    </row>
    <row r="230" spans="1:10" s="38" customFormat="1" x14ac:dyDescent="0.25">
      <c r="A230" s="45"/>
      <c r="B230" s="78" t="str">
        <f>IF(ISBLANK(A230),"","T"&amp;COUNTA($A$191:A230))</f>
        <v/>
      </c>
      <c r="C230" s="208" t="s">
        <v>224</v>
      </c>
      <c r="D230" s="72"/>
      <c r="E230" s="71"/>
      <c r="F230" s="4">
        <f>+F218</f>
        <v>2023</v>
      </c>
      <c r="G230" s="4">
        <f>F230+1</f>
        <v>2024</v>
      </c>
      <c r="H230" s="4">
        <f>G230+1</f>
        <v>2025</v>
      </c>
      <c r="I230" s="4">
        <f>H230+1</f>
        <v>2026</v>
      </c>
    </row>
    <row r="231" spans="1:10" s="38" customFormat="1" ht="30" x14ac:dyDescent="0.25">
      <c r="A231" s="45" t="s">
        <v>206</v>
      </c>
      <c r="B231" s="78" t="str">
        <f>IF(ISBLANK(A231),"","T"&amp;COUNTA($A$191:A231))</f>
        <v>T36</v>
      </c>
      <c r="C231" s="212" t="s">
        <v>225</v>
      </c>
      <c r="D231" s="72" t="s">
        <v>91</v>
      </c>
      <c r="E231" s="71">
        <v>6</v>
      </c>
      <c r="F231" s="546">
        <v>1300</v>
      </c>
      <c r="G231" s="546">
        <v>1300</v>
      </c>
      <c r="H231" s="546">
        <v>600</v>
      </c>
      <c r="I231" s="546">
        <v>500</v>
      </c>
      <c r="J231" s="295" t="s">
        <v>350</v>
      </c>
    </row>
    <row r="232" spans="1:10" s="38" customFormat="1" ht="45" x14ac:dyDescent="0.25">
      <c r="A232" s="45" t="s">
        <v>206</v>
      </c>
      <c r="B232" s="78" t="str">
        <f>IF(ISBLANK(A232),"","T"&amp;COUNTA($A$191:A232))</f>
        <v>T37</v>
      </c>
      <c r="C232" s="212" t="s">
        <v>226</v>
      </c>
      <c r="D232" s="72" t="s">
        <v>91</v>
      </c>
      <c r="E232" s="71">
        <v>13</v>
      </c>
      <c r="F232" s="546">
        <v>250</v>
      </c>
      <c r="G232" s="546">
        <v>250</v>
      </c>
      <c r="H232" s="546">
        <v>250</v>
      </c>
      <c r="I232" s="546">
        <v>250</v>
      </c>
      <c r="J232" s="295" t="s">
        <v>351</v>
      </c>
    </row>
    <row r="233" spans="1:10" s="38" customFormat="1" ht="45" x14ac:dyDescent="0.25">
      <c r="A233" s="45" t="s">
        <v>206</v>
      </c>
      <c r="B233" s="78" t="str">
        <f>IF(ISBLANK(A233),"","T"&amp;COUNTA($A$191:A233))</f>
        <v>T38</v>
      </c>
      <c r="C233" s="212" t="s">
        <v>227</v>
      </c>
      <c r="D233" s="72" t="s">
        <v>91</v>
      </c>
      <c r="E233" s="71">
        <v>16</v>
      </c>
      <c r="F233" s="546">
        <v>150</v>
      </c>
      <c r="G233" s="546">
        <v>150</v>
      </c>
      <c r="H233" s="546">
        <v>150</v>
      </c>
      <c r="I233" s="546">
        <v>150</v>
      </c>
      <c r="J233" s="295" t="s">
        <v>351</v>
      </c>
    </row>
    <row r="234" spans="1:10" s="38" customFormat="1" ht="30" x14ac:dyDescent="0.25">
      <c r="A234" s="45" t="s">
        <v>206</v>
      </c>
      <c r="B234" s="78" t="str">
        <f>IF(ISBLANK(A234),"","T"&amp;COUNTA($A$191:A234))</f>
        <v>T39</v>
      </c>
      <c r="C234" s="212" t="s">
        <v>577</v>
      </c>
      <c r="D234" s="72" t="s">
        <v>91</v>
      </c>
      <c r="E234" s="71">
        <v>19</v>
      </c>
      <c r="F234" s="546">
        <v>300</v>
      </c>
      <c r="G234" s="546">
        <v>300</v>
      </c>
      <c r="H234" s="546">
        <v>300</v>
      </c>
      <c r="I234" s="546">
        <v>300</v>
      </c>
      <c r="J234" s="295" t="s">
        <v>578</v>
      </c>
    </row>
    <row r="235" spans="1:10" s="38" customFormat="1" ht="30" x14ac:dyDescent="0.25">
      <c r="A235" s="45" t="s">
        <v>206</v>
      </c>
      <c r="B235" s="78" t="str">
        <f>IF(ISBLANK(A235),"","T"&amp;COUNTA($A$191:A235))</f>
        <v>T40</v>
      </c>
      <c r="C235" s="212" t="s">
        <v>579</v>
      </c>
      <c r="D235" s="72" t="s">
        <v>91</v>
      </c>
      <c r="E235" s="71">
        <v>24</v>
      </c>
      <c r="F235" s="546">
        <v>80</v>
      </c>
      <c r="G235" s="546">
        <v>80</v>
      </c>
      <c r="H235" s="546">
        <v>80</v>
      </c>
      <c r="I235" s="546">
        <v>80</v>
      </c>
      <c r="J235" s="295" t="s">
        <v>580</v>
      </c>
    </row>
    <row r="236" spans="1:10" s="38" customFormat="1" x14ac:dyDescent="0.25">
      <c r="A236" s="45" t="s">
        <v>206</v>
      </c>
      <c r="B236" s="78" t="str">
        <f>IF(ISBLANK(A236),"","T"&amp;COUNTA($A$191:A236))</f>
        <v>T41</v>
      </c>
      <c r="C236" s="212" t="s">
        <v>581</v>
      </c>
      <c r="D236" s="72" t="s">
        <v>91</v>
      </c>
      <c r="E236" s="71">
        <v>31</v>
      </c>
      <c r="F236" s="546">
        <v>200</v>
      </c>
      <c r="G236" s="546">
        <v>200</v>
      </c>
      <c r="H236" s="546">
        <v>200</v>
      </c>
      <c r="I236" s="546">
        <v>200</v>
      </c>
      <c r="J236" s="38" t="s">
        <v>582</v>
      </c>
    </row>
    <row r="237" spans="1:10" s="38" customFormat="1" ht="45" x14ac:dyDescent="0.25">
      <c r="A237" s="45" t="s">
        <v>206</v>
      </c>
      <c r="B237" s="78" t="str">
        <f>IF(ISBLANK(A237),"","T"&amp;COUNTA($A$191:A237))</f>
        <v>T42</v>
      </c>
      <c r="C237" s="212" t="s">
        <v>583</v>
      </c>
      <c r="D237" s="72" t="s">
        <v>91</v>
      </c>
      <c r="E237" s="231">
        <v>32</v>
      </c>
      <c r="F237" s="546">
        <v>150</v>
      </c>
      <c r="G237" s="546">
        <v>150</v>
      </c>
      <c r="H237" s="546">
        <v>150</v>
      </c>
      <c r="I237" s="546">
        <v>150</v>
      </c>
      <c r="J237" s="295" t="s">
        <v>584</v>
      </c>
    </row>
    <row r="238" spans="1:10" s="38" customFormat="1" x14ac:dyDescent="0.25">
      <c r="A238" s="45"/>
      <c r="B238" s="78" t="str">
        <f>IF(ISBLANK(A238),"","T"&amp;COUNTA($A$191:A238))</f>
        <v/>
      </c>
      <c r="C238" s="208" t="s">
        <v>228</v>
      </c>
      <c r="D238" s="72"/>
      <c r="E238" s="71"/>
      <c r="F238" s="4">
        <f>+F230</f>
        <v>2023</v>
      </c>
      <c r="G238" s="4">
        <f>F238+1</f>
        <v>2024</v>
      </c>
      <c r="H238" s="4">
        <f>G238+1</f>
        <v>2025</v>
      </c>
      <c r="I238" s="4">
        <f>H238+1</f>
        <v>2026</v>
      </c>
    </row>
    <row r="239" spans="1:10" s="38" customFormat="1" x14ac:dyDescent="0.25">
      <c r="A239" s="45" t="s">
        <v>206</v>
      </c>
      <c r="B239" s="78" t="str">
        <f>IF(ISBLANK(A239),"","T"&amp;COUNTA($A$191:A239))</f>
        <v>T43</v>
      </c>
      <c r="C239" s="84" t="s">
        <v>585</v>
      </c>
      <c r="D239" s="72" t="s">
        <v>91</v>
      </c>
      <c r="E239" s="71">
        <v>12</v>
      </c>
      <c r="F239" s="217">
        <v>800</v>
      </c>
      <c r="G239" s="217">
        <v>800</v>
      </c>
      <c r="H239" s="217">
        <v>800</v>
      </c>
      <c r="I239" s="217">
        <v>800</v>
      </c>
    </row>
    <row r="240" spans="1:10" s="38" customFormat="1" x14ac:dyDescent="0.25">
      <c r="A240" s="45" t="s">
        <v>206</v>
      </c>
      <c r="B240" s="78" t="str">
        <f>IF(ISBLANK(A240),"","T"&amp;COUNTA($A$191:A240))</f>
        <v>T44</v>
      </c>
      <c r="C240" s="385" t="s">
        <v>586</v>
      </c>
      <c r="D240" s="72" t="s">
        <v>91</v>
      </c>
      <c r="E240" s="71">
        <v>17</v>
      </c>
      <c r="F240" s="547">
        <v>1000</v>
      </c>
      <c r="G240" s="547">
        <v>1000</v>
      </c>
      <c r="H240" s="547">
        <v>1000</v>
      </c>
      <c r="I240" s="547">
        <v>1000</v>
      </c>
    </row>
    <row r="241" spans="1:10" s="38" customFormat="1" x14ac:dyDescent="0.25">
      <c r="A241" s="45" t="s">
        <v>206</v>
      </c>
      <c r="B241" s="78" t="str">
        <f>IF(ISBLANK(A241),"","T"&amp;COUNTA($A$191:A241))</f>
        <v>T45</v>
      </c>
      <c r="C241" s="385" t="s">
        <v>587</v>
      </c>
      <c r="D241" s="72" t="s">
        <v>91</v>
      </c>
      <c r="E241" s="111">
        <v>20</v>
      </c>
      <c r="F241" s="547">
        <v>500</v>
      </c>
      <c r="G241" s="547">
        <v>500</v>
      </c>
      <c r="H241" s="547"/>
      <c r="I241" s="547"/>
    </row>
    <row r="242" spans="1:10" s="38" customFormat="1" x14ac:dyDescent="0.25">
      <c r="A242" s="45" t="s">
        <v>206</v>
      </c>
      <c r="B242" s="78" t="str">
        <f>IF(ISBLANK(A242),"","T"&amp;COUNTA($A$191:A242))</f>
        <v>T46</v>
      </c>
      <c r="C242" s="385" t="s">
        <v>588</v>
      </c>
      <c r="D242" s="72" t="s">
        <v>91</v>
      </c>
      <c r="E242" s="400"/>
      <c r="F242" s="547">
        <v>1000</v>
      </c>
      <c r="G242" s="547">
        <v>500</v>
      </c>
      <c r="H242" s="547"/>
      <c r="I242" s="547"/>
      <c r="J242" s="38" t="s">
        <v>589</v>
      </c>
    </row>
    <row r="243" spans="1:10" s="38" customFormat="1" x14ac:dyDescent="0.25">
      <c r="A243" s="45" t="s">
        <v>206</v>
      </c>
      <c r="B243" s="78" t="str">
        <f>IF(ISBLANK(A243),"","T"&amp;COUNTA($A$191:A243))</f>
        <v>T47</v>
      </c>
      <c r="C243" s="385" t="s">
        <v>590</v>
      </c>
      <c r="D243" s="72" t="s">
        <v>91</v>
      </c>
      <c r="E243" s="111">
        <v>25</v>
      </c>
      <c r="F243" s="547">
        <v>1000</v>
      </c>
      <c r="G243" s="547">
        <v>1000</v>
      </c>
      <c r="H243" s="547">
        <v>1000</v>
      </c>
      <c r="I243" s="547">
        <v>1000</v>
      </c>
    </row>
    <row r="244" spans="1:10" s="38" customFormat="1" x14ac:dyDescent="0.25">
      <c r="A244" s="45" t="s">
        <v>206</v>
      </c>
      <c r="B244" s="78" t="str">
        <f>IF(ISBLANK(A244),"","T"&amp;COUNTA($A$191:A244))</f>
        <v>T48</v>
      </c>
      <c r="C244" s="385" t="s">
        <v>591</v>
      </c>
      <c r="D244" s="214" t="s">
        <v>91</v>
      </c>
      <c r="E244" s="111">
        <v>33</v>
      </c>
      <c r="F244" s="547">
        <f>1600*0.65</f>
        <v>1040</v>
      </c>
      <c r="G244" s="547">
        <f t="shared" ref="G244:I244" si="6">1600*0.65</f>
        <v>1040</v>
      </c>
      <c r="H244" s="547">
        <f t="shared" si="6"/>
        <v>1040</v>
      </c>
      <c r="I244" s="547">
        <f t="shared" si="6"/>
        <v>1040</v>
      </c>
      <c r="J244" s="38" t="s">
        <v>592</v>
      </c>
    </row>
    <row r="245" spans="1:10" s="38" customFormat="1" x14ac:dyDescent="0.25">
      <c r="A245" s="45" t="s">
        <v>206</v>
      </c>
      <c r="B245" s="78" t="str">
        <f>IF(ISBLANK(A245),"","T"&amp;COUNTA($A$191:A245))</f>
        <v>T49</v>
      </c>
      <c r="C245" s="385" t="s">
        <v>593</v>
      </c>
      <c r="D245" s="214" t="s">
        <v>91</v>
      </c>
      <c r="E245" s="111">
        <v>39</v>
      </c>
      <c r="F245" s="547">
        <f>1300*0.65</f>
        <v>845</v>
      </c>
      <c r="G245" s="547">
        <f t="shared" ref="G245:I245" si="7">1300*0.65</f>
        <v>845</v>
      </c>
      <c r="H245" s="547">
        <f t="shared" si="7"/>
        <v>845</v>
      </c>
      <c r="I245" s="547">
        <f t="shared" si="7"/>
        <v>845</v>
      </c>
      <c r="J245" s="38" t="s">
        <v>592</v>
      </c>
    </row>
    <row r="246" spans="1:10" s="38" customFormat="1" x14ac:dyDescent="0.25">
      <c r="A246" s="45" t="s">
        <v>206</v>
      </c>
      <c r="B246" s="78" t="str">
        <f>IF(ISBLANK(A246),"","T"&amp;COUNTA($A$191:A246))</f>
        <v>T50</v>
      </c>
      <c r="C246" s="385" t="s">
        <v>442</v>
      </c>
      <c r="D246" s="214" t="s">
        <v>91</v>
      </c>
      <c r="E246" s="111">
        <v>5</v>
      </c>
      <c r="F246" s="547">
        <v>1000</v>
      </c>
      <c r="G246" s="547">
        <v>1000</v>
      </c>
      <c r="H246" s="547">
        <v>1000</v>
      </c>
      <c r="I246" s="547">
        <v>1000</v>
      </c>
    </row>
    <row r="247" spans="1:10" s="38" customFormat="1" x14ac:dyDescent="0.25">
      <c r="A247" s="45"/>
      <c r="B247" s="78"/>
      <c r="C247" s="212"/>
      <c r="D247" s="214"/>
      <c r="E247" s="111"/>
      <c r="F247" s="217"/>
      <c r="G247" s="217"/>
      <c r="H247" s="217"/>
      <c r="I247" s="217"/>
    </row>
    <row r="248" spans="1:10" s="38" customFormat="1" x14ac:dyDescent="0.25">
      <c r="A248" s="43"/>
      <c r="B248" s="43" t="s">
        <v>127</v>
      </c>
      <c r="C248" s="3" t="s">
        <v>230</v>
      </c>
      <c r="D248" s="52"/>
      <c r="E248" s="52"/>
      <c r="F248" s="56">
        <f>SUMIF($A:$A,"byte",F:F)</f>
        <v>27656</v>
      </c>
      <c r="G248" s="56">
        <f>SUMIF($A:$A,"byte",G:G)</f>
        <v>25891</v>
      </c>
      <c r="H248" s="56">
        <f>SUMIF($A:$A,"byte",H:H)</f>
        <v>24601</v>
      </c>
      <c r="I248" s="56">
        <f>SUMIF($A:$A,"byte",I:I)</f>
        <v>26311</v>
      </c>
    </row>
    <row r="249" spans="1:10" s="38" customFormat="1" x14ac:dyDescent="0.25">
      <c r="A249"/>
      <c r="B249" s="78"/>
      <c r="C249"/>
      <c r="D249"/>
      <c r="E249"/>
      <c r="F249"/>
      <c r="G249"/>
      <c r="H249"/>
      <c r="I249"/>
    </row>
    <row r="250" spans="1:10" s="38" customFormat="1" x14ac:dyDescent="0.25">
      <c r="A250" s="78"/>
      <c r="B250" s="78"/>
      <c r="C250" s="208" t="s">
        <v>231</v>
      </c>
      <c r="D250" s="72"/>
      <c r="E250" s="71"/>
      <c r="F250" s="4">
        <f>F218</f>
        <v>2023</v>
      </c>
      <c r="G250" s="4">
        <f>F250+1</f>
        <v>2024</v>
      </c>
      <c r="H250" s="4">
        <f>G250+1</f>
        <v>2025</v>
      </c>
      <c r="I250" s="4">
        <f>H250+1</f>
        <v>2026</v>
      </c>
    </row>
    <row r="251" spans="1:10" s="38" customFormat="1" x14ac:dyDescent="0.25">
      <c r="A251" s="78" t="s">
        <v>232</v>
      </c>
      <c r="B251" s="78" t="str">
        <f>IF(ISBLANK(A251),"","O"&amp;COUNTA($A$251:A251))</f>
        <v>O1</v>
      </c>
      <c r="C251" s="84" t="s">
        <v>233</v>
      </c>
      <c r="D251" s="72" t="s">
        <v>89</v>
      </c>
      <c r="E251" s="71" t="s">
        <v>84</v>
      </c>
      <c r="F251" s="70"/>
      <c r="G251" s="70">
        <v>5000</v>
      </c>
      <c r="H251" s="70">
        <v>10000</v>
      </c>
      <c r="I251" s="70">
        <v>10000</v>
      </c>
    </row>
    <row r="252" spans="1:10" s="38" customFormat="1" x14ac:dyDescent="0.25">
      <c r="A252" s="78" t="s">
        <v>232</v>
      </c>
      <c r="B252" s="78" t="str">
        <f>IF(ISBLANK(A252),"","O"&amp;COUNTA($A$251:A252))</f>
        <v>O2</v>
      </c>
      <c r="C252" s="84" t="s">
        <v>234</v>
      </c>
      <c r="D252" s="72" t="s">
        <v>89</v>
      </c>
      <c r="E252" s="71" t="s">
        <v>84</v>
      </c>
      <c r="F252" s="70"/>
      <c r="G252" s="70">
        <v>-6400</v>
      </c>
      <c r="H252" s="70">
        <v>-6400</v>
      </c>
      <c r="I252" s="70">
        <v>-6400</v>
      </c>
    </row>
    <row r="253" spans="1:10" s="38" customFormat="1" x14ac:dyDescent="0.25">
      <c r="A253" s="78" t="s">
        <v>232</v>
      </c>
      <c r="B253" s="78" t="str">
        <f>IF(ISBLANK(A253),"","O"&amp;COUNTA($A$251:A253))</f>
        <v>O3</v>
      </c>
      <c r="C253" s="84" t="s">
        <v>594</v>
      </c>
      <c r="D253" s="72" t="s">
        <v>91</v>
      </c>
      <c r="E253" s="414" t="s">
        <v>488</v>
      </c>
      <c r="F253" s="70">
        <v>150</v>
      </c>
      <c r="G253" s="70">
        <v>150</v>
      </c>
      <c r="H253" s="70">
        <v>150</v>
      </c>
      <c r="I253" s="70">
        <v>150</v>
      </c>
      <c r="J253" s="586" t="s">
        <v>626</v>
      </c>
    </row>
    <row r="254" spans="1:10" s="38" customFormat="1" ht="25.5" x14ac:dyDescent="0.25">
      <c r="A254" s="78" t="s">
        <v>232</v>
      </c>
      <c r="B254" s="78" t="str">
        <f>IF(ISBLANK(A254),"","O"&amp;COUNTA($A$251:A254))</f>
        <v>O4</v>
      </c>
      <c r="C254" s="84" t="s">
        <v>595</v>
      </c>
      <c r="D254" s="72" t="s">
        <v>91</v>
      </c>
      <c r="E254" s="231">
        <v>3</v>
      </c>
      <c r="F254" s="70">
        <v>0</v>
      </c>
      <c r="G254" s="70">
        <v>900</v>
      </c>
      <c r="H254" s="70">
        <v>1800</v>
      </c>
      <c r="I254" s="70">
        <f>H254</f>
        <v>1800</v>
      </c>
      <c r="J254" s="38" t="s">
        <v>596</v>
      </c>
    </row>
    <row r="255" spans="1:10" s="38" customFormat="1" x14ac:dyDescent="0.25">
      <c r="A255" s="78" t="s">
        <v>232</v>
      </c>
      <c r="B255" s="78" t="str">
        <f>IF(ISBLANK(A255),"","O"&amp;COUNTA($A$251:A255))</f>
        <v>O5</v>
      </c>
      <c r="C255" s="84" t="s">
        <v>466</v>
      </c>
      <c r="D255" s="72" t="s">
        <v>91</v>
      </c>
      <c r="E255" s="231">
        <v>2</v>
      </c>
      <c r="F255" s="70">
        <v>1400</v>
      </c>
      <c r="G255" s="70">
        <v>1400</v>
      </c>
      <c r="H255" s="70">
        <v>1400</v>
      </c>
      <c r="I255" s="70">
        <v>1400</v>
      </c>
    </row>
    <row r="256" spans="1:10" s="38" customFormat="1" x14ac:dyDescent="0.25">
      <c r="A256" s="78" t="s">
        <v>232</v>
      </c>
      <c r="B256" s="78" t="str">
        <f>IF(ISBLANK(A256),"","O"&amp;COUNTA($A$251:A256))</f>
        <v>O6</v>
      </c>
      <c r="C256" s="84" t="s">
        <v>597</v>
      </c>
      <c r="D256" s="72" t="s">
        <v>91</v>
      </c>
      <c r="E256" s="414" t="s">
        <v>488</v>
      </c>
      <c r="F256" s="70">
        <v>500</v>
      </c>
      <c r="G256" s="70">
        <v>500</v>
      </c>
      <c r="H256" s="70">
        <v>500</v>
      </c>
      <c r="I256" s="70">
        <v>500</v>
      </c>
      <c r="J256" s="585" t="s">
        <v>598</v>
      </c>
    </row>
    <row r="257" spans="1:10" s="38" customFormat="1" x14ac:dyDescent="0.25">
      <c r="A257" s="78" t="s">
        <v>232</v>
      </c>
      <c r="B257" s="78" t="str">
        <f>IF(ISBLANK(A257),"","O"&amp;COUNTA($A$251:A257))</f>
        <v>O7</v>
      </c>
      <c r="C257" s="84" t="s">
        <v>599</v>
      </c>
      <c r="D257" s="72" t="s">
        <v>91</v>
      </c>
      <c r="E257" s="414" t="s">
        <v>488</v>
      </c>
      <c r="F257" s="70">
        <v>300</v>
      </c>
      <c r="G257" s="70">
        <v>300</v>
      </c>
      <c r="H257" s="70">
        <v>300</v>
      </c>
      <c r="I257" s="70">
        <v>300</v>
      </c>
      <c r="J257" s="586" t="s">
        <v>626</v>
      </c>
    </row>
    <row r="258" spans="1:10" s="38" customFormat="1" x14ac:dyDescent="0.25">
      <c r="A258" s="78" t="s">
        <v>232</v>
      </c>
      <c r="B258" s="78" t="str">
        <f>IF(ISBLANK(A258),"","O"&amp;COUNTA($A$251:A258))</f>
        <v>O8</v>
      </c>
      <c r="C258" s="84" t="s">
        <v>445</v>
      </c>
      <c r="D258" s="72" t="s">
        <v>91</v>
      </c>
      <c r="E258" s="231">
        <v>1</v>
      </c>
      <c r="F258" s="70">
        <v>1200</v>
      </c>
      <c r="G258" s="70">
        <v>1200</v>
      </c>
      <c r="H258" s="70">
        <v>1200</v>
      </c>
      <c r="I258" s="70">
        <v>1200</v>
      </c>
    </row>
    <row r="259" spans="1:10" s="38" customFormat="1" x14ac:dyDescent="0.25">
      <c r="A259" s="78" t="s">
        <v>232</v>
      </c>
      <c r="B259" s="78" t="str">
        <f>IF(ISBLANK(A259),"","O"&amp;COUNTA($A$251:A259))</f>
        <v>O9</v>
      </c>
      <c r="C259" s="84" t="s">
        <v>600</v>
      </c>
      <c r="D259" s="72" t="s">
        <v>91</v>
      </c>
      <c r="E259" s="414" t="s">
        <v>488</v>
      </c>
      <c r="F259" s="287">
        <v>150</v>
      </c>
      <c r="G259" s="287">
        <v>150</v>
      </c>
      <c r="H259" s="287">
        <v>150</v>
      </c>
      <c r="I259" s="287">
        <v>150</v>
      </c>
      <c r="J259" s="586" t="s">
        <v>626</v>
      </c>
    </row>
    <row r="260" spans="1:10" s="38" customFormat="1" x14ac:dyDescent="0.25">
      <c r="A260" s="43"/>
      <c r="B260" s="43" t="s">
        <v>127</v>
      </c>
      <c r="C260" s="3" t="s">
        <v>240</v>
      </c>
      <c r="D260" s="52"/>
      <c r="E260" s="52"/>
      <c r="F260" s="56">
        <f>SUMIF($A:$A,"ORG",F:F)</f>
        <v>3700</v>
      </c>
      <c r="G260" s="56">
        <f>SUMIF($A:$A,"ORG",G:G)</f>
        <v>3200</v>
      </c>
      <c r="H260" s="56">
        <f>SUMIF($A:$A,"ORG",H:H)</f>
        <v>9100</v>
      </c>
      <c r="I260" s="56">
        <f>SUMIF($A:$A,"ORG",I:I)</f>
        <v>9100</v>
      </c>
    </row>
    <row r="261" spans="1:10" s="38" customFormat="1" x14ac:dyDescent="0.25">
      <c r="A261" s="47"/>
      <c r="B261" s="78"/>
      <c r="C261" s="11"/>
      <c r="D261" s="49"/>
      <c r="E261" s="49"/>
      <c r="F261" s="57"/>
      <c r="G261" s="57"/>
      <c r="H261" s="57"/>
      <c r="I261" s="57"/>
    </row>
    <row r="262" spans="1:10" s="38" customFormat="1" x14ac:dyDescent="0.25">
      <c r="A262" s="48"/>
      <c r="B262" s="78"/>
      <c r="C262" s="13" t="s">
        <v>241</v>
      </c>
      <c r="D262" s="50"/>
      <c r="E262" s="61"/>
      <c r="F262" s="4">
        <f>F250</f>
        <v>2023</v>
      </c>
      <c r="G262" s="4">
        <f>F262+1</f>
        <v>2024</v>
      </c>
      <c r="H262" s="4">
        <f>G262+1</f>
        <v>2025</v>
      </c>
      <c r="I262" s="4">
        <f>H262+1</f>
        <v>2026</v>
      </c>
    </row>
    <row r="263" spans="1:10" s="38" customFormat="1" x14ac:dyDescent="0.25">
      <c r="A263" s="45" t="s">
        <v>242</v>
      </c>
      <c r="B263" s="78" t="str">
        <f>IF(ISBLANK(A263),"","Ø"&amp;COUNTA($A$263:A263))</f>
        <v>Ø1</v>
      </c>
      <c r="C263" s="346" t="s">
        <v>447</v>
      </c>
      <c r="D263" s="72" t="s">
        <v>91</v>
      </c>
      <c r="E263" s="71">
        <v>1</v>
      </c>
      <c r="F263" s="70">
        <v>1400</v>
      </c>
      <c r="G263" s="70">
        <v>1400</v>
      </c>
      <c r="H263" s="70">
        <v>1400</v>
      </c>
      <c r="I263" s="70">
        <v>1400</v>
      </c>
    </row>
    <row r="264" spans="1:10" s="38" customFormat="1" x14ac:dyDescent="0.25">
      <c r="A264" s="45" t="s">
        <v>242</v>
      </c>
      <c r="B264" s="78" t="str">
        <f>IF(ISBLANK(A264),"","Ø"&amp;COUNTA($A$263:A264))</f>
        <v>Ø2</v>
      </c>
      <c r="C264" s="347" t="s">
        <v>601</v>
      </c>
      <c r="D264" s="72" t="s">
        <v>91</v>
      </c>
      <c r="E264" s="71">
        <v>2</v>
      </c>
      <c r="F264" s="70">
        <v>225</v>
      </c>
      <c r="G264" s="70">
        <v>225</v>
      </c>
      <c r="H264" s="70">
        <v>225</v>
      </c>
      <c r="I264" s="70">
        <v>225</v>
      </c>
    </row>
    <row r="265" spans="1:10" s="38" customFormat="1" ht="30" x14ac:dyDescent="0.25">
      <c r="A265" s="45" t="s">
        <v>242</v>
      </c>
      <c r="B265" s="78" t="str">
        <f>IF(ISBLANK(A265),"","Ø"&amp;COUNTA($A$263:A265))</f>
        <v>Ø3</v>
      </c>
      <c r="C265" s="347" t="s">
        <v>602</v>
      </c>
      <c r="D265" s="72" t="s">
        <v>91</v>
      </c>
      <c r="E265" s="71">
        <v>3</v>
      </c>
      <c r="F265" s="70">
        <v>210</v>
      </c>
      <c r="G265" s="70">
        <v>210</v>
      </c>
      <c r="H265" s="70">
        <v>210</v>
      </c>
      <c r="I265" s="70">
        <v>210</v>
      </c>
    </row>
    <row r="266" spans="1:10" s="38" customFormat="1" x14ac:dyDescent="0.25">
      <c r="A266" s="45" t="s">
        <v>242</v>
      </c>
      <c r="B266" s="78" t="str">
        <f>IF(ISBLANK(A266),"","Ø"&amp;COUNTA($A$263:A266))</f>
        <v>Ø4</v>
      </c>
      <c r="C266" s="347" t="s">
        <v>245</v>
      </c>
      <c r="D266" s="72" t="s">
        <v>91</v>
      </c>
      <c r="E266" s="71">
        <v>1</v>
      </c>
      <c r="F266" s="70">
        <v>1600</v>
      </c>
      <c r="G266" s="70">
        <v>1600</v>
      </c>
      <c r="H266" s="70">
        <v>1600</v>
      </c>
      <c r="I266" s="70">
        <v>1600</v>
      </c>
      <c r="J266" s="38" t="s">
        <v>467</v>
      </c>
    </row>
    <row r="267" spans="1:10" s="38" customFormat="1" x14ac:dyDescent="0.25">
      <c r="A267" s="45" t="s">
        <v>242</v>
      </c>
      <c r="B267" s="78" t="str">
        <f>IF(ISBLANK(A267),"","Ø"&amp;COUNTA($A$263:A267))</f>
        <v>Ø5</v>
      </c>
      <c r="C267" s="347" t="s">
        <v>382</v>
      </c>
      <c r="D267" s="72" t="s">
        <v>91</v>
      </c>
      <c r="E267" s="71">
        <v>1</v>
      </c>
      <c r="F267" s="70"/>
      <c r="G267" s="70"/>
      <c r="H267" s="70"/>
      <c r="I267" s="70"/>
      <c r="J267" s="38" t="s">
        <v>383</v>
      </c>
    </row>
    <row r="268" spans="1:10" s="38" customFormat="1" x14ac:dyDescent="0.25">
      <c r="A268" s="45" t="s">
        <v>242</v>
      </c>
      <c r="B268" s="78" t="str">
        <f>IF(ISBLANK(A268),"","Ø"&amp;COUNTA($A$263:A268))</f>
        <v>Ø6</v>
      </c>
      <c r="C268" s="347"/>
      <c r="D268" s="72"/>
      <c r="E268" s="71"/>
      <c r="F268" s="70"/>
      <c r="G268" s="70"/>
      <c r="H268" s="70"/>
      <c r="I268" s="70"/>
    </row>
    <row r="269" spans="1:10" s="38" customFormat="1" x14ac:dyDescent="0.25">
      <c r="A269" s="45" t="s">
        <v>242</v>
      </c>
      <c r="B269" s="78" t="str">
        <f>IF(ISBLANK(A269),"","Ø"&amp;COUNTA($A$263:A269))</f>
        <v>Ø7</v>
      </c>
      <c r="C269" s="347"/>
      <c r="D269" s="72"/>
      <c r="E269" s="71"/>
      <c r="F269" s="70"/>
      <c r="G269" s="70"/>
      <c r="H269" s="70"/>
      <c r="I269" s="70"/>
    </row>
    <row r="270" spans="1:10" s="38" customFormat="1" x14ac:dyDescent="0.25">
      <c r="A270" s="45" t="s">
        <v>242</v>
      </c>
      <c r="B270" s="78" t="str">
        <f>IF(ISBLANK(A270),"","Ø"&amp;COUNTA($A$263:A270))</f>
        <v>Ø8</v>
      </c>
      <c r="C270" s="347"/>
      <c r="D270" s="72" t="s">
        <v>91</v>
      </c>
      <c r="E270" s="71"/>
      <c r="F270" s="70"/>
      <c r="G270" s="70"/>
      <c r="H270" s="70"/>
      <c r="I270" s="70"/>
    </row>
    <row r="271" spans="1:10" s="38" customFormat="1" x14ac:dyDescent="0.25">
      <c r="A271" s="43"/>
      <c r="B271" s="43" t="s">
        <v>127</v>
      </c>
      <c r="C271" s="3" t="s">
        <v>248</v>
      </c>
      <c r="D271" s="52"/>
      <c r="E271" s="52"/>
      <c r="F271" s="56">
        <f>SUMIF($A:$A,"ØK",F:F)</f>
        <v>3435</v>
      </c>
      <c r="G271" s="56">
        <f>SUMIF($A:$A,"ØK",G:G)</f>
        <v>3435</v>
      </c>
      <c r="H271" s="56">
        <f>SUMIF($A:$A,"ØK",H:H)</f>
        <v>3435</v>
      </c>
      <c r="I271" s="56">
        <f>SUMIF($A:$A,"ØK",I:I)</f>
        <v>3435</v>
      </c>
    </row>
    <row r="272" spans="1:10" s="38" customFormat="1" x14ac:dyDescent="0.25">
      <c r="A272" s="47"/>
      <c r="B272" s="78"/>
      <c r="C272" s="11"/>
      <c r="D272" s="49"/>
      <c r="E272" s="49"/>
      <c r="F272" s="57"/>
      <c r="G272" s="57"/>
      <c r="H272" s="57"/>
      <c r="I272" s="57"/>
    </row>
    <row r="273" spans="1:10" s="38" customFormat="1" ht="30" x14ac:dyDescent="0.25">
      <c r="A273" s="48"/>
      <c r="B273" s="78"/>
      <c r="C273" s="13" t="s">
        <v>249</v>
      </c>
      <c r="D273" s="50"/>
      <c r="E273" s="61"/>
      <c r="F273" s="58"/>
      <c r="G273" s="58"/>
      <c r="H273" s="58"/>
      <c r="I273" s="58"/>
    </row>
    <row r="274" spans="1:10" s="38" customFormat="1" x14ac:dyDescent="0.25">
      <c r="A274" s="249"/>
      <c r="B274" s="78"/>
      <c r="C274" s="82" t="s">
        <v>250</v>
      </c>
      <c r="D274" s="83"/>
      <c r="E274" s="71"/>
      <c r="F274" s="4">
        <f>F262</f>
        <v>2023</v>
      </c>
      <c r="G274" s="4">
        <f>F274+1</f>
        <v>2024</v>
      </c>
      <c r="H274" s="4">
        <f>G274+1</f>
        <v>2025</v>
      </c>
      <c r="I274" s="4">
        <f>H274+1</f>
        <v>2026</v>
      </c>
    </row>
    <row r="275" spans="1:10" s="38" customFormat="1" x14ac:dyDescent="0.25">
      <c r="A275" s="72" t="s">
        <v>251</v>
      </c>
      <c r="B275" s="78" t="str">
        <f>IF(ISBLANK(A275),"","F"&amp;COUNTA($A$275:A275))</f>
        <v>F1</v>
      </c>
      <c r="C275" s="245" t="s">
        <v>450</v>
      </c>
      <c r="D275" s="79" t="s">
        <v>91</v>
      </c>
      <c r="E275" s="231"/>
      <c r="F275" s="191">
        <v>150</v>
      </c>
      <c r="G275" s="191">
        <v>150</v>
      </c>
      <c r="H275" s="191">
        <v>150</v>
      </c>
      <c r="I275" s="191">
        <v>150</v>
      </c>
    </row>
    <row r="276" spans="1:10" s="38" customFormat="1" x14ac:dyDescent="0.25">
      <c r="A276" s="72"/>
      <c r="B276" s="78" t="str">
        <f>IF(ISBLANK(A276),"","F"&amp;COUNTA($A$275:A276))</f>
        <v/>
      </c>
      <c r="C276" s="82" t="s">
        <v>257</v>
      </c>
      <c r="D276" s="83"/>
      <c r="E276" s="71"/>
      <c r="F276" s="300">
        <f>F274</f>
        <v>2023</v>
      </c>
      <c r="G276" s="300">
        <f>F276+1</f>
        <v>2024</v>
      </c>
      <c r="H276" s="300">
        <f>G276+1</f>
        <v>2025</v>
      </c>
      <c r="I276" s="300">
        <f>H276+1</f>
        <v>2026</v>
      </c>
    </row>
    <row r="277" spans="1:10" s="38" customFormat="1" x14ac:dyDescent="0.25">
      <c r="A277" s="72" t="s">
        <v>251</v>
      </c>
      <c r="B277" s="78" t="str">
        <f>IF(ISBLANK(A277),"","F"&amp;COUNTA($A$275:A277))</f>
        <v>F2</v>
      </c>
      <c r="C277" s="84" t="s">
        <v>384</v>
      </c>
      <c r="D277" s="72" t="s">
        <v>89</v>
      </c>
      <c r="E277" s="71" t="s">
        <v>84</v>
      </c>
      <c r="F277" s="191">
        <v>-128</v>
      </c>
      <c r="G277" s="191">
        <v>-218</v>
      </c>
      <c r="H277" s="191">
        <v>-359</v>
      </c>
      <c r="I277" s="191">
        <v>-359</v>
      </c>
      <c r="J277" s="38" t="s">
        <v>627</v>
      </c>
    </row>
    <row r="278" spans="1:10" s="38" customFormat="1" x14ac:dyDescent="0.25">
      <c r="A278" s="72" t="s">
        <v>251</v>
      </c>
      <c r="B278" s="78" t="str">
        <f>IF(ISBLANK(A278),"","F"&amp;COUNTA($A$275:A278))</f>
        <v>F3</v>
      </c>
      <c r="C278" s="84" t="s">
        <v>386</v>
      </c>
      <c r="D278" s="72" t="s">
        <v>89</v>
      </c>
      <c r="E278" s="71" t="s">
        <v>84</v>
      </c>
      <c r="F278" s="191">
        <v>1500</v>
      </c>
      <c r="G278" s="191">
        <v>-786</v>
      </c>
      <c r="H278" s="191">
        <v>-1268</v>
      </c>
      <c r="I278" s="191">
        <v>-1268</v>
      </c>
      <c r="J278" s="38" t="s">
        <v>627</v>
      </c>
    </row>
    <row r="279" spans="1:10" s="38" customFormat="1" x14ac:dyDescent="0.25">
      <c r="A279" s="72" t="s">
        <v>251</v>
      </c>
      <c r="B279" s="78" t="str">
        <f>IF(ISBLANK(A279),"","F"&amp;COUNTA($A$275:A279))</f>
        <v>F4</v>
      </c>
      <c r="C279" s="84" t="s">
        <v>260</v>
      </c>
      <c r="D279" s="72" t="s">
        <v>83</v>
      </c>
      <c r="E279" s="71" t="s">
        <v>24</v>
      </c>
      <c r="F279" s="282">
        <v>140000</v>
      </c>
      <c r="G279" s="282">
        <v>140000</v>
      </c>
      <c r="H279" s="282">
        <v>140000</v>
      </c>
      <c r="I279" s="282">
        <v>140000</v>
      </c>
      <c r="J279" s="38" t="s">
        <v>604</v>
      </c>
    </row>
    <row r="280" spans="1:10" s="38" customFormat="1" ht="25.5" x14ac:dyDescent="0.25">
      <c r="A280" s="72" t="s">
        <v>251</v>
      </c>
      <c r="B280" s="78" t="str">
        <f>IF(ISBLANK(A280),"","F"&amp;COUNTA($A$275:A280))</f>
        <v>F5</v>
      </c>
      <c r="C280" s="84" t="s">
        <v>451</v>
      </c>
      <c r="D280" s="72" t="s">
        <v>89</v>
      </c>
      <c r="E280" s="71" t="s">
        <v>84</v>
      </c>
      <c r="F280" s="528"/>
      <c r="G280" s="528">
        <v>-575</v>
      </c>
      <c r="H280" s="528">
        <v>-575</v>
      </c>
      <c r="I280" s="528">
        <v>-575</v>
      </c>
    </row>
    <row r="281" spans="1:10" s="38" customFormat="1" ht="25.5" x14ac:dyDescent="0.25">
      <c r="A281" s="72" t="s">
        <v>251</v>
      </c>
      <c r="B281" s="78" t="str">
        <f>IF(ISBLANK(A281),"","F"&amp;COUNTA($A$275:A281))</f>
        <v>F6</v>
      </c>
      <c r="C281" s="506" t="s">
        <v>263</v>
      </c>
      <c r="D281" s="72" t="s">
        <v>89</v>
      </c>
      <c r="E281" s="71" t="s">
        <v>84</v>
      </c>
      <c r="F281" s="255"/>
      <c r="G281" s="255"/>
      <c r="H281" s="255"/>
      <c r="I281" s="255">
        <v>-450</v>
      </c>
    </row>
    <row r="282" spans="1:10" s="38" customFormat="1" x14ac:dyDescent="0.25">
      <c r="A282" s="72"/>
      <c r="B282" s="78" t="str">
        <f>IF(ISBLANK(A282),"","F"&amp;COUNTA($A$275:A282))</f>
        <v/>
      </c>
      <c r="C282" s="82" t="s">
        <v>282</v>
      </c>
      <c r="D282" s="72"/>
      <c r="E282" s="71"/>
      <c r="F282" s="255"/>
      <c r="G282" s="255"/>
      <c r="H282" s="255"/>
      <c r="I282" s="255"/>
    </row>
    <row r="283" spans="1:10" s="38" customFormat="1" ht="25.5" x14ac:dyDescent="0.25">
      <c r="A283" s="72" t="s">
        <v>251</v>
      </c>
      <c r="B283" s="78" t="str">
        <f>IF(ISBLANK(A283),"","F"&amp;COUNTA($A$275:A283))</f>
        <v>F7</v>
      </c>
      <c r="C283" s="84" t="s">
        <v>457</v>
      </c>
      <c r="D283" s="72" t="s">
        <v>91</v>
      </c>
      <c r="E283" s="231"/>
      <c r="F283" s="255">
        <v>2082</v>
      </c>
      <c r="G283" s="255">
        <v>3750</v>
      </c>
      <c r="H283" s="255">
        <v>4536</v>
      </c>
      <c r="I283" s="255">
        <v>6335</v>
      </c>
    </row>
    <row r="284" spans="1:10" s="38" customFormat="1" ht="25.5" x14ac:dyDescent="0.25">
      <c r="A284" s="72" t="s">
        <v>251</v>
      </c>
      <c r="B284" s="78" t="str">
        <f>IF(ISBLANK(A284),"","F"&amp;COUNTA($A$275:A284))</f>
        <v>F8</v>
      </c>
      <c r="C284" s="84" t="s">
        <v>458</v>
      </c>
      <c r="D284" s="72" t="s">
        <v>91</v>
      </c>
      <c r="E284" s="231"/>
      <c r="F284" s="255">
        <v>517</v>
      </c>
      <c r="G284" s="255">
        <v>517</v>
      </c>
      <c r="H284" s="255">
        <v>568</v>
      </c>
      <c r="I284" s="255">
        <v>1542</v>
      </c>
    </row>
    <row r="285" spans="1:10" s="38" customFormat="1" x14ac:dyDescent="0.25">
      <c r="A285" s="72" t="s">
        <v>251</v>
      </c>
      <c r="B285" s="78" t="str">
        <f>IF(ISBLANK(A285),"","F"&amp;COUNTA($A$275:A285))</f>
        <v>F9</v>
      </c>
      <c r="C285" s="84" t="s">
        <v>611</v>
      </c>
      <c r="D285" s="72" t="s">
        <v>91</v>
      </c>
      <c r="E285" s="231"/>
      <c r="F285" s="255">
        <v>259</v>
      </c>
      <c r="G285" s="255">
        <v>259</v>
      </c>
      <c r="H285" s="255">
        <v>297</v>
      </c>
      <c r="I285" s="255">
        <v>1178</v>
      </c>
    </row>
    <row r="286" spans="1:10" s="38" customFormat="1" x14ac:dyDescent="0.25">
      <c r="A286" s="72" t="s">
        <v>251</v>
      </c>
      <c r="B286" s="78" t="str">
        <f>IF(ISBLANK(A286),"","F"&amp;COUNTA($A$275:A286))</f>
        <v>F10</v>
      </c>
      <c r="C286" s="84" t="s">
        <v>285</v>
      </c>
      <c r="D286" s="72" t="s">
        <v>91</v>
      </c>
      <c r="E286" s="231"/>
      <c r="F286" s="255">
        <v>10854</v>
      </c>
      <c r="G286" s="255">
        <v>10854</v>
      </c>
      <c r="H286" s="255">
        <v>10854</v>
      </c>
      <c r="I286" s="255">
        <v>10854</v>
      </c>
    </row>
    <row r="287" spans="1:10" s="38" customFormat="1" x14ac:dyDescent="0.25">
      <c r="A287" s="72" t="s">
        <v>251</v>
      </c>
      <c r="B287" s="78" t="str">
        <f>IF(ISBLANK(A287),"","F"&amp;COUNTA($A$275:A287))</f>
        <v>F11</v>
      </c>
      <c r="C287" s="84" t="s">
        <v>612</v>
      </c>
      <c r="D287" s="72" t="s">
        <v>91</v>
      </c>
      <c r="E287" s="231"/>
      <c r="F287" s="255">
        <v>4268</v>
      </c>
      <c r="G287" s="255">
        <v>4268</v>
      </c>
      <c r="H287" s="255">
        <v>4268</v>
      </c>
      <c r="I287" s="255">
        <v>4268</v>
      </c>
      <c r="J287" s="144" t="s">
        <v>613</v>
      </c>
    </row>
    <row r="288" spans="1:10" s="38" customFormat="1" x14ac:dyDescent="0.25">
      <c r="A288" s="72" t="s">
        <v>251</v>
      </c>
      <c r="B288" s="78" t="str">
        <f>IF(ISBLANK(A288),"","F"&amp;COUNTA($A$275:A288))</f>
        <v>F12</v>
      </c>
      <c r="C288" s="84" t="s">
        <v>614</v>
      </c>
      <c r="D288" s="72" t="s">
        <v>91</v>
      </c>
      <c r="E288" s="231"/>
      <c r="F288" s="255"/>
      <c r="G288" s="255"/>
      <c r="H288" s="255"/>
      <c r="I288" s="255"/>
      <c r="J288" s="144" t="s">
        <v>615</v>
      </c>
    </row>
    <row r="289" spans="1:10" s="38" customFormat="1" x14ac:dyDescent="0.25">
      <c r="A289" s="72" t="s">
        <v>251</v>
      </c>
      <c r="B289" s="78" t="str">
        <f>IF(ISBLANK(A289),"","F"&amp;COUNTA($A$275:A289))</f>
        <v>F13</v>
      </c>
      <c r="C289" s="84" t="s">
        <v>210</v>
      </c>
      <c r="D289" s="72" t="s">
        <v>91</v>
      </c>
      <c r="E289" s="231"/>
      <c r="F289" s="255">
        <v>12000</v>
      </c>
      <c r="G289" s="255">
        <v>12000</v>
      </c>
      <c r="H289" s="255">
        <v>12000</v>
      </c>
      <c r="I289" s="255">
        <v>12000</v>
      </c>
      <c r="J289" s="144" t="s">
        <v>459</v>
      </c>
    </row>
    <row r="290" spans="1:10" s="38" customFormat="1" x14ac:dyDescent="0.25">
      <c r="A290" s="72" t="s">
        <v>251</v>
      </c>
      <c r="B290" s="78" t="str">
        <f>IF(ISBLANK(A290),"","F"&amp;COUNTA($A$275:A290))</f>
        <v>F14</v>
      </c>
      <c r="C290" s="84"/>
      <c r="D290" s="72"/>
      <c r="E290" s="71"/>
      <c r="F290" s="255"/>
      <c r="G290" s="255"/>
      <c r="H290" s="255"/>
      <c r="I290" s="255"/>
    </row>
    <row r="291" spans="1:10" s="38" customFormat="1" x14ac:dyDescent="0.25">
      <c r="A291" s="72" t="s">
        <v>251</v>
      </c>
      <c r="B291" s="78" t="str">
        <f>IF(ISBLANK(A291),"","F"&amp;COUNTA($A$275:A291))</f>
        <v>F15</v>
      </c>
      <c r="C291" s="84"/>
      <c r="D291" s="72"/>
      <c r="E291" s="71"/>
      <c r="F291" s="255"/>
      <c r="G291" s="255"/>
      <c r="H291" s="255"/>
      <c r="I291" s="255"/>
    </row>
    <row r="292" spans="1:10" s="38" customFormat="1" x14ac:dyDescent="0.25">
      <c r="A292" s="72" t="s">
        <v>251</v>
      </c>
      <c r="B292" s="78" t="str">
        <f>IF(ISBLANK(A292),"","F"&amp;COUNTA($A$275:A292))</f>
        <v>F16</v>
      </c>
      <c r="C292" s="84"/>
      <c r="D292" s="72"/>
      <c r="E292" s="71"/>
      <c r="F292" s="255"/>
      <c r="G292" s="255"/>
      <c r="H292" s="255"/>
      <c r="I292" s="255"/>
    </row>
    <row r="293" spans="1:10" s="38" customFormat="1" x14ac:dyDescent="0.25">
      <c r="A293" s="72" t="s">
        <v>251</v>
      </c>
      <c r="B293" s="78" t="str">
        <f>IF(ISBLANK(A293),"","F"&amp;COUNTA($A$275:A293))</f>
        <v>F17</v>
      </c>
      <c r="C293" s="84"/>
      <c r="D293" s="72"/>
      <c r="E293" s="71"/>
      <c r="F293" s="255"/>
      <c r="G293" s="255"/>
      <c r="H293" s="255"/>
      <c r="I293" s="255"/>
    </row>
    <row r="294" spans="1:10" s="38" customFormat="1" x14ac:dyDescent="0.25">
      <c r="A294" s="72" t="s">
        <v>251</v>
      </c>
      <c r="B294" s="78" t="str">
        <f>IF(ISBLANK(A294),"","F"&amp;COUNTA($A$275:A294))</f>
        <v>F18</v>
      </c>
      <c r="C294" s="84"/>
      <c r="D294" s="72"/>
      <c r="E294" s="71"/>
      <c r="F294" s="255"/>
      <c r="G294" s="255"/>
      <c r="H294" s="255"/>
      <c r="I294" s="255"/>
    </row>
    <row r="295" spans="1:10" s="38" customFormat="1" x14ac:dyDescent="0.25">
      <c r="A295" s="72" t="s">
        <v>251</v>
      </c>
      <c r="B295" s="78" t="str">
        <f>IF(ISBLANK(A295),"","F"&amp;COUNTA($A$275:A295))</f>
        <v>F19</v>
      </c>
      <c r="C295" s="84"/>
      <c r="D295" s="72"/>
      <c r="E295" s="71"/>
      <c r="F295" s="255"/>
      <c r="G295" s="255"/>
      <c r="H295" s="255"/>
      <c r="I295" s="255"/>
    </row>
    <row r="296" spans="1:10" s="38" customFormat="1" x14ac:dyDescent="0.25">
      <c r="A296" s="72" t="s">
        <v>251</v>
      </c>
      <c r="B296" s="78" t="str">
        <f>IF(ISBLANK(A296),"","F"&amp;COUNTA($A$275:A296))</f>
        <v>F20</v>
      </c>
      <c r="C296" s="84"/>
      <c r="D296" s="72"/>
      <c r="E296" s="71"/>
      <c r="F296" s="255"/>
      <c r="G296" s="255"/>
      <c r="H296" s="255"/>
      <c r="I296" s="255"/>
    </row>
    <row r="297" spans="1:10" s="38" customFormat="1" x14ac:dyDescent="0.25">
      <c r="A297" s="72" t="s">
        <v>251</v>
      </c>
      <c r="B297" s="78" t="str">
        <f>IF(ISBLANK(A297),"","F"&amp;COUNTA($A$275:A297))</f>
        <v>F21</v>
      </c>
      <c r="C297" s="84"/>
      <c r="D297" s="72"/>
      <c r="E297" s="71"/>
      <c r="F297" s="255"/>
      <c r="G297" s="255"/>
      <c r="H297" s="255"/>
      <c r="I297" s="255"/>
    </row>
    <row r="298" spans="1:10" s="38" customFormat="1" x14ac:dyDescent="0.25">
      <c r="A298" s="72" t="s">
        <v>251</v>
      </c>
      <c r="B298" s="78" t="str">
        <f>IF(ISBLANK(A298),"","F"&amp;COUNTA($A$275:A298))</f>
        <v>F22</v>
      </c>
      <c r="C298" s="84"/>
      <c r="D298" s="72"/>
      <c r="E298" s="71"/>
      <c r="F298" s="255"/>
      <c r="G298" s="255"/>
      <c r="H298" s="255"/>
      <c r="I298" s="255"/>
    </row>
    <row r="299" spans="1:10" s="38" customFormat="1" ht="18" customHeight="1" x14ac:dyDescent="0.25">
      <c r="A299" s="72"/>
      <c r="B299" s="78" t="str">
        <f>IF(ISBLANK(A299),"","F"&amp;COUNTA($A$275:A299))</f>
        <v/>
      </c>
      <c r="C299" s="82" t="s">
        <v>288</v>
      </c>
      <c r="D299" s="83"/>
      <c r="E299" s="71"/>
      <c r="F299" s="4">
        <f>F276</f>
        <v>2023</v>
      </c>
      <c r="G299" s="4">
        <f>F299+1</f>
        <v>2024</v>
      </c>
      <c r="H299" s="4">
        <f>G299+1</f>
        <v>2025</v>
      </c>
      <c r="I299" s="4">
        <f>H299+1</f>
        <v>2026</v>
      </c>
    </row>
    <row r="300" spans="1:10" s="38" customFormat="1" x14ac:dyDescent="0.25">
      <c r="A300" s="72" t="s">
        <v>251</v>
      </c>
      <c r="B300" s="78" t="str">
        <f>IF(ISBLANK(A300),"","F"&amp;COUNTA($A$275:A300))</f>
        <v>F23</v>
      </c>
      <c r="C300" s="38" t="s">
        <v>289</v>
      </c>
      <c r="D300" s="72" t="s">
        <v>89</v>
      </c>
      <c r="E300" s="71" t="s">
        <v>84</v>
      </c>
      <c r="F300" s="373">
        <v>2430</v>
      </c>
      <c r="G300" s="564">
        <v>0</v>
      </c>
      <c r="H300" s="564">
        <v>2430</v>
      </c>
      <c r="I300" s="564">
        <v>0</v>
      </c>
    </row>
    <row r="301" spans="1:10" s="38" customFormat="1" x14ac:dyDescent="0.25">
      <c r="A301" s="72" t="s">
        <v>251</v>
      </c>
      <c r="B301" s="78" t="str">
        <f>IF(ISBLANK(A301),"","F"&amp;COUNTA($A$275:A301))</f>
        <v>F24</v>
      </c>
      <c r="C301" s="295" t="s">
        <v>290</v>
      </c>
      <c r="D301" s="72" t="s">
        <v>89</v>
      </c>
      <c r="E301" s="71" t="s">
        <v>84</v>
      </c>
      <c r="F301" s="373">
        <v>400</v>
      </c>
      <c r="G301" s="564">
        <v>0</v>
      </c>
      <c r="H301" s="564">
        <v>400</v>
      </c>
      <c r="I301" s="564">
        <v>0</v>
      </c>
    </row>
    <row r="302" spans="1:10" s="38" customFormat="1" ht="30" x14ac:dyDescent="0.25">
      <c r="A302" s="72" t="s">
        <v>251</v>
      </c>
      <c r="B302" s="78" t="str">
        <f>IF(ISBLANK(A302),"","F"&amp;COUNTA($A$275:A302))</f>
        <v>F25</v>
      </c>
      <c r="C302" s="295" t="s">
        <v>291</v>
      </c>
      <c r="D302" s="72" t="s">
        <v>89</v>
      </c>
      <c r="E302" s="71" t="s">
        <v>84</v>
      </c>
      <c r="F302" s="373">
        <v>300</v>
      </c>
      <c r="G302" s="564">
        <v>0</v>
      </c>
      <c r="H302" s="564">
        <v>0</v>
      </c>
      <c r="I302" s="564">
        <v>0</v>
      </c>
    </row>
    <row r="303" spans="1:10" s="38" customFormat="1" x14ac:dyDescent="0.25">
      <c r="A303" s="72" t="s">
        <v>251</v>
      </c>
      <c r="B303" s="78" t="str">
        <f>IF(ISBLANK(A303),"","F"&amp;COUNTA($A$275:A303))</f>
        <v>F26</v>
      </c>
      <c r="C303" s="295" t="s">
        <v>292</v>
      </c>
      <c r="D303" s="72" t="s">
        <v>89</v>
      </c>
      <c r="E303" s="71" t="s">
        <v>84</v>
      </c>
      <c r="F303" s="373">
        <v>200</v>
      </c>
      <c r="G303" s="564">
        <v>0</v>
      </c>
      <c r="H303" s="564">
        <v>0</v>
      </c>
      <c r="I303" s="564">
        <v>0</v>
      </c>
    </row>
    <row r="304" spans="1:10" s="38" customFormat="1" x14ac:dyDescent="0.25">
      <c r="A304" s="72" t="s">
        <v>251</v>
      </c>
      <c r="B304" s="78" t="str">
        <f>IF(ISBLANK(A304),"","F"&amp;COUNTA($A$275:A304))</f>
        <v>F27</v>
      </c>
      <c r="C304" s="295" t="s">
        <v>293</v>
      </c>
      <c r="D304" s="72" t="s">
        <v>89</v>
      </c>
      <c r="E304" s="71" t="s">
        <v>84</v>
      </c>
      <c r="F304" s="373">
        <v>-2000</v>
      </c>
      <c r="G304" s="564">
        <v>-2000</v>
      </c>
      <c r="H304" s="564">
        <v>-2000</v>
      </c>
      <c r="I304" s="564">
        <v>-2000</v>
      </c>
    </row>
    <row r="305" spans="1:10" s="38" customFormat="1" ht="30" x14ac:dyDescent="0.25">
      <c r="A305" s="72" t="s">
        <v>251</v>
      </c>
      <c r="B305" s="78" t="str">
        <f>IF(ISBLANK(A305),"","F"&amp;COUNTA($A$275:A305))</f>
        <v>F28</v>
      </c>
      <c r="C305" s="295" t="s">
        <v>398</v>
      </c>
      <c r="D305" s="72" t="s">
        <v>89</v>
      </c>
      <c r="E305" s="71" t="s">
        <v>84</v>
      </c>
      <c r="F305" s="373">
        <v>400</v>
      </c>
      <c r="G305" s="564">
        <v>0</v>
      </c>
      <c r="H305" s="564">
        <v>400</v>
      </c>
      <c r="I305" s="564">
        <v>0</v>
      </c>
    </row>
    <row r="306" spans="1:10" s="38" customFormat="1" x14ac:dyDescent="0.25">
      <c r="A306" s="72" t="s">
        <v>251</v>
      </c>
      <c r="B306" s="78" t="str">
        <f>IF(ISBLANK(A306),"","F"&amp;COUNTA($A$275:A306))</f>
        <v>F29</v>
      </c>
      <c r="C306" s="295" t="s">
        <v>297</v>
      </c>
      <c r="D306" s="72" t="s">
        <v>89</v>
      </c>
      <c r="E306" s="71" t="s">
        <v>84</v>
      </c>
      <c r="F306" s="373"/>
      <c r="G306" s="564">
        <v>1000</v>
      </c>
      <c r="H306" s="564"/>
      <c r="I306" s="564"/>
    </row>
    <row r="307" spans="1:10" s="38" customFormat="1" x14ac:dyDescent="0.25">
      <c r="A307" s="72" t="s">
        <v>251</v>
      </c>
      <c r="B307" s="78" t="str">
        <f>IF(ISBLANK(A307),"","F"&amp;COUNTA($A$275:A307))</f>
        <v>F30</v>
      </c>
      <c r="C307" s="295" t="s">
        <v>298</v>
      </c>
      <c r="D307" s="72" t="s">
        <v>91</v>
      </c>
      <c r="E307" s="71">
        <v>1</v>
      </c>
      <c r="F307" s="373">
        <v>225</v>
      </c>
      <c r="G307" s="217">
        <v>225</v>
      </c>
      <c r="H307" s="217">
        <v>225</v>
      </c>
      <c r="I307" s="217">
        <v>225</v>
      </c>
      <c r="J307" s="38" t="s">
        <v>372</v>
      </c>
    </row>
    <row r="308" spans="1:10" s="38" customFormat="1" x14ac:dyDescent="0.25">
      <c r="A308" s="72" t="s">
        <v>251</v>
      </c>
      <c r="B308" s="78" t="str">
        <f>IF(ISBLANK(A308),"","F"&amp;COUNTA($A$275:A308))</f>
        <v>F31</v>
      </c>
      <c r="C308" s="295" t="s">
        <v>470</v>
      </c>
      <c r="D308" s="72" t="s">
        <v>91</v>
      </c>
      <c r="E308" s="71"/>
      <c r="F308" s="373">
        <v>300</v>
      </c>
      <c r="G308" s="564"/>
      <c r="H308" s="564">
        <v>300</v>
      </c>
      <c r="I308" s="564"/>
      <c r="J308" s="38" t="s">
        <v>471</v>
      </c>
    </row>
    <row r="309" spans="1:10" s="38" customFormat="1" x14ac:dyDescent="0.25">
      <c r="A309" s="72" t="s">
        <v>251</v>
      </c>
      <c r="B309" s="78" t="str">
        <f>IF(ISBLANK(A309),"","F"&amp;COUNTA($A$275:A309))</f>
        <v>F32</v>
      </c>
      <c r="C309" s="38" t="s">
        <v>299</v>
      </c>
      <c r="D309" s="72" t="s">
        <v>91</v>
      </c>
      <c r="E309" s="231"/>
      <c r="F309" s="271">
        <v>200</v>
      </c>
      <c r="G309" s="281"/>
      <c r="H309" s="281"/>
      <c r="I309" s="281"/>
    </row>
    <row r="310" spans="1:10" s="38" customFormat="1" x14ac:dyDescent="0.25">
      <c r="A310" s="72"/>
      <c r="B310" s="78" t="str">
        <f>IF(ISBLANK(A310),"","F"&amp;COUNTA($A$275:A310))</f>
        <v/>
      </c>
      <c r="C310" s="82" t="s">
        <v>282</v>
      </c>
      <c r="D310" s="388"/>
      <c r="E310" s="71"/>
      <c r="F310" s="389"/>
      <c r="G310" s="389"/>
      <c r="H310" s="389"/>
      <c r="I310" s="389"/>
    </row>
    <row r="311" spans="1:10" s="38" customFormat="1" x14ac:dyDescent="0.25">
      <c r="A311" s="72" t="s">
        <v>251</v>
      </c>
      <c r="B311" s="78" t="str">
        <f>IF(ISBLANK(A311),"","F"&amp;COUNTA($A$275:A311))</f>
        <v>F33</v>
      </c>
      <c r="C311" s="84" t="s">
        <v>628</v>
      </c>
      <c r="D311" s="72" t="s">
        <v>83</v>
      </c>
      <c r="E311" s="71" t="s">
        <v>84</v>
      </c>
      <c r="F311" s="545">
        <f>-22250+22250</f>
        <v>0</v>
      </c>
      <c r="G311" s="545">
        <f>-23950+23950</f>
        <v>0</v>
      </c>
      <c r="H311" s="545">
        <f t="shared" ref="H311:I311" si="8">-23950+23950</f>
        <v>0</v>
      </c>
      <c r="I311" s="545">
        <f t="shared" si="8"/>
        <v>0</v>
      </c>
    </row>
    <row r="312" spans="1:10" s="38" customFormat="1" ht="25.5" x14ac:dyDescent="0.25">
      <c r="A312" s="72" t="s">
        <v>251</v>
      </c>
      <c r="B312" s="78" t="str">
        <f>IF(ISBLANK(A312),"","F"&amp;COUNTA($A$275:A312))</f>
        <v>F34</v>
      </c>
      <c r="C312" s="84" t="s">
        <v>629</v>
      </c>
      <c r="D312" s="72" t="s">
        <v>83</v>
      </c>
      <c r="E312" s="71" t="s">
        <v>84</v>
      </c>
      <c r="F312" s="548">
        <f>-4210+4210</f>
        <v>0</v>
      </c>
      <c r="G312" s="548">
        <f>-16430+16430</f>
        <v>0</v>
      </c>
      <c r="H312" s="548">
        <f>-31250+31250</f>
        <v>0</v>
      </c>
      <c r="I312" s="548">
        <f>-37308+37308</f>
        <v>0</v>
      </c>
    </row>
    <row r="313" spans="1:10" s="38" customFormat="1" x14ac:dyDescent="0.25">
      <c r="A313" s="72" t="s">
        <v>251</v>
      </c>
      <c r="B313" s="78" t="str">
        <f>IF(ISBLANK(A313),"","F"&amp;COUNTA($A$275:A313))</f>
        <v>F35</v>
      </c>
      <c r="C313" s="84" t="s">
        <v>630</v>
      </c>
      <c r="D313" s="72" t="s">
        <v>83</v>
      </c>
      <c r="E313" s="71" t="s">
        <v>84</v>
      </c>
      <c r="F313" s="545">
        <f>-2550+2550</f>
        <v>0</v>
      </c>
      <c r="G313" s="545">
        <f t="shared" ref="G313:I313" si="9">-2550+2550</f>
        <v>0</v>
      </c>
      <c r="H313" s="545">
        <f t="shared" si="9"/>
        <v>0</v>
      </c>
      <c r="I313" s="545">
        <f t="shared" si="9"/>
        <v>0</v>
      </c>
    </row>
    <row r="314" spans="1:10" s="38" customFormat="1" ht="25.5" x14ac:dyDescent="0.25">
      <c r="A314" s="72" t="s">
        <v>251</v>
      </c>
      <c r="B314" s="78" t="str">
        <f>IF(ISBLANK(A314),"","F"&amp;COUNTA($A$275:A314))</f>
        <v>F36</v>
      </c>
      <c r="C314" s="84" t="s">
        <v>631</v>
      </c>
      <c r="D314" s="72" t="s">
        <v>83</v>
      </c>
      <c r="E314" s="71" t="s">
        <v>84</v>
      </c>
      <c r="F314" s="545">
        <f>-4420+4420</f>
        <v>0</v>
      </c>
      <c r="G314" s="545">
        <f t="shared" ref="G314:I314" si="10">-4420+4420</f>
        <v>0</v>
      </c>
      <c r="H314" s="545">
        <f t="shared" si="10"/>
        <v>0</v>
      </c>
      <c r="I314" s="545">
        <f t="shared" si="10"/>
        <v>0</v>
      </c>
    </row>
    <row r="315" spans="1:10" s="38" customFormat="1" x14ac:dyDescent="0.25">
      <c r="A315" s="72" t="s">
        <v>251</v>
      </c>
      <c r="B315" s="78" t="str">
        <f>IF(ISBLANK(A315),"","F"&amp;COUNTA($A$275:A315))</f>
        <v>F37</v>
      </c>
      <c r="C315" s="84" t="s">
        <v>632</v>
      </c>
      <c r="D315" s="72" t="s">
        <v>83</v>
      </c>
      <c r="E315" s="61" t="s">
        <v>84</v>
      </c>
      <c r="F315" s="413">
        <v>35700</v>
      </c>
      <c r="G315" s="413">
        <v>50700</v>
      </c>
      <c r="H315" s="413">
        <v>63700</v>
      </c>
      <c r="I315" s="413">
        <v>72700</v>
      </c>
    </row>
    <row r="316" spans="1:10" s="38" customFormat="1" x14ac:dyDescent="0.25">
      <c r="A316" s="72" t="s">
        <v>251</v>
      </c>
      <c r="B316" s="78" t="str">
        <f>IF(ISBLANK(A316),"","F"&amp;COUNTA($A$275:A316))</f>
        <v>F38</v>
      </c>
      <c r="C316" s="84" t="s">
        <v>633</v>
      </c>
      <c r="D316" s="72" t="s">
        <v>83</v>
      </c>
      <c r="E316" s="71" t="s">
        <v>84</v>
      </c>
      <c r="F316" s="413">
        <v>-35700</v>
      </c>
      <c r="G316" s="413">
        <v>-50700</v>
      </c>
      <c r="H316" s="413">
        <v>-63700</v>
      </c>
      <c r="I316" s="413">
        <v>-72700</v>
      </c>
    </row>
    <row r="317" spans="1:10" s="38" customFormat="1" ht="25.5" x14ac:dyDescent="0.25">
      <c r="A317" s="72" t="s">
        <v>251</v>
      </c>
      <c r="B317" s="78" t="str">
        <f>IF(ISBLANK(A317),"","F"&amp;COUNTA($A$275:A317))</f>
        <v>F39</v>
      </c>
      <c r="C317" s="84" t="s">
        <v>631</v>
      </c>
      <c r="D317" s="72" t="s">
        <v>83</v>
      </c>
      <c r="E317" s="71" t="s">
        <v>84</v>
      </c>
      <c r="F317" s="413">
        <f>4420-4420</f>
        <v>0</v>
      </c>
      <c r="G317" s="413">
        <f t="shared" ref="G317:I317" si="11">4420-4420</f>
        <v>0</v>
      </c>
      <c r="H317" s="413">
        <f t="shared" si="11"/>
        <v>0</v>
      </c>
      <c r="I317" s="413">
        <f t="shared" si="11"/>
        <v>0</v>
      </c>
    </row>
    <row r="318" spans="1:10" s="38" customFormat="1" ht="25.5" x14ac:dyDescent="0.25">
      <c r="A318" s="72" t="s">
        <v>251</v>
      </c>
      <c r="B318" s="78" t="str">
        <f>IF(ISBLANK(A318),"","F"&amp;COUNTA($A$275:A318))</f>
        <v>F40</v>
      </c>
      <c r="C318" s="84" t="s">
        <v>634</v>
      </c>
      <c r="D318" s="72" t="s">
        <v>83</v>
      </c>
      <c r="E318" s="71" t="s">
        <v>84</v>
      </c>
      <c r="F318" s="413">
        <f>600-600</f>
        <v>0</v>
      </c>
      <c r="G318" s="413">
        <f t="shared" ref="G318:I318" si="12">600-600</f>
        <v>0</v>
      </c>
      <c r="H318" s="413">
        <f t="shared" si="12"/>
        <v>0</v>
      </c>
      <c r="I318" s="413">
        <f t="shared" si="12"/>
        <v>0</v>
      </c>
    </row>
    <row r="319" spans="1:10" s="38" customFormat="1" x14ac:dyDescent="0.25">
      <c r="A319" s="72"/>
      <c r="B319" s="78"/>
      <c r="C319" s="84"/>
      <c r="D319" s="72"/>
      <c r="E319" s="71"/>
      <c r="F319" s="90"/>
      <c r="G319" s="90"/>
      <c r="H319" s="90"/>
      <c r="I319" s="90"/>
    </row>
    <row r="320" spans="1:10" s="38" customFormat="1" x14ac:dyDescent="0.25">
      <c r="A320" s="72"/>
      <c r="B320" s="78"/>
      <c r="C320" s="82"/>
      <c r="D320" s="83"/>
      <c r="E320" s="71"/>
      <c r="F320" s="191"/>
      <c r="G320" s="191"/>
      <c r="H320" s="191"/>
      <c r="I320" s="191"/>
    </row>
    <row r="321" spans="1:9" s="38" customFormat="1" ht="30" x14ac:dyDescent="0.25">
      <c r="A321" s="43"/>
      <c r="B321" s="43" t="s">
        <v>127</v>
      </c>
      <c r="C321" s="3" t="s">
        <v>304</v>
      </c>
      <c r="D321" s="52"/>
      <c r="E321" s="52"/>
      <c r="F321" s="56">
        <f>SUMIF($A:$A,"KOM.FELLES",F:F)</f>
        <v>173957</v>
      </c>
      <c r="G321" s="56">
        <f>SUMIF($A:$A,"KOM.FELLES",G:G)</f>
        <v>169444</v>
      </c>
      <c r="H321" s="56">
        <f>SUMIF($A:$A,"KOM.FELLES",H:H)</f>
        <v>172226</v>
      </c>
      <c r="I321" s="56">
        <f>SUMIF($A:$A,"KOM.FELLES",I:I)</f>
        <v>171900</v>
      </c>
    </row>
    <row r="327" spans="1:9" x14ac:dyDescent="0.25">
      <c r="F327" s="182"/>
      <c r="G327" s="182"/>
      <c r="H327" s="182"/>
      <c r="I327" s="182"/>
    </row>
    <row r="328" spans="1:9" x14ac:dyDescent="0.25">
      <c r="D328" s="256"/>
      <c r="E328" s="256"/>
      <c r="F328" s="256"/>
      <c r="G328" s="256"/>
      <c r="H328" s="256"/>
      <c r="I328" s="256"/>
    </row>
    <row r="329" spans="1:9" x14ac:dyDescent="0.25">
      <c r="F329" s="256"/>
      <c r="G329" s="256"/>
      <c r="H329" s="256"/>
      <c r="I329" s="256"/>
    </row>
    <row r="330" spans="1:9" x14ac:dyDescent="0.25">
      <c r="F330" s="256"/>
      <c r="G330" s="256"/>
      <c r="H330" s="256"/>
      <c r="I330" s="256"/>
    </row>
    <row r="331" spans="1:9" x14ac:dyDescent="0.25">
      <c r="F331" s="256"/>
      <c r="G331" s="256"/>
      <c r="H331" s="256"/>
      <c r="I331" s="256"/>
    </row>
    <row r="332" spans="1:9" x14ac:dyDescent="0.25">
      <c r="F332" s="256"/>
      <c r="G332" s="256"/>
      <c r="H332" s="256"/>
      <c r="I332" s="256"/>
    </row>
    <row r="333" spans="1:9" x14ac:dyDescent="0.25">
      <c r="F333" s="256"/>
      <c r="G333" s="256"/>
      <c r="H333" s="256"/>
      <c r="I333" s="256"/>
    </row>
    <row r="334" spans="1:9" x14ac:dyDescent="0.25">
      <c r="F334" s="256"/>
      <c r="G334" s="256"/>
      <c r="H334" s="256"/>
      <c r="I334" s="256"/>
    </row>
    <row r="335" spans="1:9" x14ac:dyDescent="0.25">
      <c r="F335" s="256"/>
      <c r="G335" s="256"/>
      <c r="H335" s="256"/>
      <c r="I335" s="256"/>
    </row>
  </sheetData>
  <autoFilter ref="A28:J321" xr:uid="{BACC7B1A-1DCE-4A50-B8E7-9CA03B9A2C78}"/>
  <phoneticPr fontId="23" type="noConversion"/>
  <conditionalFormatting sqref="F20:I20">
    <cfRule type="cellIs" dxfId="11" priority="2" operator="notEqual">
      <formula>0</formula>
    </cfRule>
  </conditionalFormatting>
  <conditionalFormatting sqref="I20">
    <cfRule type="cellIs" dxfId="10" priority="1" operator="notEqual">
      <formula>0</formula>
    </cfRule>
  </conditionalFormatting>
  <dataValidations disablePrompts="1" count="1">
    <dataValidation type="list" allowBlank="1" showInputMessage="1" showErrorMessage="1" sqref="D238:D239 D247" xr:uid="{E23A13B1-A207-4AF0-82A9-F17578AE1757}">
      <formula1>#REF!</formula1>
    </dataValidation>
  </dataValidations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6E3C2F51-5628-4262-86DC-97DD59B4F9CC}">
          <x14:formula1>
            <xm:f>Div!$B$3:$B$6</xm:f>
          </x14:formula1>
          <xm:sqref>E64:E69 E273:E274 E310 E157:E158 E250 E320 E262 E176:E177 E182 E276 E299 E190 E192 E131 E170 E122:E123 E85</xm:sqref>
        </x14:dataValidation>
        <x14:dataValidation type="list" allowBlank="1" showInputMessage="1" showErrorMessage="1" xr:uid="{8E7B0581-4772-4281-BE8F-6F2902E2F8D7}">
          <x14:formula1>
            <xm:f>Div!$C$3:$C$58</xm:f>
          </x14:formula1>
          <xm:sqref>D64:D69 D182 D321:E321 D96:E96 D157:D158 D174:D177 D260:D262 D271:D274 D276 D299 D310 D320 D188:D190 D192 D131 D170 D248:D250 E277:E298 E86:E95 E178:E181 E275 E311:E319 D85 E191:E249 E300:E309 E70:E84 D121:D123 E263:E272 E183:E189 E31:E63 E159:E175 E251:E261 E124:E156 E97:E121</xm:sqref>
        </x14:dataValidation>
        <x14:dataValidation type="list" allowBlank="1" showInputMessage="1" showErrorMessage="1" xr:uid="{7073EBFD-9A5E-4D22-8EA6-81D2D8E33AC6}">
          <x14:formula1>
            <xm:f>Div!$B$3:$B$8</xm:f>
          </x14:formula1>
          <xm:sqref>D300:D309 D251:D259 D275 D159:D173 D178:D181 D311:D319 D183:D187 D70:D84 D277:D298 D263:D270 D240:D246 D31:D63 D191:D237 D97:D120 D124:D156 D86:D95</xm:sqref>
        </x14:dataValidation>
        <x14:dataValidation type="list" allowBlank="1" showInputMessage="1" showErrorMessage="1" xr:uid="{60D0CEF6-D029-4A73-BD6E-FE80290E7609}">
          <x14:formula1>
            <xm:f>Div!$A$3:$A$11</xm:f>
          </x14:formula1>
          <xm:sqref>A121:A321 A31:A69</xm:sqref>
        </x14:dataValidation>
        <x14:dataValidation type="list" allowBlank="1" showInputMessage="1" showErrorMessage="1" xr:uid="{776F3FE3-651E-464D-8909-EBDE561B9E72}">
          <x14:formula1>
            <xm:f>Div!$A$3:$A$13</xm:f>
          </x14:formula1>
          <xm:sqref>A70:A120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0522E-0915-4062-8D67-1F655FDDB460}">
  <sheetPr codeName="Ark3">
    <tabColor rgb="FFFF0000"/>
  </sheetPr>
  <dimension ref="A1:M259"/>
  <sheetViews>
    <sheetView topLeftCell="A109" workbookViewId="0">
      <selection activeCell="C91" sqref="C91"/>
    </sheetView>
  </sheetViews>
  <sheetFormatPr baseColWidth="10" defaultColWidth="11.42578125" defaultRowHeight="15" x14ac:dyDescent="0.25"/>
  <cols>
    <col min="1" max="1" width="10.140625" customWidth="1"/>
    <col min="2" max="2" width="6.140625" customWidth="1"/>
    <col min="3" max="3" width="58.5703125" customWidth="1"/>
    <col min="4" max="4" width="14.42578125" bestFit="1" customWidth="1"/>
    <col min="5" max="5" width="11.28515625" bestFit="1" customWidth="1"/>
    <col min="6" max="6" width="12" bestFit="1" customWidth="1"/>
    <col min="7" max="7" width="13.42578125" customWidth="1"/>
    <col min="8" max="8" width="13.5703125" customWidth="1"/>
    <col min="9" max="9" width="13" customWidth="1"/>
    <col min="10" max="10" width="65" customWidth="1"/>
    <col min="11" max="11" width="7.42578125" style="28" customWidth="1"/>
    <col min="12" max="12" width="7.5703125" style="28" bestFit="1" customWidth="1"/>
    <col min="13" max="13" width="20.42578125" customWidth="1"/>
  </cols>
  <sheetData>
    <row r="1" spans="1:12" s="28" customFormat="1" ht="23.25" x14ac:dyDescent="0.25">
      <c r="A1" s="294" t="s">
        <v>635</v>
      </c>
      <c r="B1" s="295"/>
      <c r="C1" s="296"/>
      <c r="D1" s="93"/>
      <c r="E1" s="93"/>
      <c r="F1" s="294"/>
      <c r="G1" s="294"/>
      <c r="H1" s="294"/>
      <c r="I1" s="294"/>
      <c r="J1" s="286"/>
      <c r="K1" s="38"/>
      <c r="L1" s="38"/>
    </row>
    <row r="2" spans="1:12" s="28" customFormat="1" x14ac:dyDescent="0.25">
      <c r="A2" s="38"/>
      <c r="B2" s="295"/>
      <c r="C2" s="295"/>
      <c r="D2" s="93"/>
      <c r="E2" s="93"/>
      <c r="F2" s="38"/>
      <c r="G2" s="38"/>
      <c r="H2" s="38"/>
      <c r="I2" s="38"/>
      <c r="J2" s="286"/>
      <c r="K2" s="38"/>
      <c r="L2" s="38"/>
    </row>
    <row r="3" spans="1:12" s="38" customFormat="1" x14ac:dyDescent="0.25">
      <c r="A3" s="297"/>
      <c r="B3" s="298"/>
      <c r="C3" s="298"/>
      <c r="D3" s="299"/>
      <c r="E3" s="299"/>
      <c r="F3" s="300">
        <v>2020</v>
      </c>
      <c r="G3" s="300">
        <v>46210</v>
      </c>
      <c r="H3" s="300">
        <v>2022</v>
      </c>
      <c r="I3" s="300"/>
    </row>
    <row r="4" spans="1:12" s="38" customFormat="1" x14ac:dyDescent="0.25">
      <c r="A4" s="301" t="s">
        <v>636</v>
      </c>
      <c r="B4" s="302"/>
      <c r="C4" s="303"/>
      <c r="D4" s="304"/>
      <c r="E4" s="304"/>
      <c r="F4" s="305">
        <v>4546363</v>
      </c>
      <c r="G4" s="305">
        <v>4546363</v>
      </c>
      <c r="H4" s="305">
        <v>4546363</v>
      </c>
      <c r="I4" s="305">
        <v>4546363</v>
      </c>
      <c r="J4" s="1"/>
    </row>
    <row r="5" spans="1:12" s="38" customFormat="1" x14ac:dyDescent="0.25">
      <c r="A5" s="38" t="str">
        <f>C62</f>
        <v>SUM SENTRALE INNTEKTER OG FINANSPOSTER</v>
      </c>
      <c r="B5" s="295"/>
      <c r="C5" s="123"/>
      <c r="D5" s="93"/>
      <c r="E5" s="93"/>
      <c r="F5" s="2">
        <f>F62</f>
        <v>-4809340</v>
      </c>
      <c r="G5" s="2">
        <f>G62</f>
        <v>-4807463</v>
      </c>
      <c r="H5" s="2">
        <f>H62</f>
        <v>-4816920</v>
      </c>
      <c r="I5" s="2">
        <f>I62</f>
        <v>-4852045</v>
      </c>
    </row>
    <row r="6" spans="1:12" s="38" customFormat="1" x14ac:dyDescent="0.25">
      <c r="A6" s="307" t="s">
        <v>2</v>
      </c>
      <c r="B6" s="308"/>
      <c r="C6" s="309"/>
      <c r="D6" s="310"/>
      <c r="E6" s="310"/>
      <c r="F6" s="311">
        <f>SUM(F4:F5)</f>
        <v>-262977</v>
      </c>
      <c r="G6" s="311">
        <f>SUM(G4:G5)</f>
        <v>-261100</v>
      </c>
      <c r="H6" s="311">
        <f>SUM(H4:H5)</f>
        <v>-270557</v>
      </c>
      <c r="I6" s="311">
        <f>SUM(I4:I5)</f>
        <v>-305682</v>
      </c>
    </row>
    <row r="7" spans="1:12" s="38" customFormat="1" x14ac:dyDescent="0.25">
      <c r="A7" s="312"/>
      <c r="B7" s="302"/>
      <c r="C7" s="302"/>
      <c r="D7" s="304"/>
      <c r="E7" s="304"/>
      <c r="F7" s="313"/>
      <c r="G7" s="313"/>
      <c r="H7" s="313"/>
      <c r="I7" s="313"/>
    </row>
    <row r="8" spans="1:12" s="38" customFormat="1" x14ac:dyDescent="0.25">
      <c r="A8" s="314" t="s">
        <v>637</v>
      </c>
      <c r="B8" s="207"/>
      <c r="C8" s="207"/>
      <c r="D8" s="315"/>
      <c r="E8" s="315"/>
      <c r="F8" s="39">
        <f>SUMIF($D:$D,"ØP 21-24",F:F)</f>
        <v>-15191</v>
      </c>
      <c r="G8" s="39">
        <f>SUMIF($D:$D,"ØP 21-24",G:G)</f>
        <v>-9266</v>
      </c>
      <c r="H8" s="39">
        <f>SUMIF($D:$D,"ØP 21-24",H:H)</f>
        <v>4891.5833333333321</v>
      </c>
      <c r="I8" s="39">
        <f>SUMIF($D:$D,"ØP 21-24",I:I)</f>
        <v>29560</v>
      </c>
    </row>
    <row r="9" spans="1:12" s="38" customFormat="1" x14ac:dyDescent="0.25">
      <c r="A9" s="316" t="s">
        <v>4</v>
      </c>
      <c r="B9" s="317"/>
      <c r="C9" s="317"/>
      <c r="D9" s="318"/>
      <c r="E9" s="318"/>
      <c r="F9" s="267">
        <f>SUMIF($D:$D,"ØP 21-24 REKALK",F:F)</f>
        <v>30696</v>
      </c>
      <c r="G9" s="267">
        <f>SUMIF($D:$D,"ØP 21-24 REKALK",G:G)</f>
        <v>32968</v>
      </c>
      <c r="H9" s="267">
        <f>SUMIF($D:$D,"ØP 21-24 REKALK",H:H)</f>
        <v>31483</v>
      </c>
      <c r="I9" s="267">
        <f>SUMIF($D:$D,"ØP 21-24 REKALK",I:I)</f>
        <v>37803</v>
      </c>
    </row>
    <row r="10" spans="1:12" s="38" customFormat="1" x14ac:dyDescent="0.25">
      <c r="A10" s="319" t="s">
        <v>5</v>
      </c>
      <c r="B10" s="320"/>
      <c r="C10" s="320"/>
      <c r="D10" s="321"/>
      <c r="E10" s="321"/>
      <c r="F10" s="322">
        <f>F6+F8+F9</f>
        <v>-247472</v>
      </c>
      <c r="G10" s="322">
        <f>G6+G8+G9</f>
        <v>-237398</v>
      </c>
      <c r="H10" s="322">
        <f>H6+H8+H9</f>
        <v>-234182.41666666669</v>
      </c>
      <c r="I10" s="322">
        <f>I6+I8+I9</f>
        <v>-238319</v>
      </c>
    </row>
    <row r="11" spans="1:12" s="28" customFormat="1" x14ac:dyDescent="0.25">
      <c r="A11" s="38"/>
      <c r="B11" s="295"/>
      <c r="C11" s="295"/>
      <c r="D11" s="93"/>
      <c r="E11" s="93"/>
      <c r="F11" s="2"/>
      <c r="G11" s="2"/>
      <c r="H11" s="2"/>
      <c r="I11" s="2"/>
      <c r="J11" s="38"/>
      <c r="K11" s="38"/>
      <c r="L11" s="38"/>
    </row>
    <row r="12" spans="1:12" s="28" customFormat="1" x14ac:dyDescent="0.25">
      <c r="A12" s="312" t="s">
        <v>638</v>
      </c>
      <c r="B12" s="295"/>
      <c r="C12" s="295"/>
      <c r="D12" s="93"/>
      <c r="E12" s="93"/>
      <c r="F12" s="2">
        <f>SUMIFS(F:F,$D:$D,"NYTT",$E:$E,"INNSP")</f>
        <v>0</v>
      </c>
      <c r="G12" s="2">
        <f>SUMIFS(G:G,$D:$D,"NYTT",$E:$E,"INNSP")</f>
        <v>0</v>
      </c>
      <c r="H12" s="2">
        <f>SUMIFS(H:H,$D:$D,"NYTT",$E:$E,"INNSP")</f>
        <v>0</v>
      </c>
      <c r="I12" s="2">
        <f>SUMIFS(I:I,$D:$D,"NYTT",$E:$E,"INNSP")</f>
        <v>0</v>
      </c>
      <c r="J12" s="38"/>
      <c r="K12" s="38"/>
      <c r="L12" s="38"/>
    </row>
    <row r="13" spans="1:12" s="38" customFormat="1" x14ac:dyDescent="0.25">
      <c r="A13" s="316" t="s">
        <v>639</v>
      </c>
      <c r="B13" s="317"/>
      <c r="C13" s="317"/>
      <c r="D13" s="318"/>
      <c r="E13" s="318"/>
      <c r="F13" s="267">
        <f>SUMIFS(F:F,$D:$D,"NYTT",$E:$E,"MÅ")</f>
        <v>247472</v>
      </c>
      <c r="G13" s="267">
        <f>SUMIFS(G:G,$D:$D,"NYTT",$E:$E,"MÅ")</f>
        <v>237398</v>
      </c>
      <c r="H13" s="267">
        <f>SUMIFS(H:H,$D:$D,"NYTT",$E:$E,"MÅ")</f>
        <v>234182</v>
      </c>
      <c r="I13" s="267">
        <f>SUMIFS(I:I,$D:$D,"NYTT",$E:$E,"MÅ")</f>
        <v>238319</v>
      </c>
    </row>
    <row r="14" spans="1:12" s="38" customFormat="1" x14ac:dyDescent="0.25">
      <c r="A14" s="307" t="s">
        <v>8</v>
      </c>
      <c r="B14" s="309"/>
      <c r="C14" s="309"/>
      <c r="D14" s="323"/>
      <c r="E14" s="323"/>
      <c r="F14" s="324">
        <f>F6+F8+F9+F12+F13</f>
        <v>0</v>
      </c>
      <c r="G14" s="324">
        <f>G6+G8+G9+G12+G13</f>
        <v>0</v>
      </c>
      <c r="H14" s="324">
        <f>H6+H8+H9+H12+H13</f>
        <v>-0.41666666668606922</v>
      </c>
      <c r="I14" s="324">
        <f>I6+I8+I9+I12+I13</f>
        <v>0</v>
      </c>
    </row>
    <row r="15" spans="1:12" s="38" customFormat="1" x14ac:dyDescent="0.25">
      <c r="A15" s="312"/>
      <c r="B15" s="302"/>
      <c r="C15" s="302"/>
      <c r="D15" s="304"/>
      <c r="E15" s="304"/>
      <c r="F15" s="491"/>
      <c r="G15" s="313"/>
      <c r="H15" s="313"/>
      <c r="I15" s="313"/>
    </row>
    <row r="16" spans="1:12" s="38" customFormat="1" x14ac:dyDescent="0.25">
      <c r="A16" s="314" t="s">
        <v>640</v>
      </c>
      <c r="B16" s="207"/>
      <c r="C16" s="207"/>
      <c r="D16" s="315"/>
      <c r="E16" s="315"/>
      <c r="F16" s="39">
        <f>SUMIF($D:$D,"NYTT",F:F)-F17-F13-F12</f>
        <v>0</v>
      </c>
      <c r="G16" s="39">
        <f>SUMIF($D:$D,"NYTT",G:G)-G17-G13-G12</f>
        <v>0</v>
      </c>
      <c r="H16" s="39">
        <f>SUMIF($D:$D,"NYTT",H:H)-H17-H13-H12</f>
        <v>0</v>
      </c>
      <c r="I16" s="39">
        <f>SUMIF($D:$D,"NYTT",I:I)-I17-I13-I12</f>
        <v>0</v>
      </c>
    </row>
    <row r="17" spans="1:13" s="38" customFormat="1" x14ac:dyDescent="0.25">
      <c r="A17" s="325" t="s">
        <v>641</v>
      </c>
      <c r="B17" s="207"/>
      <c r="C17" s="326"/>
      <c r="D17" s="315"/>
      <c r="E17" s="315"/>
      <c r="F17" s="327">
        <f>SUMIFS(F:F,$D:$D,"NYTT",$E:$E,"IKKE PRI")</f>
        <v>0</v>
      </c>
      <c r="G17" s="327">
        <f>SUMIFS(G:G,$D:$D,"NYTT",$E:$E,"IKKE PRI")</f>
        <v>0</v>
      </c>
      <c r="H17" s="327">
        <f>SUMIFS(H:H,$D:$D,"NYTT",$E:$E,"IKKE PRI")</f>
        <v>0</v>
      </c>
      <c r="I17" s="327">
        <f>SUMIFS(I:I,$D:$D,"NYTT",$E:$E,"IKKE PRI")</f>
        <v>0</v>
      </c>
    </row>
    <row r="18" spans="1:13" s="38" customFormat="1" x14ac:dyDescent="0.25">
      <c r="A18" s="325"/>
      <c r="B18" s="207"/>
      <c r="C18" s="326"/>
      <c r="D18" s="315"/>
      <c r="E18" s="315"/>
      <c r="F18" s="292">
        <f>(F8+F9+F13+F16+F17+F12)-SUMIF($B:$B,"X",F:F)</f>
        <v>0</v>
      </c>
      <c r="G18" s="292">
        <f>(G8+G9+G13+G16+G17+G12)-SUMIF($B:$B,"X",G:G)</f>
        <v>0</v>
      </c>
      <c r="H18" s="292">
        <f>(H8+H9+H13+H16+H17+H12)-SUMIF($B:$B,"X",H:H)</f>
        <v>0</v>
      </c>
      <c r="I18" s="292">
        <f>(I8+I9+I13+I16+I17+I12)-SUMIF($B:$B,"X",I:I)</f>
        <v>0</v>
      </c>
    </row>
    <row r="19" spans="1:13" s="38" customFormat="1" x14ac:dyDescent="0.25">
      <c r="A19" s="328"/>
      <c r="B19" s="329"/>
      <c r="C19" s="298"/>
      <c r="D19" s="330"/>
      <c r="E19" s="330"/>
      <c r="F19" s="331"/>
      <c r="G19" s="331"/>
      <c r="H19" s="331"/>
      <c r="I19" s="331"/>
    </row>
    <row r="20" spans="1:13" s="38" customFormat="1" x14ac:dyDescent="0.25">
      <c r="A20" s="332"/>
      <c r="B20" s="295"/>
      <c r="C20" s="333"/>
      <c r="D20" s="93"/>
      <c r="E20" s="93"/>
      <c r="F20" s="334">
        <f>F8+F9+F13+F12</f>
        <v>262977</v>
      </c>
      <c r="G20" s="334">
        <f>G8+G9+G13+G12</f>
        <v>261100</v>
      </c>
      <c r="H20" s="334">
        <f>H8+H9+H13+H12</f>
        <v>270556.58333333331</v>
      </c>
      <c r="I20" s="334">
        <f>I8+I9+I13+I12</f>
        <v>305682</v>
      </c>
    </row>
    <row r="21" spans="1:13" s="38" customFormat="1" x14ac:dyDescent="0.25">
      <c r="A21" s="332"/>
      <c r="B21" s="295"/>
      <c r="C21" s="333"/>
      <c r="D21" s="93"/>
      <c r="E21" s="93"/>
      <c r="F21" s="334"/>
      <c r="G21" s="334"/>
      <c r="H21" s="334"/>
      <c r="I21" s="334"/>
    </row>
    <row r="22" spans="1:13" s="38" customFormat="1" hidden="1" x14ac:dyDescent="0.25">
      <c r="A22" s="192" t="s">
        <v>12</v>
      </c>
      <c r="B22" s="335"/>
      <c r="C22" s="236"/>
      <c r="D22" s="237"/>
      <c r="E22" s="237"/>
      <c r="F22" s="193"/>
      <c r="G22" s="193"/>
      <c r="H22" s="193"/>
      <c r="I22" s="193"/>
      <c r="J22" s="28"/>
      <c r="K22" s="28"/>
      <c r="L22" s="28"/>
    </row>
    <row r="23" spans="1:13" s="125" customFormat="1" hidden="1" x14ac:dyDescent="0.25">
      <c r="A23" s="194" t="s">
        <v>13</v>
      </c>
      <c r="B23" s="238"/>
      <c r="C23" s="195"/>
      <c r="D23" s="239"/>
      <c r="E23" s="239"/>
      <c r="F23" s="196" t="e">
        <f>SUMIF(#REF!,"FOND",F:F)</f>
        <v>#REF!</v>
      </c>
      <c r="G23" s="196" t="e">
        <f>SUMIF(#REF!,"FOND",G:G)</f>
        <v>#REF!</v>
      </c>
      <c r="H23" s="196" t="e">
        <f>SUMIF(#REF!,"FOND",H:H)</f>
        <v>#REF!</v>
      </c>
      <c r="I23" s="196" t="e">
        <f>SUMIF(#REF!,"FOND",I:I)</f>
        <v>#REF!</v>
      </c>
      <c r="J23" s="240"/>
      <c r="K23" s="240"/>
      <c r="L23" s="240"/>
      <c r="M23" s="38"/>
    </row>
    <row r="24" spans="1:13" s="38" customFormat="1" hidden="1" x14ac:dyDescent="0.25">
      <c r="A24" s="197" t="s">
        <v>14</v>
      </c>
      <c r="B24" s="335"/>
      <c r="C24" s="236"/>
      <c r="D24" s="237"/>
      <c r="E24" s="237"/>
      <c r="F24" s="198" t="e">
        <f>SUBTOTAL(9,F22:F23)</f>
        <v>#REF!</v>
      </c>
      <c r="G24" s="198" t="e">
        <f>SUBTOTAL(9,G22:G23)</f>
        <v>#REF!</v>
      </c>
      <c r="H24" s="198" t="e">
        <f>SUBTOTAL(9,H22:H23)</f>
        <v>#REF!</v>
      </c>
      <c r="I24" s="198" t="e">
        <f>SUBTOTAL(9,I22:I23)</f>
        <v>#REF!</v>
      </c>
      <c r="J24" s="28"/>
      <c r="K24" s="28"/>
      <c r="L24" s="28"/>
    </row>
    <row r="25" spans="1:13" s="38" customFormat="1" x14ac:dyDescent="0.25">
      <c r="A25" s="28"/>
      <c r="B25" s="11"/>
      <c r="C25" s="11"/>
      <c r="D25" s="242"/>
      <c r="E25" s="242"/>
      <c r="F25" s="336">
        <f>(F8+F9+F13+F16+F17+F12)-SUMIF($B:$B,"X",F:F)</f>
        <v>0</v>
      </c>
      <c r="G25" s="336">
        <f>(G8+G9+G13+G16+G17+G12)-SUMIF($B:$B,"X",G:G)</f>
        <v>0</v>
      </c>
      <c r="H25" s="336">
        <f>(H8+H9+H13+H16+H17+H12)-SUMIF($B:$B,"X",H:H)</f>
        <v>0</v>
      </c>
      <c r="I25" s="336">
        <f>(I8+I9+I13+I16+I17+I12)-SUMIF($B:$B,"X",I:I)</f>
        <v>0</v>
      </c>
      <c r="J25" s="28"/>
      <c r="K25" s="28"/>
      <c r="L25" s="28"/>
    </row>
    <row r="26" spans="1:13" s="38" customFormat="1" x14ac:dyDescent="0.25">
      <c r="A26" s="4" t="s">
        <v>15</v>
      </c>
      <c r="B26" s="5" t="s">
        <v>16</v>
      </c>
      <c r="C26" s="3" t="s">
        <v>17</v>
      </c>
      <c r="D26" s="8" t="s">
        <v>18</v>
      </c>
      <c r="E26" s="46" t="s">
        <v>19</v>
      </c>
      <c r="F26" s="4">
        <v>2022</v>
      </c>
      <c r="G26" s="4">
        <v>2023</v>
      </c>
      <c r="H26" s="4">
        <v>2024</v>
      </c>
      <c r="I26" s="4">
        <v>2025</v>
      </c>
      <c r="J26" s="4" t="s">
        <v>642</v>
      </c>
      <c r="K26" s="28" t="s">
        <v>643</v>
      </c>
      <c r="L26" s="28" t="s">
        <v>644</v>
      </c>
    </row>
    <row r="27" spans="1:13" s="38" customFormat="1" x14ac:dyDescent="0.25">
      <c r="A27" s="234"/>
      <c r="B27" s="11"/>
      <c r="C27" s="17"/>
      <c r="D27" s="51"/>
      <c r="E27" s="86" t="s">
        <v>645</v>
      </c>
      <c r="F27" s="235">
        <v>-2691000</v>
      </c>
      <c r="G27" s="235">
        <v>-2721000</v>
      </c>
      <c r="H27" s="235">
        <v>-2752000</v>
      </c>
      <c r="I27" s="235"/>
      <c r="J27" s="39"/>
      <c r="K27" s="28"/>
      <c r="L27" s="28"/>
    </row>
    <row r="28" spans="1:13" s="38" customFormat="1" x14ac:dyDescent="0.25">
      <c r="A28" s="15"/>
      <c r="B28" s="44"/>
      <c r="C28" s="16" t="s">
        <v>21</v>
      </c>
      <c r="D28" s="41"/>
      <c r="E28" s="87" t="s">
        <v>646</v>
      </c>
      <c r="F28" s="85">
        <v>-1958000</v>
      </c>
      <c r="G28" s="85">
        <v>-1989000</v>
      </c>
      <c r="H28" s="85">
        <v>-2013000</v>
      </c>
      <c r="I28" s="85"/>
      <c r="J28" s="39"/>
      <c r="K28" s="337"/>
      <c r="L28" s="337"/>
    </row>
    <row r="29" spans="1:13" s="38" customFormat="1" x14ac:dyDescent="0.25">
      <c r="A29" s="78" t="s">
        <v>22</v>
      </c>
      <c r="B29" s="338" t="str">
        <f t="shared" ref="B29:B60" si="0">IF(L29,K29&amp;L29,"")</f>
        <v>I1</v>
      </c>
      <c r="C29" s="529" t="s">
        <v>23</v>
      </c>
      <c r="D29" s="509" t="s">
        <v>22</v>
      </c>
      <c r="E29" s="509" t="s">
        <v>24</v>
      </c>
      <c r="F29" s="530">
        <v>-2801000</v>
      </c>
      <c r="G29" s="530">
        <v>-2833000</v>
      </c>
      <c r="H29" s="530">
        <v>-2864000</v>
      </c>
      <c r="I29" s="530">
        <v>-2895000</v>
      </c>
      <c r="J29" s="292" t="s">
        <v>647</v>
      </c>
      <c r="K29" s="28" t="s">
        <v>648</v>
      </c>
      <c r="L29" s="28">
        <f t="shared" ref="L29:L61" si="1">L28+1</f>
        <v>1</v>
      </c>
    </row>
    <row r="30" spans="1:13" s="38" customFormat="1" x14ac:dyDescent="0.25">
      <c r="A30" s="78" t="s">
        <v>22</v>
      </c>
      <c r="B30" s="338" t="str">
        <f t="shared" si="0"/>
        <v>I2</v>
      </c>
      <c r="C30" s="529" t="s">
        <v>29</v>
      </c>
      <c r="D30" s="509" t="s">
        <v>22</v>
      </c>
      <c r="E30" s="509" t="s">
        <v>24</v>
      </c>
      <c r="F30" s="530">
        <v>-2060000</v>
      </c>
      <c r="G30" s="530">
        <v>-2101000</v>
      </c>
      <c r="H30" s="530">
        <v>-2127000</v>
      </c>
      <c r="I30" s="530">
        <v>-2147000</v>
      </c>
      <c r="J30" s="292" t="s">
        <v>647</v>
      </c>
      <c r="K30" s="28" t="s">
        <v>648</v>
      </c>
      <c r="L30" s="28">
        <f t="shared" si="1"/>
        <v>2</v>
      </c>
    </row>
    <row r="31" spans="1:13" s="38" customFormat="1" x14ac:dyDescent="0.25">
      <c r="A31" s="78" t="s">
        <v>22</v>
      </c>
      <c r="B31" s="338" t="str">
        <f t="shared" si="0"/>
        <v>I3</v>
      </c>
      <c r="C31" s="98" t="s">
        <v>32</v>
      </c>
      <c r="D31" s="79" t="s">
        <v>22</v>
      </c>
      <c r="E31" s="79" t="s">
        <v>24</v>
      </c>
      <c r="F31" s="90">
        <v>-63000</v>
      </c>
      <c r="G31" s="90">
        <v>-64000</v>
      </c>
      <c r="H31" s="90">
        <v>-64000</v>
      </c>
      <c r="I31" s="90">
        <v>-64000</v>
      </c>
      <c r="J31" s="292" t="s">
        <v>649</v>
      </c>
      <c r="K31" s="28" t="s">
        <v>648</v>
      </c>
      <c r="L31" s="28">
        <f t="shared" si="1"/>
        <v>3</v>
      </c>
    </row>
    <row r="32" spans="1:13" s="38" customFormat="1" x14ac:dyDescent="0.25">
      <c r="A32" s="78" t="s">
        <v>22</v>
      </c>
      <c r="B32" s="338" t="str">
        <f t="shared" si="0"/>
        <v>I4</v>
      </c>
      <c r="C32" s="98" t="s">
        <v>34</v>
      </c>
      <c r="D32" s="79" t="s">
        <v>22</v>
      </c>
      <c r="E32" s="79" t="s">
        <v>24</v>
      </c>
      <c r="F32" s="90">
        <v>-30000</v>
      </c>
      <c r="G32" s="90">
        <v>-15000</v>
      </c>
      <c r="H32" s="90">
        <v>-15000</v>
      </c>
      <c r="I32" s="90">
        <v>-15000</v>
      </c>
      <c r="J32" s="292" t="s">
        <v>650</v>
      </c>
      <c r="K32" s="28" t="s">
        <v>648</v>
      </c>
      <c r="L32" s="28">
        <f t="shared" si="1"/>
        <v>4</v>
      </c>
    </row>
    <row r="33" spans="1:12" s="38" customFormat="1" x14ac:dyDescent="0.25">
      <c r="A33" s="78" t="s">
        <v>22</v>
      </c>
      <c r="B33" s="338" t="str">
        <f t="shared" si="0"/>
        <v>I5</v>
      </c>
      <c r="C33" s="98" t="s">
        <v>36</v>
      </c>
      <c r="D33" s="79" t="s">
        <v>22</v>
      </c>
      <c r="E33" s="79" t="s">
        <v>24</v>
      </c>
      <c r="F33" s="90">
        <v>-10300</v>
      </c>
      <c r="G33" s="90">
        <v>-10300</v>
      </c>
      <c r="H33" s="90">
        <v>-10300</v>
      </c>
      <c r="I33" s="90">
        <v>-10300</v>
      </c>
      <c r="J33" s="292" t="s">
        <v>651</v>
      </c>
      <c r="K33" s="28" t="s">
        <v>648</v>
      </c>
      <c r="L33" s="28">
        <f t="shared" si="1"/>
        <v>5</v>
      </c>
    </row>
    <row r="34" spans="1:12" s="38" customFormat="1" x14ac:dyDescent="0.25">
      <c r="A34" s="78" t="s">
        <v>22</v>
      </c>
      <c r="B34" s="338" t="str">
        <f t="shared" si="0"/>
        <v>I6</v>
      </c>
      <c r="C34" s="98" t="s">
        <v>38</v>
      </c>
      <c r="D34" s="79" t="s">
        <v>22</v>
      </c>
      <c r="E34" s="79" t="s">
        <v>24</v>
      </c>
      <c r="F34" s="90">
        <v>10300</v>
      </c>
      <c r="G34" s="90">
        <v>10300</v>
      </c>
      <c r="H34" s="90">
        <v>10300</v>
      </c>
      <c r="I34" s="90">
        <v>10300</v>
      </c>
      <c r="J34" s="292" t="s">
        <v>651</v>
      </c>
      <c r="K34" s="28" t="s">
        <v>648</v>
      </c>
      <c r="L34" s="28">
        <f t="shared" si="1"/>
        <v>6</v>
      </c>
    </row>
    <row r="35" spans="1:12" s="38" customFormat="1" x14ac:dyDescent="0.25">
      <c r="A35" s="78" t="s">
        <v>22</v>
      </c>
      <c r="B35" s="338" t="str">
        <f t="shared" si="0"/>
        <v>I7</v>
      </c>
      <c r="C35" s="98" t="s">
        <v>39</v>
      </c>
      <c r="D35" s="79" t="s">
        <v>22</v>
      </c>
      <c r="E35" s="79" t="s">
        <v>24</v>
      </c>
      <c r="F35" s="90">
        <v>-9900</v>
      </c>
      <c r="G35" s="90">
        <v>-10100</v>
      </c>
      <c r="H35" s="90">
        <v>-9700</v>
      </c>
      <c r="I35" s="90">
        <v>-9200</v>
      </c>
      <c r="J35" s="292" t="s">
        <v>652</v>
      </c>
      <c r="K35" s="28" t="s">
        <v>648</v>
      </c>
      <c r="L35" s="28">
        <f t="shared" si="1"/>
        <v>7</v>
      </c>
    </row>
    <row r="36" spans="1:12" s="38" customFormat="1" x14ac:dyDescent="0.25">
      <c r="A36" s="78" t="s">
        <v>22</v>
      </c>
      <c r="B36" s="338" t="str">
        <f t="shared" si="0"/>
        <v>I8</v>
      </c>
      <c r="C36" s="529" t="s">
        <v>41</v>
      </c>
      <c r="D36" s="509" t="s">
        <v>22</v>
      </c>
      <c r="E36" s="509" t="s">
        <v>24</v>
      </c>
      <c r="F36" s="530">
        <v>-41594</v>
      </c>
      <c r="G36" s="530">
        <v>-42947</v>
      </c>
      <c r="H36" s="530">
        <v>-43666</v>
      </c>
      <c r="I36" s="530">
        <v>-45467</v>
      </c>
      <c r="J36" s="292" t="s">
        <v>653</v>
      </c>
      <c r="K36" s="28" t="s">
        <v>648</v>
      </c>
      <c r="L36" s="28">
        <f t="shared" si="1"/>
        <v>8</v>
      </c>
    </row>
    <row r="37" spans="1:12" s="38" customFormat="1" x14ac:dyDescent="0.25">
      <c r="A37" s="78" t="s">
        <v>22</v>
      </c>
      <c r="B37" s="338" t="str">
        <f t="shared" si="0"/>
        <v>I9</v>
      </c>
      <c r="C37" s="283" t="s">
        <v>43</v>
      </c>
      <c r="D37" s="284" t="s">
        <v>22</v>
      </c>
      <c r="E37" s="284" t="s">
        <v>24</v>
      </c>
      <c r="F37" s="285">
        <v>101000</v>
      </c>
      <c r="G37" s="285">
        <v>123000</v>
      </c>
      <c r="H37" s="285">
        <v>132000</v>
      </c>
      <c r="I37" s="285">
        <v>139000</v>
      </c>
      <c r="J37" s="292" t="s">
        <v>652</v>
      </c>
      <c r="K37" s="28" t="s">
        <v>648</v>
      </c>
      <c r="L37" s="28">
        <f t="shared" si="1"/>
        <v>9</v>
      </c>
    </row>
    <row r="38" spans="1:12" s="38" customFormat="1" x14ac:dyDescent="0.25">
      <c r="A38" s="78" t="s">
        <v>22</v>
      </c>
      <c r="B38" s="338" t="str">
        <f t="shared" si="0"/>
        <v>I10</v>
      </c>
      <c r="C38" s="283" t="s">
        <v>47</v>
      </c>
      <c r="D38" s="284" t="s">
        <v>22</v>
      </c>
      <c r="E38" s="284" t="s">
        <v>24</v>
      </c>
      <c r="F38" s="285">
        <v>291000</v>
      </c>
      <c r="G38" s="285">
        <v>308000</v>
      </c>
      <c r="H38" s="285">
        <v>321000</v>
      </c>
      <c r="I38" s="285">
        <v>336000</v>
      </c>
      <c r="J38" s="292" t="s">
        <v>652</v>
      </c>
      <c r="K38" s="28" t="s">
        <v>648</v>
      </c>
      <c r="L38" s="28">
        <f t="shared" si="1"/>
        <v>10</v>
      </c>
    </row>
    <row r="39" spans="1:12" s="38" customFormat="1" x14ac:dyDescent="0.25">
      <c r="A39" s="78" t="s">
        <v>22</v>
      </c>
      <c r="B39" s="338" t="str">
        <f t="shared" si="0"/>
        <v>I11</v>
      </c>
      <c r="C39" s="98" t="s">
        <v>50</v>
      </c>
      <c r="D39" s="79" t="s">
        <v>22</v>
      </c>
      <c r="E39" s="79" t="s">
        <v>24</v>
      </c>
      <c r="F39" s="90">
        <v>-17800</v>
      </c>
      <c r="G39" s="90">
        <v>-23300</v>
      </c>
      <c r="H39" s="90">
        <v>-25600</v>
      </c>
      <c r="I39" s="90">
        <v>-26800</v>
      </c>
      <c r="J39" s="292" t="s">
        <v>652</v>
      </c>
      <c r="K39" s="28" t="s">
        <v>648</v>
      </c>
      <c r="L39" s="28">
        <f t="shared" si="1"/>
        <v>11</v>
      </c>
    </row>
    <row r="40" spans="1:12" s="38" customFormat="1" x14ac:dyDescent="0.25">
      <c r="A40" s="78" t="s">
        <v>22</v>
      </c>
      <c r="B40" s="338" t="str">
        <f t="shared" si="0"/>
        <v>I12</v>
      </c>
      <c r="C40" s="98" t="s">
        <v>51</v>
      </c>
      <c r="D40" s="79" t="s">
        <v>22</v>
      </c>
      <c r="E40" s="79" t="s">
        <v>24</v>
      </c>
      <c r="F40" s="90">
        <v>-36400</v>
      </c>
      <c r="G40" s="90">
        <v>-48800</v>
      </c>
      <c r="H40" s="90">
        <v>-56000</v>
      </c>
      <c r="I40" s="90">
        <v>-61000</v>
      </c>
      <c r="J40" s="292" t="s">
        <v>652</v>
      </c>
      <c r="K40" s="28" t="s">
        <v>648</v>
      </c>
      <c r="L40" s="28">
        <f t="shared" si="1"/>
        <v>12</v>
      </c>
    </row>
    <row r="41" spans="1:12" s="38" customFormat="1" x14ac:dyDescent="0.25">
      <c r="A41" s="78" t="s">
        <v>22</v>
      </c>
      <c r="B41" s="338" t="str">
        <f t="shared" si="0"/>
        <v>I13</v>
      </c>
      <c r="C41" s="98" t="s">
        <v>52</v>
      </c>
      <c r="D41" s="79" t="s">
        <v>22</v>
      </c>
      <c r="E41" s="79" t="s">
        <v>24</v>
      </c>
      <c r="F41" s="90">
        <v>36400</v>
      </c>
      <c r="G41" s="90">
        <v>48800</v>
      </c>
      <c r="H41" s="90">
        <v>56000</v>
      </c>
      <c r="I41" s="90">
        <v>61000</v>
      </c>
      <c r="J41" s="292" t="s">
        <v>652</v>
      </c>
      <c r="K41" s="28" t="s">
        <v>648</v>
      </c>
      <c r="L41" s="28">
        <f t="shared" si="1"/>
        <v>13</v>
      </c>
    </row>
    <row r="42" spans="1:12" s="38" customFormat="1" x14ac:dyDescent="0.25">
      <c r="A42" s="78" t="s">
        <v>22</v>
      </c>
      <c r="B42" s="338" t="str">
        <f t="shared" si="0"/>
        <v>I14</v>
      </c>
      <c r="C42" s="98" t="s">
        <v>53</v>
      </c>
      <c r="D42" s="79" t="s">
        <v>22</v>
      </c>
      <c r="E42" s="79" t="s">
        <v>24</v>
      </c>
      <c r="F42" s="90">
        <v>-10500</v>
      </c>
      <c r="G42" s="90">
        <v>-11500</v>
      </c>
      <c r="H42" s="90">
        <v>-11500</v>
      </c>
      <c r="I42" s="90">
        <v>-11000</v>
      </c>
      <c r="J42" s="292" t="s">
        <v>652</v>
      </c>
      <c r="K42" s="28" t="s">
        <v>648</v>
      </c>
      <c r="L42" s="28">
        <f t="shared" si="1"/>
        <v>14</v>
      </c>
    </row>
    <row r="43" spans="1:12" s="38" customFormat="1" x14ac:dyDescent="0.25">
      <c r="A43" s="78" t="s">
        <v>22</v>
      </c>
      <c r="B43" s="338" t="str">
        <f t="shared" si="0"/>
        <v>I15</v>
      </c>
      <c r="C43" s="98" t="s">
        <v>54</v>
      </c>
      <c r="D43" s="79" t="s">
        <v>22</v>
      </c>
      <c r="E43" s="79" t="s">
        <v>24</v>
      </c>
      <c r="F43" s="90">
        <v>-127000</v>
      </c>
      <c r="G43" s="90">
        <v>-129000</v>
      </c>
      <c r="H43" s="90">
        <v>-131000</v>
      </c>
      <c r="I43" s="90">
        <v>-135000</v>
      </c>
      <c r="J43" s="292" t="s">
        <v>654</v>
      </c>
      <c r="K43" s="28" t="s">
        <v>648</v>
      </c>
      <c r="L43" s="28">
        <f t="shared" si="1"/>
        <v>15</v>
      </c>
    </row>
    <row r="44" spans="1:12" s="38" customFormat="1" x14ac:dyDescent="0.25">
      <c r="A44" s="78" t="s">
        <v>22</v>
      </c>
      <c r="B44" s="338" t="str">
        <f t="shared" si="0"/>
        <v>I16</v>
      </c>
      <c r="C44" s="98" t="s">
        <v>55</v>
      </c>
      <c r="D44" s="79" t="s">
        <v>22</v>
      </c>
      <c r="E44" s="79" t="s">
        <v>24</v>
      </c>
      <c r="F44" s="90">
        <v>-1250</v>
      </c>
      <c r="G44" s="90">
        <v>-1339</v>
      </c>
      <c r="H44" s="90">
        <v>-1607</v>
      </c>
      <c r="I44" s="90">
        <v>-1607</v>
      </c>
      <c r="J44" s="292" t="s">
        <v>654</v>
      </c>
      <c r="K44" s="28" t="s">
        <v>648</v>
      </c>
      <c r="L44" s="28">
        <f t="shared" si="1"/>
        <v>16</v>
      </c>
    </row>
    <row r="45" spans="1:12" s="38" customFormat="1" x14ac:dyDescent="0.25">
      <c r="A45" s="78" t="s">
        <v>22</v>
      </c>
      <c r="B45" s="338" t="str">
        <f t="shared" si="0"/>
        <v>I17</v>
      </c>
      <c r="C45" s="98" t="s">
        <v>57</v>
      </c>
      <c r="D45" s="79" t="s">
        <v>22</v>
      </c>
      <c r="E45" s="79" t="s">
        <v>24</v>
      </c>
      <c r="F45" s="90">
        <v>-2000</v>
      </c>
      <c r="G45" s="90">
        <v>-2000</v>
      </c>
      <c r="H45" s="90">
        <v>-2000</v>
      </c>
      <c r="I45" s="90">
        <v>-2000</v>
      </c>
      <c r="J45" s="292" t="s">
        <v>655</v>
      </c>
      <c r="K45" s="28" t="s">
        <v>648</v>
      </c>
      <c r="L45" s="28">
        <f t="shared" si="1"/>
        <v>17</v>
      </c>
    </row>
    <row r="46" spans="1:12" s="38" customFormat="1" x14ac:dyDescent="0.25">
      <c r="A46" s="78" t="s">
        <v>22</v>
      </c>
      <c r="B46" s="338" t="str">
        <f t="shared" si="0"/>
        <v>I18</v>
      </c>
      <c r="C46" s="98" t="s">
        <v>59</v>
      </c>
      <c r="D46" s="79" t="s">
        <v>22</v>
      </c>
      <c r="E46" s="79" t="s">
        <v>24</v>
      </c>
      <c r="F46" s="90">
        <v>-3600</v>
      </c>
      <c r="G46" s="90">
        <v>-3900</v>
      </c>
      <c r="H46" s="90">
        <v>-3900</v>
      </c>
      <c r="I46" s="90">
        <v>-3800</v>
      </c>
      <c r="J46" s="292" t="s">
        <v>652</v>
      </c>
      <c r="K46" s="28" t="s">
        <v>648</v>
      </c>
      <c r="L46" s="28">
        <f t="shared" si="1"/>
        <v>18</v>
      </c>
    </row>
    <row r="47" spans="1:12" s="38" customFormat="1" x14ac:dyDescent="0.25">
      <c r="A47" s="78" t="s">
        <v>22</v>
      </c>
      <c r="B47" s="338" t="str">
        <f t="shared" si="0"/>
        <v>I19</v>
      </c>
      <c r="C47" s="98" t="s">
        <v>60</v>
      </c>
      <c r="D47" s="79" t="s">
        <v>22</v>
      </c>
      <c r="E47" s="79" t="s">
        <v>24</v>
      </c>
      <c r="F47" s="90">
        <v>-3000</v>
      </c>
      <c r="G47" s="90">
        <v>-4000</v>
      </c>
      <c r="H47" s="90">
        <v>-4000</v>
      </c>
      <c r="I47" s="90">
        <v>-4000</v>
      </c>
      <c r="J47" s="292" t="s">
        <v>654</v>
      </c>
      <c r="K47" s="28" t="s">
        <v>648</v>
      </c>
      <c r="L47" s="28">
        <f t="shared" si="1"/>
        <v>19</v>
      </c>
    </row>
    <row r="48" spans="1:12" s="38" customFormat="1" x14ac:dyDescent="0.25">
      <c r="A48" s="78" t="s">
        <v>22</v>
      </c>
      <c r="B48" s="338" t="str">
        <f t="shared" si="0"/>
        <v>I20</v>
      </c>
      <c r="C48" s="98" t="s">
        <v>62</v>
      </c>
      <c r="D48" s="79" t="s">
        <v>22</v>
      </c>
      <c r="E48" s="79" t="s">
        <v>24</v>
      </c>
      <c r="F48" s="90">
        <v>-500</v>
      </c>
      <c r="G48" s="90">
        <v>-500</v>
      </c>
      <c r="H48" s="90">
        <v>-500</v>
      </c>
      <c r="I48" s="90">
        <v>-500</v>
      </c>
      <c r="J48" s="292" t="s">
        <v>656</v>
      </c>
      <c r="K48" s="28" t="s">
        <v>648</v>
      </c>
      <c r="L48" s="28">
        <f t="shared" si="1"/>
        <v>20</v>
      </c>
    </row>
    <row r="49" spans="1:13" s="38" customFormat="1" x14ac:dyDescent="0.25">
      <c r="A49" s="78" t="s">
        <v>22</v>
      </c>
      <c r="B49" s="338" t="str">
        <f t="shared" si="0"/>
        <v>I21</v>
      </c>
      <c r="C49" s="283" t="s">
        <v>64</v>
      </c>
      <c r="D49" s="284" t="s">
        <v>22</v>
      </c>
      <c r="E49" s="284" t="s">
        <v>24</v>
      </c>
      <c r="F49" s="285">
        <f>80561-22072</f>
        <v>58489</v>
      </c>
      <c r="G49" s="285">
        <f>87919-16072-1000</f>
        <v>70847</v>
      </c>
      <c r="H49" s="285">
        <f>123095-16093-2000</f>
        <v>105002</v>
      </c>
      <c r="I49" s="285">
        <f>129085-19140-3000</f>
        <v>106945</v>
      </c>
      <c r="J49" s="252" t="s">
        <v>657</v>
      </c>
      <c r="K49" s="28" t="s">
        <v>648</v>
      </c>
      <c r="L49" s="28">
        <f t="shared" si="1"/>
        <v>21</v>
      </c>
    </row>
    <row r="50" spans="1:13" s="38" customFormat="1" x14ac:dyDescent="0.25">
      <c r="A50" s="78" t="s">
        <v>22</v>
      </c>
      <c r="B50" s="338" t="str">
        <f t="shared" si="0"/>
        <v>I22</v>
      </c>
      <c r="C50" s="98" t="s">
        <v>68</v>
      </c>
      <c r="D50" s="79" t="s">
        <v>22</v>
      </c>
      <c r="E50" s="79" t="s">
        <v>24</v>
      </c>
      <c r="F50" s="90">
        <v>-27256</v>
      </c>
      <c r="G50" s="90"/>
      <c r="H50" s="90"/>
      <c r="I50" s="90"/>
      <c r="J50" s="252" t="s">
        <v>658</v>
      </c>
      <c r="K50" s="28" t="s">
        <v>648</v>
      </c>
      <c r="L50" s="28">
        <f t="shared" si="1"/>
        <v>22</v>
      </c>
    </row>
    <row r="51" spans="1:13" s="38" customFormat="1" x14ac:dyDescent="0.25">
      <c r="A51" s="45" t="s">
        <v>22</v>
      </c>
      <c r="B51" s="338" t="str">
        <f t="shared" si="0"/>
        <v>I23</v>
      </c>
      <c r="C51" s="98" t="s">
        <v>69</v>
      </c>
      <c r="D51" s="79" t="s">
        <v>22</v>
      </c>
      <c r="E51" s="79" t="s">
        <v>24</v>
      </c>
      <c r="F51" s="90">
        <v>270000</v>
      </c>
      <c r="G51" s="90">
        <v>283000</v>
      </c>
      <c r="H51" s="90">
        <v>296000</v>
      </c>
      <c r="I51" s="90">
        <v>309000</v>
      </c>
      <c r="J51" s="292" t="s">
        <v>659</v>
      </c>
      <c r="K51" s="28" t="s">
        <v>648</v>
      </c>
      <c r="L51" s="28">
        <f t="shared" si="1"/>
        <v>23</v>
      </c>
    </row>
    <row r="52" spans="1:13" s="38" customFormat="1" x14ac:dyDescent="0.25">
      <c r="A52" s="45" t="s">
        <v>22</v>
      </c>
      <c r="B52" s="338" t="str">
        <f t="shared" si="0"/>
        <v>I24</v>
      </c>
      <c r="C52" s="98" t="s">
        <v>71</v>
      </c>
      <c r="D52" s="79" t="s">
        <v>22</v>
      </c>
      <c r="E52" s="79" t="s">
        <v>24</v>
      </c>
      <c r="F52" s="90">
        <v>-270000</v>
      </c>
      <c r="G52" s="90">
        <v>-283000</v>
      </c>
      <c r="H52" s="90">
        <v>-296000</v>
      </c>
      <c r="I52" s="90">
        <v>-309000</v>
      </c>
      <c r="J52" s="292" t="s">
        <v>659</v>
      </c>
      <c r="K52" s="28" t="s">
        <v>648</v>
      </c>
      <c r="L52" s="28">
        <f t="shared" si="1"/>
        <v>24</v>
      </c>
    </row>
    <row r="53" spans="1:13" s="38" customFormat="1" x14ac:dyDescent="0.25">
      <c r="A53" s="45" t="s">
        <v>22</v>
      </c>
      <c r="B53" s="338" t="str">
        <f t="shared" si="0"/>
        <v>I25</v>
      </c>
      <c r="C53" s="98" t="s">
        <v>72</v>
      </c>
      <c r="D53" s="79" t="s">
        <v>22</v>
      </c>
      <c r="E53" s="79" t="s">
        <v>24</v>
      </c>
      <c r="F53" s="90">
        <v>-19941</v>
      </c>
      <c r="G53" s="90">
        <v>-21381</v>
      </c>
      <c r="H53" s="90">
        <v>-21189</v>
      </c>
      <c r="I53" s="90">
        <v>-21619</v>
      </c>
      <c r="J53" s="292" t="s">
        <v>660</v>
      </c>
      <c r="K53" s="28" t="s">
        <v>648</v>
      </c>
      <c r="L53" s="28">
        <f t="shared" si="1"/>
        <v>25</v>
      </c>
    </row>
    <row r="54" spans="1:13" s="38" customFormat="1" x14ac:dyDescent="0.25">
      <c r="A54" s="45" t="s">
        <v>22</v>
      </c>
      <c r="B54" s="338" t="str">
        <f t="shared" si="0"/>
        <v>I26</v>
      </c>
      <c r="C54" s="98" t="s">
        <v>74</v>
      </c>
      <c r="D54" s="79" t="s">
        <v>22</v>
      </c>
      <c r="E54" s="79" t="s">
        <v>24</v>
      </c>
      <c r="F54" s="90">
        <v>-41629</v>
      </c>
      <c r="G54" s="90">
        <v>-46431</v>
      </c>
      <c r="H54" s="90">
        <v>-50107</v>
      </c>
      <c r="I54" s="90">
        <v>-50938</v>
      </c>
      <c r="J54" s="292" t="s">
        <v>660</v>
      </c>
      <c r="K54" s="28" t="s">
        <v>648</v>
      </c>
      <c r="L54" s="28">
        <f t="shared" si="1"/>
        <v>26</v>
      </c>
    </row>
    <row r="55" spans="1:13" s="38" customFormat="1" x14ac:dyDescent="0.25">
      <c r="A55" s="45" t="s">
        <v>22</v>
      </c>
      <c r="B55" s="338" t="str">
        <f t="shared" si="0"/>
        <v>I27</v>
      </c>
      <c r="C55" s="98" t="s">
        <v>75</v>
      </c>
      <c r="D55" s="79" t="s">
        <v>22</v>
      </c>
      <c r="E55" s="79" t="s">
        <v>24</v>
      </c>
      <c r="F55" s="90">
        <v>141</v>
      </c>
      <c r="G55" s="90">
        <v>88</v>
      </c>
      <c r="H55" s="90">
        <v>-153</v>
      </c>
      <c r="I55" s="90">
        <v>-1059</v>
      </c>
      <c r="J55" s="292" t="s">
        <v>660</v>
      </c>
      <c r="K55" s="28" t="s">
        <v>648</v>
      </c>
      <c r="L55" s="28">
        <f t="shared" si="1"/>
        <v>27</v>
      </c>
    </row>
    <row r="56" spans="1:13" s="38" customFormat="1" x14ac:dyDescent="0.25">
      <c r="A56" s="78" t="s">
        <v>22</v>
      </c>
      <c r="B56" s="338" t="str">
        <f t="shared" si="0"/>
        <v>I28</v>
      </c>
      <c r="C56" s="98"/>
      <c r="D56" s="79" t="s">
        <v>22</v>
      </c>
      <c r="E56" s="79" t="s">
        <v>24</v>
      </c>
      <c r="F56" s="90"/>
      <c r="G56" s="90"/>
      <c r="H56" s="90"/>
      <c r="I56" s="90"/>
      <c r="J56" s="292"/>
      <c r="K56" s="28" t="s">
        <v>648</v>
      </c>
      <c r="L56" s="28">
        <f t="shared" si="1"/>
        <v>28</v>
      </c>
    </row>
    <row r="57" spans="1:13" s="38" customFormat="1" x14ac:dyDescent="0.25">
      <c r="A57" s="78" t="s">
        <v>22</v>
      </c>
      <c r="B57" s="338" t="str">
        <f t="shared" si="0"/>
        <v>I29</v>
      </c>
      <c r="C57" s="98"/>
      <c r="D57" s="79" t="s">
        <v>22</v>
      </c>
      <c r="E57" s="79" t="s">
        <v>24</v>
      </c>
      <c r="F57" s="90"/>
      <c r="G57" s="90"/>
      <c r="H57" s="90"/>
      <c r="I57" s="90"/>
      <c r="J57" s="292"/>
      <c r="K57" s="28" t="s">
        <v>648</v>
      </c>
      <c r="L57" s="28">
        <f t="shared" si="1"/>
        <v>29</v>
      </c>
    </row>
    <row r="58" spans="1:13" s="38" customFormat="1" x14ac:dyDescent="0.25">
      <c r="A58" s="78" t="s">
        <v>22</v>
      </c>
      <c r="B58" s="338" t="str">
        <f t="shared" si="0"/>
        <v>I30</v>
      </c>
      <c r="C58" s="98"/>
      <c r="D58" s="79" t="s">
        <v>22</v>
      </c>
      <c r="E58" s="79" t="s">
        <v>24</v>
      </c>
      <c r="F58" s="90"/>
      <c r="G58" s="90"/>
      <c r="H58" s="90"/>
      <c r="I58" s="90"/>
      <c r="J58" s="292"/>
      <c r="K58" s="28" t="s">
        <v>648</v>
      </c>
      <c r="L58" s="28">
        <f t="shared" si="1"/>
        <v>30</v>
      </c>
      <c r="M58" s="95"/>
    </row>
    <row r="59" spans="1:13" s="38" customFormat="1" x14ac:dyDescent="0.25">
      <c r="A59" s="78" t="s">
        <v>22</v>
      </c>
      <c r="B59" s="338" t="str">
        <f t="shared" si="0"/>
        <v>I31</v>
      </c>
      <c r="C59" s="98"/>
      <c r="D59" s="79" t="s">
        <v>22</v>
      </c>
      <c r="E59" s="79" t="s">
        <v>24</v>
      </c>
      <c r="F59" s="90"/>
      <c r="G59" s="90"/>
      <c r="H59" s="90"/>
      <c r="I59" s="90"/>
      <c r="J59" s="292"/>
      <c r="K59" s="28" t="s">
        <v>648</v>
      </c>
      <c r="L59" s="28">
        <f t="shared" si="1"/>
        <v>31</v>
      </c>
    </row>
    <row r="60" spans="1:13" s="38" customFormat="1" x14ac:dyDescent="0.25">
      <c r="A60" s="78" t="s">
        <v>22</v>
      </c>
      <c r="B60" s="338" t="str">
        <f t="shared" si="0"/>
        <v>I32</v>
      </c>
      <c r="C60" s="98"/>
      <c r="D60" s="79" t="s">
        <v>22</v>
      </c>
      <c r="E60" s="79" t="s">
        <v>24</v>
      </c>
      <c r="F60" s="90"/>
      <c r="G60" s="90"/>
      <c r="H60" s="90"/>
      <c r="I60" s="90"/>
      <c r="J60" s="292"/>
      <c r="K60" s="28" t="s">
        <v>648</v>
      </c>
      <c r="L60" s="28">
        <f t="shared" si="1"/>
        <v>32</v>
      </c>
    </row>
    <row r="61" spans="1:13" s="38" customFormat="1" x14ac:dyDescent="0.25">
      <c r="A61" s="244"/>
      <c r="B61" s="244"/>
      <c r="C61" s="245"/>
      <c r="D61" s="214"/>
      <c r="E61" s="111"/>
      <c r="F61" s="110"/>
      <c r="G61" s="110"/>
      <c r="H61" s="110"/>
      <c r="I61" s="110"/>
      <c r="J61" s="39"/>
      <c r="K61" s="28" t="s">
        <v>648</v>
      </c>
      <c r="L61" s="28">
        <f t="shared" si="1"/>
        <v>33</v>
      </c>
    </row>
    <row r="62" spans="1:13" s="38" customFormat="1" x14ac:dyDescent="0.25">
      <c r="A62" s="43"/>
      <c r="B62" s="43"/>
      <c r="C62" s="3" t="s">
        <v>76</v>
      </c>
      <c r="D62" s="63"/>
      <c r="E62" s="63"/>
      <c r="F62" s="9">
        <f>SUMIF($A:$A,"SENT.INNT",F:F)</f>
        <v>-4809340</v>
      </c>
      <c r="G62" s="9">
        <f>SUMIF($A:$A,"SENT.INNT",G:G)</f>
        <v>-4807463</v>
      </c>
      <c r="H62" s="9">
        <f>SUMIF($A:$A,"SENT.INNT",H:H)</f>
        <v>-4816920</v>
      </c>
      <c r="I62" s="9">
        <f>SUMIF($A:$A,"SENT.INNT",I:I)</f>
        <v>-4852045</v>
      </c>
      <c r="J62" s="39"/>
      <c r="K62" s="28"/>
      <c r="L62" s="28"/>
    </row>
    <row r="63" spans="1:13" s="38" customFormat="1" x14ac:dyDescent="0.25">
      <c r="A63" s="46"/>
      <c r="B63" s="46"/>
      <c r="C63" s="3" t="s">
        <v>77</v>
      </c>
      <c r="D63" s="52"/>
      <c r="E63" s="52"/>
      <c r="F63" s="9">
        <f>F4</f>
        <v>4546363</v>
      </c>
      <c r="G63" s="9">
        <f>G4</f>
        <v>4546363</v>
      </c>
      <c r="H63" s="9">
        <f>H4</f>
        <v>4546363</v>
      </c>
      <c r="I63" s="9">
        <f>I4</f>
        <v>4546363</v>
      </c>
      <c r="J63" s="39"/>
      <c r="K63" s="28"/>
      <c r="L63" s="28"/>
    </row>
    <row r="64" spans="1:13" s="38" customFormat="1" x14ac:dyDescent="0.25">
      <c r="A64" s="43"/>
      <c r="B64" s="43"/>
      <c r="C64" s="3" t="s">
        <v>78</v>
      </c>
      <c r="D64" s="52"/>
      <c r="E64" s="52"/>
      <c r="F64" s="9">
        <f>F62+F63</f>
        <v>-262977</v>
      </c>
      <c r="G64" s="9">
        <f>G62+G63</f>
        <v>-261100</v>
      </c>
      <c r="H64" s="9">
        <f>H62+H63</f>
        <v>-270557</v>
      </c>
      <c r="I64" s="9">
        <f>I62+I63</f>
        <v>-305682</v>
      </c>
      <c r="J64" s="39"/>
      <c r="K64" s="28"/>
      <c r="L64" s="28"/>
    </row>
    <row r="65" spans="1:12" s="38" customFormat="1" x14ac:dyDescent="0.25">
      <c r="A65" s="47"/>
      <c r="B65" s="47"/>
      <c r="C65" s="11"/>
      <c r="D65" s="49"/>
      <c r="E65" s="49"/>
      <c r="F65" s="12"/>
      <c r="G65" s="12"/>
      <c r="H65" s="12"/>
      <c r="I65" s="12"/>
      <c r="J65" s="39"/>
      <c r="K65" s="28"/>
      <c r="L65" s="28"/>
    </row>
    <row r="66" spans="1:12" s="1" customFormat="1" x14ac:dyDescent="0.25">
      <c r="A66" s="48"/>
      <c r="B66" s="48"/>
      <c r="C66" s="13" t="s">
        <v>79</v>
      </c>
      <c r="D66" s="50"/>
      <c r="E66" s="50"/>
      <c r="F66" s="14"/>
      <c r="G66" s="14"/>
      <c r="H66" s="14"/>
      <c r="I66" s="14"/>
      <c r="J66" s="39"/>
      <c r="K66" s="38"/>
      <c r="L66" s="38"/>
    </row>
    <row r="67" spans="1:12" s="38" customFormat="1" x14ac:dyDescent="0.25">
      <c r="A67" s="72"/>
      <c r="B67" s="341"/>
      <c r="C67" s="246" t="s">
        <v>80</v>
      </c>
      <c r="D67" s="83"/>
      <c r="E67" s="83"/>
      <c r="F67" s="4">
        <v>2022</v>
      </c>
      <c r="G67" s="4">
        <v>2023</v>
      </c>
      <c r="H67" s="4">
        <f>G67+1</f>
        <v>2024</v>
      </c>
      <c r="I67" s="4">
        <f>H67+1</f>
        <v>2025</v>
      </c>
      <c r="J67" s="39"/>
      <c r="K67" s="337"/>
      <c r="L67" s="337"/>
    </row>
    <row r="68" spans="1:12" s="38" customFormat="1" x14ac:dyDescent="0.25">
      <c r="A68" s="78" t="s">
        <v>81</v>
      </c>
      <c r="B68" s="78" t="str">
        <f t="shared" ref="B68:B82" si="2">IF(L68,K68&amp;L68,"")</f>
        <v>OV1</v>
      </c>
      <c r="C68" s="245" t="s">
        <v>82</v>
      </c>
      <c r="D68" s="72" t="s">
        <v>661</v>
      </c>
      <c r="E68" s="79" t="s">
        <v>84</v>
      </c>
      <c r="F68" s="90">
        <v>5635</v>
      </c>
      <c r="G68" s="90">
        <v>9873</v>
      </c>
      <c r="H68" s="90">
        <v>12885</v>
      </c>
      <c r="I68" s="90">
        <v>13033</v>
      </c>
      <c r="J68" s="470" t="s">
        <v>662</v>
      </c>
      <c r="K68" s="28" t="s">
        <v>663</v>
      </c>
      <c r="L68" s="38">
        <v>1</v>
      </c>
    </row>
    <row r="69" spans="1:12" s="38" customFormat="1" x14ac:dyDescent="0.25">
      <c r="A69" s="78" t="s">
        <v>81</v>
      </c>
      <c r="B69" s="78" t="str">
        <f t="shared" si="2"/>
        <v>OV2</v>
      </c>
      <c r="C69" s="245" t="s">
        <v>85</v>
      </c>
      <c r="D69" s="72" t="s">
        <v>661</v>
      </c>
      <c r="E69" s="79" t="s">
        <v>84</v>
      </c>
      <c r="F69" s="90">
        <v>-1894</v>
      </c>
      <c r="G69" s="90">
        <v>-1894</v>
      </c>
      <c r="H69" s="90">
        <v>-1894</v>
      </c>
      <c r="I69" s="90">
        <v>-1894</v>
      </c>
      <c r="J69" s="470" t="s">
        <v>662</v>
      </c>
      <c r="K69" s="28" t="s">
        <v>663</v>
      </c>
      <c r="L69" s="38">
        <f t="shared" ref="L69:L82" si="3">L68+1</f>
        <v>2</v>
      </c>
    </row>
    <row r="70" spans="1:12" s="38" customFormat="1" x14ac:dyDescent="0.25">
      <c r="A70" s="78" t="s">
        <v>81</v>
      </c>
      <c r="B70" s="78" t="str">
        <f t="shared" si="2"/>
        <v>OV3</v>
      </c>
      <c r="C70" s="245" t="s">
        <v>86</v>
      </c>
      <c r="D70" s="72" t="s">
        <v>661</v>
      </c>
      <c r="E70" s="79" t="s">
        <v>84</v>
      </c>
      <c r="F70" s="90">
        <v>1126</v>
      </c>
      <c r="G70" s="90">
        <v>1974</v>
      </c>
      <c r="H70" s="90">
        <v>2576</v>
      </c>
      <c r="I70" s="90">
        <v>2605</v>
      </c>
      <c r="J70" s="470" t="s">
        <v>662</v>
      </c>
      <c r="K70" s="28" t="s">
        <v>663</v>
      </c>
      <c r="L70" s="38">
        <f t="shared" si="3"/>
        <v>3</v>
      </c>
    </row>
    <row r="71" spans="1:12" s="38" customFormat="1" x14ac:dyDescent="0.25">
      <c r="A71" s="78" t="s">
        <v>81</v>
      </c>
      <c r="B71" s="78" t="str">
        <f t="shared" si="2"/>
        <v>OV4</v>
      </c>
      <c r="C71" s="245" t="s">
        <v>87</v>
      </c>
      <c r="D71" s="72" t="s">
        <v>661</v>
      </c>
      <c r="E71" s="79" t="s">
        <v>84</v>
      </c>
      <c r="F71" s="90">
        <v>-379</v>
      </c>
      <c r="G71" s="90">
        <v>-379</v>
      </c>
      <c r="H71" s="90">
        <v>-379</v>
      </c>
      <c r="I71" s="90">
        <v>-379</v>
      </c>
      <c r="J71" s="470" t="s">
        <v>662</v>
      </c>
      <c r="K71" s="28" t="s">
        <v>663</v>
      </c>
      <c r="L71" s="38">
        <f t="shared" si="3"/>
        <v>4</v>
      </c>
    </row>
    <row r="72" spans="1:12" s="38" customFormat="1" x14ac:dyDescent="0.25">
      <c r="A72" s="78" t="s">
        <v>81</v>
      </c>
      <c r="B72" s="78" t="str">
        <f t="shared" si="2"/>
        <v>OV5</v>
      </c>
      <c r="C72" s="245" t="s">
        <v>88</v>
      </c>
      <c r="D72" s="72" t="s">
        <v>664</v>
      </c>
      <c r="E72" s="79" t="s">
        <v>84</v>
      </c>
      <c r="F72" s="90"/>
      <c r="G72" s="90"/>
      <c r="H72" s="90">
        <v>-852</v>
      </c>
      <c r="I72" s="90">
        <v>-852</v>
      </c>
      <c r="J72" s="403"/>
      <c r="K72" s="28" t="s">
        <v>663</v>
      </c>
      <c r="L72" s="38">
        <f t="shared" si="3"/>
        <v>5</v>
      </c>
    </row>
    <row r="73" spans="1:12" s="38" customFormat="1" x14ac:dyDescent="0.25">
      <c r="A73" s="78" t="s">
        <v>81</v>
      </c>
      <c r="B73" s="78" t="str">
        <f t="shared" si="2"/>
        <v>OV6</v>
      </c>
      <c r="C73" s="245" t="s">
        <v>665</v>
      </c>
      <c r="D73" s="72" t="s">
        <v>664</v>
      </c>
      <c r="E73" s="79" t="s">
        <v>84</v>
      </c>
      <c r="F73" s="90"/>
      <c r="G73" s="90">
        <v>-2300</v>
      </c>
      <c r="H73" s="90">
        <v>-2300</v>
      </c>
      <c r="I73" s="90">
        <v>-2300</v>
      </c>
      <c r="K73" s="28" t="s">
        <v>663</v>
      </c>
      <c r="L73" s="38">
        <f t="shared" si="3"/>
        <v>6</v>
      </c>
    </row>
    <row r="74" spans="1:12" s="38" customFormat="1" ht="25.5" x14ac:dyDescent="0.25">
      <c r="A74" s="469" t="s">
        <v>81</v>
      </c>
      <c r="B74" s="78" t="str">
        <f t="shared" si="2"/>
        <v>OV7</v>
      </c>
      <c r="C74" s="245" t="s">
        <v>666</v>
      </c>
      <c r="D74" s="72" t="s">
        <v>91</v>
      </c>
      <c r="E74" s="79" t="s">
        <v>24</v>
      </c>
      <c r="F74" s="110">
        <v>2100</v>
      </c>
      <c r="G74" s="110">
        <v>2100</v>
      </c>
      <c r="H74" s="110">
        <v>2100</v>
      </c>
      <c r="I74" s="110">
        <v>2100</v>
      </c>
      <c r="K74" s="28" t="s">
        <v>663</v>
      </c>
      <c r="L74" s="38">
        <f t="shared" si="3"/>
        <v>7</v>
      </c>
    </row>
    <row r="75" spans="1:12" s="38" customFormat="1" x14ac:dyDescent="0.25">
      <c r="A75" s="469" t="s">
        <v>81</v>
      </c>
      <c r="B75" s="78" t="str">
        <f t="shared" si="2"/>
        <v>OV8</v>
      </c>
      <c r="C75" s="524" t="s">
        <v>667</v>
      </c>
      <c r="D75" s="508" t="s">
        <v>91</v>
      </c>
      <c r="E75" s="509" t="s">
        <v>24</v>
      </c>
      <c r="F75" s="531">
        <f>1942-42</f>
        <v>1900</v>
      </c>
      <c r="G75" s="531">
        <f>4660-60</f>
        <v>4600</v>
      </c>
      <c r="H75" s="531">
        <f>4660-60</f>
        <v>4600</v>
      </c>
      <c r="I75" s="531">
        <f>4660-60</f>
        <v>4600</v>
      </c>
      <c r="K75" s="28" t="s">
        <v>663</v>
      </c>
      <c r="L75" s="38">
        <f t="shared" si="3"/>
        <v>8</v>
      </c>
    </row>
    <row r="76" spans="1:12" s="38" customFormat="1" x14ac:dyDescent="0.25">
      <c r="A76" s="78" t="s">
        <v>81</v>
      </c>
      <c r="B76" s="78" t="str">
        <f t="shared" si="2"/>
        <v>OV9</v>
      </c>
      <c r="C76" s="245" t="s">
        <v>668</v>
      </c>
      <c r="D76" s="72" t="s">
        <v>661</v>
      </c>
      <c r="E76" s="79" t="s">
        <v>84</v>
      </c>
      <c r="F76" s="90">
        <v>121</v>
      </c>
      <c r="G76" s="90">
        <v>212</v>
      </c>
      <c r="H76" s="90">
        <v>276</v>
      </c>
      <c r="I76" s="90">
        <v>279</v>
      </c>
      <c r="J76" s="470" t="s">
        <v>662</v>
      </c>
      <c r="K76" s="28" t="s">
        <v>663</v>
      </c>
      <c r="L76" s="38">
        <f t="shared" si="3"/>
        <v>9</v>
      </c>
    </row>
    <row r="77" spans="1:12" s="38" customFormat="1" x14ac:dyDescent="0.25">
      <c r="A77" s="78" t="s">
        <v>81</v>
      </c>
      <c r="B77" s="78" t="str">
        <f t="shared" si="2"/>
        <v>OV10</v>
      </c>
      <c r="C77" s="245" t="s">
        <v>94</v>
      </c>
      <c r="D77" s="72" t="s">
        <v>661</v>
      </c>
      <c r="E77" s="79" t="s">
        <v>84</v>
      </c>
      <c r="F77" s="110">
        <v>-41</v>
      </c>
      <c r="G77" s="110">
        <v>-41</v>
      </c>
      <c r="H77" s="110">
        <v>-41</v>
      </c>
      <c r="I77" s="110">
        <v>-41</v>
      </c>
      <c r="J77" s="470" t="s">
        <v>662</v>
      </c>
      <c r="K77" s="28" t="s">
        <v>663</v>
      </c>
      <c r="L77" s="38">
        <f t="shared" si="3"/>
        <v>10</v>
      </c>
    </row>
    <row r="78" spans="1:12" s="38" customFormat="1" x14ac:dyDescent="0.25">
      <c r="A78" s="78" t="s">
        <v>81</v>
      </c>
      <c r="B78" s="78" t="str">
        <f t="shared" si="2"/>
        <v>OV11</v>
      </c>
      <c r="C78" s="245" t="s">
        <v>95</v>
      </c>
      <c r="D78" s="72" t="s">
        <v>661</v>
      </c>
      <c r="E78" s="79"/>
      <c r="F78" s="110">
        <v>2316</v>
      </c>
      <c r="G78" s="110">
        <v>2316</v>
      </c>
      <c r="H78" s="110">
        <v>2316</v>
      </c>
      <c r="I78" s="110">
        <v>2316</v>
      </c>
      <c r="J78" s="470" t="s">
        <v>669</v>
      </c>
      <c r="K78" s="28" t="s">
        <v>663</v>
      </c>
      <c r="L78" s="38">
        <f t="shared" si="3"/>
        <v>11</v>
      </c>
    </row>
    <row r="79" spans="1:12" s="38" customFormat="1" x14ac:dyDescent="0.25">
      <c r="A79" s="78" t="s">
        <v>81</v>
      </c>
      <c r="B79" s="78" t="str">
        <f t="shared" si="2"/>
        <v>OV12</v>
      </c>
      <c r="C79" s="245" t="s">
        <v>96</v>
      </c>
      <c r="D79" s="72" t="s">
        <v>661</v>
      </c>
      <c r="E79" s="79"/>
      <c r="F79" s="110">
        <v>-2316</v>
      </c>
      <c r="G79" s="110">
        <v>-2316</v>
      </c>
      <c r="H79" s="110">
        <v>-2316</v>
      </c>
      <c r="I79" s="110">
        <v>-2316</v>
      </c>
      <c r="J79" s="470" t="s">
        <v>669</v>
      </c>
      <c r="K79" s="28" t="s">
        <v>663</v>
      </c>
      <c r="L79" s="38">
        <f t="shared" si="3"/>
        <v>12</v>
      </c>
    </row>
    <row r="80" spans="1:12" s="38" customFormat="1" ht="14.25" customHeight="1" x14ac:dyDescent="0.25">
      <c r="A80" s="78" t="s">
        <v>81</v>
      </c>
      <c r="B80" s="78" t="str">
        <f t="shared" si="2"/>
        <v>OV13</v>
      </c>
      <c r="C80" s="245" t="s">
        <v>670</v>
      </c>
      <c r="D80" s="72" t="s">
        <v>661</v>
      </c>
      <c r="E80" s="79" t="s">
        <v>84</v>
      </c>
      <c r="F80" s="484">
        <v>18700</v>
      </c>
      <c r="G80" s="484">
        <v>18700</v>
      </c>
      <c r="H80" s="484">
        <v>18700</v>
      </c>
      <c r="I80" s="484">
        <v>18700</v>
      </c>
      <c r="J80" s="470" t="s">
        <v>671</v>
      </c>
      <c r="K80" s="28" t="s">
        <v>663</v>
      </c>
      <c r="L80" s="38">
        <f t="shared" si="3"/>
        <v>13</v>
      </c>
    </row>
    <row r="81" spans="1:12" s="38" customFormat="1" x14ac:dyDescent="0.25">
      <c r="A81" s="78" t="s">
        <v>81</v>
      </c>
      <c r="B81" s="78" t="str">
        <f t="shared" si="2"/>
        <v>OV14</v>
      </c>
      <c r="C81" s="212" t="s">
        <v>672</v>
      </c>
      <c r="D81" s="72" t="s">
        <v>661</v>
      </c>
      <c r="E81" s="79" t="s">
        <v>84</v>
      </c>
      <c r="F81" s="485">
        <v>900</v>
      </c>
      <c r="G81" s="484">
        <v>4700</v>
      </c>
      <c r="H81" s="484">
        <v>11100</v>
      </c>
      <c r="I81" s="484">
        <v>11100</v>
      </c>
      <c r="J81" s="470" t="s">
        <v>671</v>
      </c>
      <c r="K81" s="28" t="s">
        <v>663</v>
      </c>
      <c r="L81" s="38">
        <f t="shared" si="3"/>
        <v>14</v>
      </c>
    </row>
    <row r="82" spans="1:12" x14ac:dyDescent="0.25">
      <c r="A82" s="78" t="s">
        <v>81</v>
      </c>
      <c r="B82" s="78" t="str">
        <f t="shared" si="2"/>
        <v>OV15</v>
      </c>
      <c r="C82" s="245" t="s">
        <v>673</v>
      </c>
      <c r="D82" s="72" t="s">
        <v>661</v>
      </c>
      <c r="E82" s="79" t="s">
        <v>84</v>
      </c>
      <c r="F82" s="484">
        <v>2000</v>
      </c>
      <c r="G82" s="484">
        <v>2000</v>
      </c>
      <c r="H82" s="484">
        <v>2000</v>
      </c>
      <c r="I82" s="484">
        <v>2000</v>
      </c>
      <c r="J82" s="470" t="s">
        <v>674</v>
      </c>
      <c r="K82" s="28" t="s">
        <v>663</v>
      </c>
      <c r="L82" s="38">
        <f t="shared" si="3"/>
        <v>15</v>
      </c>
    </row>
    <row r="83" spans="1:12" s="38" customFormat="1" x14ac:dyDescent="0.25">
      <c r="A83" s="48"/>
      <c r="B83" s="48"/>
      <c r="J83" s="209"/>
    </row>
    <row r="84" spans="1:12" s="1" customFormat="1" x14ac:dyDescent="0.25">
      <c r="A84" s="44"/>
      <c r="B84" s="44"/>
      <c r="C84" s="16" t="s">
        <v>112</v>
      </c>
      <c r="D84" s="50"/>
      <c r="E84" s="50"/>
      <c r="F84" s="4">
        <f>F67</f>
        <v>2022</v>
      </c>
      <c r="G84" s="4">
        <f>F84+1</f>
        <v>2023</v>
      </c>
      <c r="H84" s="4">
        <f>G84+1</f>
        <v>2024</v>
      </c>
      <c r="I84" s="4">
        <f>H84+1</f>
        <v>2025</v>
      </c>
      <c r="J84" s="209"/>
      <c r="K84" s="337"/>
      <c r="L84" s="337"/>
    </row>
    <row r="85" spans="1:12" s="38" customFormat="1" x14ac:dyDescent="0.25">
      <c r="A85" s="78" t="s">
        <v>81</v>
      </c>
      <c r="B85" s="78" t="str">
        <f t="shared" ref="B85:B90" si="4">IF(L85,K85&amp;L85,"")</f>
        <v>OV16</v>
      </c>
      <c r="C85" s="245" t="s">
        <v>675</v>
      </c>
      <c r="D85" s="72" t="s">
        <v>664</v>
      </c>
      <c r="E85" s="79" t="s">
        <v>84</v>
      </c>
      <c r="F85" s="74"/>
      <c r="G85" s="74"/>
      <c r="H85" s="74">
        <f>I85/12*5</f>
        <v>6666.6666666666661</v>
      </c>
      <c r="I85" s="74">
        <v>16000</v>
      </c>
      <c r="J85" s="209" t="s">
        <v>676</v>
      </c>
      <c r="K85" s="28" t="s">
        <v>663</v>
      </c>
      <c r="L85" s="28">
        <f>L82+1</f>
        <v>16</v>
      </c>
    </row>
    <row r="86" spans="1:12" s="38" customFormat="1" x14ac:dyDescent="0.25">
      <c r="A86" s="78" t="s">
        <v>81</v>
      </c>
      <c r="B86" s="78" t="str">
        <f t="shared" si="4"/>
        <v>OV17</v>
      </c>
      <c r="C86" s="245" t="s">
        <v>677</v>
      </c>
      <c r="D86" s="72" t="s">
        <v>664</v>
      </c>
      <c r="E86" s="79" t="s">
        <v>84</v>
      </c>
      <c r="F86" s="74"/>
      <c r="G86" s="74"/>
      <c r="H86" s="74">
        <f>I86/12*5</f>
        <v>-1332.0833333333335</v>
      </c>
      <c r="I86" s="74">
        <v>-3197</v>
      </c>
      <c r="J86" s="209" t="s">
        <v>678</v>
      </c>
      <c r="K86" s="28" t="s">
        <v>663</v>
      </c>
      <c r="L86" s="28">
        <f>L85+1</f>
        <v>17</v>
      </c>
    </row>
    <row r="87" spans="1:12" s="38" customFormat="1" x14ac:dyDescent="0.25">
      <c r="A87" s="78" t="s">
        <v>81</v>
      </c>
      <c r="B87" s="78" t="str">
        <f t="shared" si="4"/>
        <v>OV18</v>
      </c>
      <c r="C87" s="245" t="s">
        <v>679</v>
      </c>
      <c r="D87" s="72" t="s">
        <v>664</v>
      </c>
      <c r="E87" s="79" t="s">
        <v>84</v>
      </c>
      <c r="F87" s="74">
        <v>-5390</v>
      </c>
      <c r="G87" s="74">
        <v>-5390</v>
      </c>
      <c r="H87" s="74">
        <v>-5390</v>
      </c>
      <c r="I87" s="74">
        <v>-5390</v>
      </c>
      <c r="J87" s="342"/>
      <c r="K87" s="28" t="s">
        <v>663</v>
      </c>
      <c r="L87" s="28">
        <f>L86+1</f>
        <v>18</v>
      </c>
    </row>
    <row r="88" spans="1:12" s="38" customFormat="1" x14ac:dyDescent="0.25">
      <c r="A88" s="78" t="s">
        <v>81</v>
      </c>
      <c r="B88" s="78" t="str">
        <f t="shared" si="4"/>
        <v>OV19</v>
      </c>
      <c r="C88" s="532" t="s">
        <v>113</v>
      </c>
      <c r="D88" s="523" t="s">
        <v>661</v>
      </c>
      <c r="E88" s="523" t="s">
        <v>84</v>
      </c>
      <c r="F88" s="533">
        <v>14500</v>
      </c>
      <c r="G88" s="533">
        <v>14500</v>
      </c>
      <c r="H88" s="533">
        <v>14500</v>
      </c>
      <c r="I88" s="533">
        <v>14500</v>
      </c>
      <c r="J88" s="209" t="s">
        <v>680</v>
      </c>
      <c r="K88" s="28" t="s">
        <v>663</v>
      </c>
      <c r="L88" s="28">
        <f>L87+1</f>
        <v>19</v>
      </c>
    </row>
    <row r="89" spans="1:12" s="38" customFormat="1" x14ac:dyDescent="0.25">
      <c r="A89" s="78" t="s">
        <v>81</v>
      </c>
      <c r="B89" s="78" t="str">
        <f t="shared" si="4"/>
        <v>OV20</v>
      </c>
      <c r="C89" s="245" t="s">
        <v>681</v>
      </c>
      <c r="D89" s="41" t="s">
        <v>91</v>
      </c>
      <c r="E89" s="60" t="s">
        <v>24</v>
      </c>
      <c r="F89" s="38">
        <v>231</v>
      </c>
      <c r="G89" s="38">
        <v>231</v>
      </c>
      <c r="H89" s="38">
        <v>231</v>
      </c>
      <c r="I89" s="38">
        <v>231</v>
      </c>
      <c r="J89" s="93" t="s">
        <v>682</v>
      </c>
      <c r="K89" s="28" t="s">
        <v>663</v>
      </c>
      <c r="L89" s="28">
        <f>L88+1</f>
        <v>20</v>
      </c>
    </row>
    <row r="90" spans="1:12" s="38" customFormat="1" x14ac:dyDescent="0.25">
      <c r="A90" s="78" t="s">
        <v>81</v>
      </c>
      <c r="B90" s="78" t="str">
        <f t="shared" si="4"/>
        <v>OV21</v>
      </c>
      <c r="C90" s="532" t="s">
        <v>683</v>
      </c>
      <c r="D90" s="520" t="s">
        <v>91</v>
      </c>
      <c r="E90" s="517" t="s">
        <v>24</v>
      </c>
      <c r="F90" s="533">
        <v>1800</v>
      </c>
      <c r="G90" s="533">
        <v>1800</v>
      </c>
      <c r="H90" s="533">
        <v>1800</v>
      </c>
      <c r="I90" s="533">
        <v>1800</v>
      </c>
      <c r="J90" s="93" t="s">
        <v>684</v>
      </c>
      <c r="K90" s="28" t="s">
        <v>663</v>
      </c>
      <c r="L90" s="28">
        <f>L89+1</f>
        <v>21</v>
      </c>
    </row>
    <row r="91" spans="1:12" s="38" customFormat="1" x14ac:dyDescent="0.25">
      <c r="A91" s="78"/>
      <c r="B91" s="78"/>
      <c r="C91" s="245"/>
      <c r="D91" s="214"/>
      <c r="E91" s="71"/>
      <c r="J91" s="93"/>
      <c r="K91" s="28"/>
      <c r="L91" s="28"/>
    </row>
    <row r="92" spans="1:12" s="38" customFormat="1" x14ac:dyDescent="0.25">
      <c r="A92" s="78"/>
      <c r="B92" s="78"/>
      <c r="C92" s="82" t="s">
        <v>117</v>
      </c>
      <c r="D92" s="96"/>
      <c r="E92" s="71"/>
      <c r="F92" s="4">
        <f>F84</f>
        <v>2022</v>
      </c>
      <c r="G92" s="4">
        <f>F92+1</f>
        <v>2023</v>
      </c>
      <c r="H92" s="4">
        <f>G92+1</f>
        <v>2024</v>
      </c>
      <c r="I92" s="4">
        <f>H92+1</f>
        <v>2025</v>
      </c>
      <c r="J92" s="209"/>
      <c r="K92" s="337"/>
      <c r="L92" s="337"/>
    </row>
    <row r="93" spans="1:12" s="38" customFormat="1" x14ac:dyDescent="0.25">
      <c r="A93" s="78" t="s">
        <v>81</v>
      </c>
      <c r="B93" s="78" t="str">
        <f t="shared" ref="B93:B102" si="5">IF(L93,K93&amp;L93,"")</f>
        <v>OV21</v>
      </c>
      <c r="C93" s="245" t="s">
        <v>685</v>
      </c>
      <c r="D93" s="72" t="s">
        <v>664</v>
      </c>
      <c r="E93" s="111" t="s">
        <v>84</v>
      </c>
      <c r="F93" s="74">
        <v>0</v>
      </c>
      <c r="G93" s="74">
        <v>990</v>
      </c>
      <c r="H93" s="74">
        <v>990</v>
      </c>
      <c r="I93" s="74">
        <v>990</v>
      </c>
      <c r="J93" s="209"/>
      <c r="K93" s="28" t="s">
        <v>663</v>
      </c>
      <c r="L93" s="28">
        <f>L89+1</f>
        <v>21</v>
      </c>
    </row>
    <row r="94" spans="1:12" s="38" customFormat="1" x14ac:dyDescent="0.25">
      <c r="A94" s="78" t="s">
        <v>81</v>
      </c>
      <c r="B94" s="78" t="str">
        <f t="shared" si="5"/>
        <v>OV22</v>
      </c>
      <c r="C94" s="245" t="s">
        <v>686</v>
      </c>
      <c r="D94" s="72" t="s">
        <v>664</v>
      </c>
      <c r="E94" s="71" t="s">
        <v>84</v>
      </c>
      <c r="F94" s="191"/>
      <c r="G94" s="191">
        <v>-3040</v>
      </c>
      <c r="H94" s="191">
        <v>-3040</v>
      </c>
      <c r="I94" s="191">
        <v>-3040</v>
      </c>
      <c r="J94" s="209" t="s">
        <v>687</v>
      </c>
      <c r="K94" s="28" t="s">
        <v>663</v>
      </c>
      <c r="L94" s="28">
        <f t="shared" ref="L94:L102" si="6">L93+1</f>
        <v>22</v>
      </c>
    </row>
    <row r="95" spans="1:12" s="38" customFormat="1" x14ac:dyDescent="0.25">
      <c r="A95" s="78" t="s">
        <v>81</v>
      </c>
      <c r="B95" s="78" t="str">
        <f t="shared" si="5"/>
        <v>OV23</v>
      </c>
      <c r="C95" s="429" t="s">
        <v>688</v>
      </c>
      <c r="D95" s="522" t="s">
        <v>91</v>
      </c>
      <c r="E95" s="401" t="s">
        <v>24</v>
      </c>
      <c r="F95" s="534">
        <v>36700</v>
      </c>
      <c r="G95" s="397">
        <f t="shared" ref="G95:I96" si="7">F95</f>
        <v>36700</v>
      </c>
      <c r="H95" s="397">
        <f t="shared" si="7"/>
        <v>36700</v>
      </c>
      <c r="I95" s="397">
        <f t="shared" si="7"/>
        <v>36700</v>
      </c>
      <c r="J95" s="83"/>
      <c r="K95" s="28" t="s">
        <v>663</v>
      </c>
      <c r="L95" s="28">
        <f t="shared" si="6"/>
        <v>23</v>
      </c>
    </row>
    <row r="96" spans="1:12" s="38" customFormat="1" x14ac:dyDescent="0.25">
      <c r="A96" s="78" t="s">
        <v>81</v>
      </c>
      <c r="B96" s="78" t="str">
        <f t="shared" si="5"/>
        <v>OV24</v>
      </c>
      <c r="C96" s="396" t="s">
        <v>689</v>
      </c>
      <c r="D96" s="394" t="s">
        <v>91</v>
      </c>
      <c r="E96" s="395" t="s">
        <v>24</v>
      </c>
      <c r="F96" s="397">
        <v>550</v>
      </c>
      <c r="G96" s="397">
        <f t="shared" si="7"/>
        <v>550</v>
      </c>
      <c r="H96" s="397">
        <f t="shared" si="7"/>
        <v>550</v>
      </c>
      <c r="I96" s="397">
        <f t="shared" si="7"/>
        <v>550</v>
      </c>
      <c r="J96" s="209" t="s">
        <v>690</v>
      </c>
      <c r="K96" s="28" t="s">
        <v>663</v>
      </c>
      <c r="L96" s="28">
        <f>L95+1</f>
        <v>24</v>
      </c>
    </row>
    <row r="97" spans="1:12" s="38" customFormat="1" x14ac:dyDescent="0.25">
      <c r="A97" s="244" t="s">
        <v>81</v>
      </c>
      <c r="B97" s="78" t="str">
        <f t="shared" si="5"/>
        <v>OV25</v>
      </c>
      <c r="C97" s="396" t="s">
        <v>118</v>
      </c>
      <c r="D97" s="394" t="s">
        <v>91</v>
      </c>
      <c r="E97" s="111" t="s">
        <v>24</v>
      </c>
      <c r="F97" s="397">
        <v>5500</v>
      </c>
      <c r="G97" s="397">
        <v>5500</v>
      </c>
      <c r="J97" s="209" t="s">
        <v>691</v>
      </c>
      <c r="K97" s="28" t="s">
        <v>663</v>
      </c>
      <c r="L97" s="28">
        <f t="shared" si="6"/>
        <v>25</v>
      </c>
    </row>
    <row r="98" spans="1:12" s="38" customFormat="1" x14ac:dyDescent="0.25">
      <c r="A98" s="244" t="s">
        <v>81</v>
      </c>
      <c r="B98" s="78" t="str">
        <f t="shared" si="5"/>
        <v>OV26</v>
      </c>
      <c r="C98" s="527" t="s">
        <v>692</v>
      </c>
      <c r="D98" s="394" t="s">
        <v>91</v>
      </c>
      <c r="E98" s="111" t="s">
        <v>24</v>
      </c>
      <c r="F98" s="428">
        <v>5500</v>
      </c>
      <c r="G98" s="428">
        <v>5500</v>
      </c>
      <c r="J98" s="209" t="s">
        <v>693</v>
      </c>
      <c r="K98" s="28" t="s">
        <v>663</v>
      </c>
      <c r="L98" s="28">
        <f t="shared" si="6"/>
        <v>26</v>
      </c>
    </row>
    <row r="99" spans="1:12" s="38" customFormat="1" x14ac:dyDescent="0.25">
      <c r="A99" s="244" t="s">
        <v>81</v>
      </c>
      <c r="B99" s="78" t="str">
        <f t="shared" si="5"/>
        <v>OV27</v>
      </c>
      <c r="C99" s="396" t="s">
        <v>121</v>
      </c>
      <c r="D99" s="394" t="s">
        <v>91</v>
      </c>
      <c r="E99" s="111" t="s">
        <v>24</v>
      </c>
      <c r="F99" s="397">
        <v>-11000</v>
      </c>
      <c r="G99" s="397">
        <v>-11000</v>
      </c>
      <c r="J99" s="403" t="s">
        <v>694</v>
      </c>
      <c r="K99" s="28" t="s">
        <v>663</v>
      </c>
      <c r="L99" s="28">
        <f t="shared" si="6"/>
        <v>27</v>
      </c>
    </row>
    <row r="100" spans="1:12" s="38" customFormat="1" x14ac:dyDescent="0.25">
      <c r="A100" s="78" t="s">
        <v>81</v>
      </c>
      <c r="B100" s="78" t="str">
        <f t="shared" si="5"/>
        <v>OV28</v>
      </c>
      <c r="C100" s="245" t="s">
        <v>695</v>
      </c>
      <c r="D100" s="72" t="s">
        <v>661</v>
      </c>
      <c r="E100" s="79" t="s">
        <v>84</v>
      </c>
      <c r="F100" s="485">
        <v>950</v>
      </c>
      <c r="G100" s="485">
        <v>950</v>
      </c>
      <c r="H100" s="485">
        <v>950</v>
      </c>
      <c r="I100" s="485">
        <v>950</v>
      </c>
      <c r="J100" s="470" t="s">
        <v>696</v>
      </c>
      <c r="K100" s="28" t="s">
        <v>663</v>
      </c>
      <c r="L100" s="28">
        <f t="shared" si="6"/>
        <v>28</v>
      </c>
    </row>
    <row r="101" spans="1:12" s="38" customFormat="1" ht="25.5" x14ac:dyDescent="0.25">
      <c r="A101" s="78" t="s">
        <v>81</v>
      </c>
      <c r="B101" s="78" t="str">
        <f t="shared" si="5"/>
        <v>OV29</v>
      </c>
      <c r="C101" s="245" t="s">
        <v>697</v>
      </c>
      <c r="D101" s="72" t="s">
        <v>661</v>
      </c>
      <c r="E101" s="111" t="s">
        <v>84</v>
      </c>
      <c r="F101" s="485">
        <v>250</v>
      </c>
      <c r="G101" s="485">
        <v>250</v>
      </c>
      <c r="H101" s="485">
        <v>250</v>
      </c>
      <c r="I101" s="485">
        <v>250</v>
      </c>
      <c r="J101" s="470" t="s">
        <v>698</v>
      </c>
      <c r="K101" s="28" t="s">
        <v>663</v>
      </c>
      <c r="L101" s="28">
        <f t="shared" si="6"/>
        <v>29</v>
      </c>
    </row>
    <row r="102" spans="1:12" s="38" customFormat="1" ht="25.5" x14ac:dyDescent="0.25">
      <c r="A102" s="78" t="s">
        <v>81</v>
      </c>
      <c r="B102" s="78" t="str">
        <f t="shared" si="5"/>
        <v>OV30</v>
      </c>
      <c r="C102" s="535" t="s">
        <v>699</v>
      </c>
      <c r="D102" s="508" t="s">
        <v>91</v>
      </c>
      <c r="E102" s="512" t="s">
        <v>24</v>
      </c>
      <c r="F102" s="155">
        <v>1000</v>
      </c>
      <c r="G102" s="155">
        <v>1000</v>
      </c>
      <c r="H102" s="155">
        <v>1000</v>
      </c>
      <c r="I102" s="155">
        <v>1000</v>
      </c>
      <c r="J102" s="209" t="s">
        <v>700</v>
      </c>
      <c r="K102" s="28" t="s">
        <v>663</v>
      </c>
      <c r="L102" s="28">
        <f t="shared" si="6"/>
        <v>30</v>
      </c>
    </row>
    <row r="103" spans="1:12" s="38" customFormat="1" x14ac:dyDescent="0.25">
      <c r="A103" s="244"/>
      <c r="B103" s="244"/>
      <c r="C103" s="396"/>
      <c r="J103" s="209"/>
      <c r="K103" s="28"/>
      <c r="L103" s="28"/>
    </row>
    <row r="104" spans="1:12" s="38" customFormat="1" x14ac:dyDescent="0.25">
      <c r="A104" s="43"/>
      <c r="B104" s="43" t="s">
        <v>127</v>
      </c>
      <c r="C104" s="3" t="s">
        <v>701</v>
      </c>
      <c r="D104" s="52"/>
      <c r="E104" s="52"/>
      <c r="F104" s="56">
        <f>SUMIF($A:$A,"OPP",F:F)</f>
        <v>80759</v>
      </c>
      <c r="G104" s="56">
        <f>SUMIF($A:$A,"OPP",G:G)</f>
        <v>88086</v>
      </c>
      <c r="H104" s="56">
        <f>SUMIF($A:$A,"OPP",H:H)</f>
        <v>102646.58333333333</v>
      </c>
      <c r="I104" s="56">
        <f>SUMIF($A:$A,"OPP",I:I)</f>
        <v>110295</v>
      </c>
      <c r="J104" s="209"/>
      <c r="K104" s="337"/>
      <c r="L104" s="337"/>
    </row>
    <row r="105" spans="1:12" s="38" customFormat="1" x14ac:dyDescent="0.25">
      <c r="A105" s="47"/>
      <c r="B105" s="47"/>
      <c r="C105" s="11"/>
      <c r="D105" s="49"/>
      <c r="E105" s="49"/>
      <c r="F105" s="57"/>
      <c r="G105" s="57"/>
      <c r="H105" s="57"/>
      <c r="I105" s="57"/>
      <c r="J105" s="209"/>
      <c r="K105" s="28"/>
      <c r="L105" s="28"/>
    </row>
    <row r="106" spans="1:12" s="38" customFormat="1" x14ac:dyDescent="0.25">
      <c r="A106" s="48"/>
      <c r="B106" s="48"/>
      <c r="C106" s="13" t="s">
        <v>129</v>
      </c>
      <c r="D106" s="50"/>
      <c r="E106" s="61"/>
      <c r="F106" s="58"/>
      <c r="G106" s="58"/>
      <c r="H106" s="58"/>
      <c r="I106" s="58"/>
      <c r="J106" s="209"/>
    </row>
    <row r="107" spans="1:12" s="38" customFormat="1" x14ac:dyDescent="0.25">
      <c r="A107" s="78"/>
      <c r="B107" s="78" t="str">
        <f t="shared" ref="B107:B115" si="8">IF(L107,K107&amp;L107,"")</f>
        <v/>
      </c>
      <c r="C107" s="82" t="s">
        <v>130</v>
      </c>
      <c r="D107" s="72"/>
      <c r="E107" s="71"/>
      <c r="F107" s="4">
        <f>F92</f>
        <v>2022</v>
      </c>
      <c r="G107" s="4">
        <f>F107+1</f>
        <v>2023</v>
      </c>
      <c r="H107" s="4">
        <f>G107+1</f>
        <v>2024</v>
      </c>
      <c r="I107" s="4">
        <f>H107+1</f>
        <v>2025</v>
      </c>
      <c r="J107" s="209"/>
      <c r="K107" s="337"/>
      <c r="L107" s="337"/>
    </row>
    <row r="108" spans="1:12" s="38" customFormat="1" x14ac:dyDescent="0.25">
      <c r="A108" s="78" t="s">
        <v>131</v>
      </c>
      <c r="B108" s="78" t="str">
        <f t="shared" si="8"/>
        <v>H1</v>
      </c>
      <c r="C108" s="245" t="s">
        <v>702</v>
      </c>
      <c r="D108" s="72" t="s">
        <v>664</v>
      </c>
      <c r="E108" s="71" t="s">
        <v>84</v>
      </c>
      <c r="F108" s="74">
        <v>5000</v>
      </c>
      <c r="G108" s="74">
        <v>5000</v>
      </c>
      <c r="H108" s="74">
        <v>5000</v>
      </c>
      <c r="I108" s="70">
        <v>5000</v>
      </c>
      <c r="J108" s="209"/>
      <c r="K108" s="28" t="s">
        <v>703</v>
      </c>
      <c r="L108" s="28">
        <v>1</v>
      </c>
    </row>
    <row r="109" spans="1:12" s="38" customFormat="1" x14ac:dyDescent="0.25">
      <c r="A109" s="78" t="s">
        <v>131</v>
      </c>
      <c r="B109" s="78" t="str">
        <f t="shared" si="8"/>
        <v>H2</v>
      </c>
      <c r="C109" s="245" t="s">
        <v>330</v>
      </c>
      <c r="D109" s="72" t="s">
        <v>664</v>
      </c>
      <c r="E109" s="71" t="s">
        <v>84</v>
      </c>
      <c r="F109" s="74"/>
      <c r="G109" s="74"/>
      <c r="H109" s="74">
        <v>1000</v>
      </c>
      <c r="I109" s="74">
        <v>9000</v>
      </c>
      <c r="J109" s="209"/>
      <c r="K109" s="28" t="s">
        <v>703</v>
      </c>
      <c r="L109" s="28">
        <f>L108+1</f>
        <v>2</v>
      </c>
    </row>
    <row r="110" spans="1:12" s="38" customFormat="1" x14ac:dyDescent="0.25">
      <c r="A110" s="78" t="s">
        <v>131</v>
      </c>
      <c r="B110" s="78" t="str">
        <f t="shared" si="8"/>
        <v>H3</v>
      </c>
      <c r="C110" s="245" t="s">
        <v>704</v>
      </c>
      <c r="D110" s="72" t="s">
        <v>91</v>
      </c>
      <c r="E110" s="71" t="s">
        <v>24</v>
      </c>
      <c r="F110" s="74">
        <v>1600</v>
      </c>
      <c r="G110" s="74">
        <v>1600</v>
      </c>
      <c r="H110" s="74">
        <v>1600</v>
      </c>
      <c r="I110" s="74">
        <v>1600</v>
      </c>
      <c r="J110" s="209"/>
      <c r="K110" s="28" t="s">
        <v>703</v>
      </c>
      <c r="L110" s="28">
        <f>L109+1</f>
        <v>3</v>
      </c>
    </row>
    <row r="111" spans="1:12" s="38" customFormat="1" x14ac:dyDescent="0.25">
      <c r="A111" s="78" t="s">
        <v>131</v>
      </c>
      <c r="B111" s="78" t="str">
        <f t="shared" si="8"/>
        <v>H4</v>
      </c>
      <c r="C111" s="245" t="s">
        <v>420</v>
      </c>
      <c r="D111" s="72" t="s">
        <v>664</v>
      </c>
      <c r="E111" s="71" t="s">
        <v>84</v>
      </c>
      <c r="F111" s="90">
        <v>900</v>
      </c>
      <c r="G111" s="90">
        <v>2550</v>
      </c>
      <c r="H111" s="90">
        <v>4500</v>
      </c>
      <c r="I111" s="90">
        <v>5800</v>
      </c>
      <c r="J111" s="470" t="s">
        <v>696</v>
      </c>
      <c r="K111" s="28" t="s">
        <v>703</v>
      </c>
      <c r="L111" s="28">
        <f>L110+1</f>
        <v>4</v>
      </c>
    </row>
    <row r="112" spans="1:12" s="38" customFormat="1" x14ac:dyDescent="0.25">
      <c r="A112" s="78"/>
      <c r="B112" s="78" t="str">
        <f t="shared" si="8"/>
        <v/>
      </c>
      <c r="C112" s="82" t="s">
        <v>136</v>
      </c>
      <c r="D112" s="72"/>
      <c r="E112" s="71"/>
      <c r="F112" s="4">
        <f>F107</f>
        <v>2022</v>
      </c>
      <c r="G112" s="4">
        <f>F112+1</f>
        <v>2023</v>
      </c>
      <c r="H112" s="4">
        <f>G112+1</f>
        <v>2024</v>
      </c>
      <c r="I112" s="4">
        <f>H112+1</f>
        <v>2025</v>
      </c>
      <c r="J112" s="209"/>
      <c r="K112" s="337"/>
      <c r="L112" s="337"/>
    </row>
    <row r="113" spans="1:12" s="38" customFormat="1" x14ac:dyDescent="0.25">
      <c r="A113" s="78" t="s">
        <v>131</v>
      </c>
      <c r="B113" s="78" t="str">
        <f t="shared" si="8"/>
        <v>H5</v>
      </c>
      <c r="C113" s="245" t="s">
        <v>137</v>
      </c>
      <c r="D113" s="72" t="s">
        <v>664</v>
      </c>
      <c r="E113" s="71" t="s">
        <v>84</v>
      </c>
      <c r="F113" s="70">
        <v>2500</v>
      </c>
      <c r="G113" s="70">
        <v>5000</v>
      </c>
      <c r="H113" s="70">
        <v>7500</v>
      </c>
      <c r="I113" s="70">
        <v>10000</v>
      </c>
      <c r="J113" s="209"/>
      <c r="K113" s="28" t="s">
        <v>703</v>
      </c>
      <c r="L113" s="28">
        <f>L111+1</f>
        <v>5</v>
      </c>
    </row>
    <row r="114" spans="1:12" s="38" customFormat="1" x14ac:dyDescent="0.25">
      <c r="A114" s="78" t="s">
        <v>131</v>
      </c>
      <c r="B114" s="78" t="str">
        <f t="shared" si="8"/>
        <v>H6</v>
      </c>
      <c r="C114" s="245" t="s">
        <v>705</v>
      </c>
      <c r="D114" s="72" t="s">
        <v>664</v>
      </c>
      <c r="E114" s="71" t="s">
        <v>84</v>
      </c>
      <c r="F114" s="217">
        <v>10000</v>
      </c>
      <c r="G114" s="217">
        <v>20000</v>
      </c>
      <c r="H114" s="217">
        <v>20000</v>
      </c>
      <c r="I114" s="217">
        <v>20000</v>
      </c>
      <c r="J114" s="209"/>
      <c r="K114" s="28" t="s">
        <v>703</v>
      </c>
      <c r="L114" s="28">
        <f>L113+1</f>
        <v>6</v>
      </c>
    </row>
    <row r="115" spans="1:12" s="38" customFormat="1" x14ac:dyDescent="0.25">
      <c r="A115" s="78" t="s">
        <v>131</v>
      </c>
      <c r="B115" s="78" t="str">
        <f t="shared" si="8"/>
        <v>H7</v>
      </c>
      <c r="C115" s="245" t="s">
        <v>706</v>
      </c>
      <c r="D115" s="72" t="s">
        <v>91</v>
      </c>
      <c r="E115" s="71" t="s">
        <v>24</v>
      </c>
      <c r="F115" s="217">
        <v>1400</v>
      </c>
      <c r="G115" s="217">
        <f>F115</f>
        <v>1400</v>
      </c>
      <c r="H115" s="217">
        <f>G115</f>
        <v>1400</v>
      </c>
      <c r="I115" s="217">
        <f>H115</f>
        <v>1400</v>
      </c>
      <c r="J115" s="209"/>
      <c r="K115" s="28" t="s">
        <v>703</v>
      </c>
      <c r="L115" s="28">
        <f>L114+1</f>
        <v>7</v>
      </c>
    </row>
    <row r="116" spans="1:12" s="38" customFormat="1" x14ac:dyDescent="0.25">
      <c r="A116" s="341"/>
      <c r="B116" s="341"/>
      <c r="C116" s="82" t="s">
        <v>142</v>
      </c>
      <c r="D116" s="83"/>
      <c r="E116" s="71"/>
      <c r="F116" s="4">
        <f>F112</f>
        <v>2022</v>
      </c>
      <c r="G116" s="4">
        <f>F116+1</f>
        <v>2023</v>
      </c>
      <c r="H116" s="4">
        <f>G116+1</f>
        <v>2024</v>
      </c>
      <c r="I116" s="4">
        <f>H116+1</f>
        <v>2025</v>
      </c>
      <c r="J116" s="209"/>
      <c r="K116" s="337"/>
      <c r="L116" s="337"/>
    </row>
    <row r="117" spans="1:12" s="38" customFormat="1" x14ac:dyDescent="0.25">
      <c r="A117" s="78" t="s">
        <v>131</v>
      </c>
      <c r="B117" s="78" t="str">
        <f t="shared" ref="B117:B127" si="9">IF(L117,K117&amp;L117,"")</f>
        <v>H8</v>
      </c>
      <c r="C117" s="245" t="s">
        <v>143</v>
      </c>
      <c r="D117" s="72" t="s">
        <v>664</v>
      </c>
      <c r="E117" s="71" t="s">
        <v>84</v>
      </c>
      <c r="F117" s="70">
        <v>-300</v>
      </c>
      <c r="G117" s="70">
        <v>-900</v>
      </c>
      <c r="H117" s="70">
        <v>-1500</v>
      </c>
      <c r="I117" s="70">
        <v>-2100</v>
      </c>
      <c r="J117" s="209"/>
      <c r="K117" s="28" t="s">
        <v>703</v>
      </c>
      <c r="L117" s="28">
        <f>L115+1</f>
        <v>8</v>
      </c>
    </row>
    <row r="118" spans="1:12" s="38" customFormat="1" x14ac:dyDescent="0.25">
      <c r="A118" s="78" t="s">
        <v>131</v>
      </c>
      <c r="B118" s="78" t="str">
        <f t="shared" si="9"/>
        <v>H9</v>
      </c>
      <c r="C118" s="524" t="s">
        <v>707</v>
      </c>
      <c r="D118" s="508" t="s">
        <v>91</v>
      </c>
      <c r="E118" s="510" t="s">
        <v>24</v>
      </c>
      <c r="F118" s="536">
        <v>1400</v>
      </c>
      <c r="G118" s="536">
        <v>2100</v>
      </c>
      <c r="H118" s="536">
        <f>G118</f>
        <v>2100</v>
      </c>
      <c r="I118" s="536">
        <f>H118</f>
        <v>2100</v>
      </c>
      <c r="J118" s="403" t="s">
        <v>708</v>
      </c>
      <c r="K118" s="28" t="s">
        <v>703</v>
      </c>
      <c r="L118" s="28">
        <f>L117+1</f>
        <v>9</v>
      </c>
    </row>
    <row r="119" spans="1:12" s="38" customFormat="1" x14ac:dyDescent="0.25">
      <c r="A119" s="78" t="s">
        <v>131</v>
      </c>
      <c r="B119" s="78" t="str">
        <f t="shared" si="9"/>
        <v>H10</v>
      </c>
      <c r="C119" s="429" t="s">
        <v>144</v>
      </c>
      <c r="D119" s="228" t="s">
        <v>664</v>
      </c>
      <c r="E119" s="231" t="s">
        <v>84</v>
      </c>
      <c r="F119" s="69">
        <f>-11400-15856</f>
        <v>-27256</v>
      </c>
      <c r="G119" s="70">
        <f>-11400-15856</f>
        <v>-27256</v>
      </c>
      <c r="H119" s="70">
        <f>G119</f>
        <v>-27256</v>
      </c>
      <c r="I119" s="70">
        <f>H119</f>
        <v>-27256</v>
      </c>
      <c r="J119" s="209"/>
      <c r="K119" s="28" t="s">
        <v>703</v>
      </c>
      <c r="L119" s="28">
        <f>L118+1</f>
        <v>10</v>
      </c>
    </row>
    <row r="120" spans="1:12" s="38" customFormat="1" x14ac:dyDescent="0.25">
      <c r="A120" s="78" t="s">
        <v>131</v>
      </c>
      <c r="B120" s="78" t="str">
        <f t="shared" si="9"/>
        <v>H11</v>
      </c>
      <c r="C120" s="498" t="s">
        <v>709</v>
      </c>
      <c r="D120" s="228" t="s">
        <v>91</v>
      </c>
      <c r="E120" s="231" t="s">
        <v>24</v>
      </c>
      <c r="F120" s="541">
        <v>27256</v>
      </c>
      <c r="G120" s="217">
        <v>0</v>
      </c>
      <c r="H120" s="217">
        <v>0</v>
      </c>
      <c r="I120" s="217">
        <v>0</v>
      </c>
      <c r="J120" s="209" t="s">
        <v>710</v>
      </c>
      <c r="K120" s="28" t="s">
        <v>703</v>
      </c>
      <c r="L120" s="28">
        <f>L119+1</f>
        <v>11</v>
      </c>
    </row>
    <row r="121" spans="1:12" s="38" customFormat="1" x14ac:dyDescent="0.25">
      <c r="A121" s="78" t="s">
        <v>131</v>
      </c>
      <c r="B121" s="78" t="str">
        <f t="shared" si="9"/>
        <v>H12</v>
      </c>
      <c r="C121" s="245" t="s">
        <v>711</v>
      </c>
      <c r="D121" s="72" t="s">
        <v>91</v>
      </c>
      <c r="E121" s="71" t="s">
        <v>24</v>
      </c>
      <c r="F121" s="217">
        <v>1000</v>
      </c>
      <c r="G121" s="217">
        <v>1000</v>
      </c>
      <c r="H121" s="217">
        <v>1000</v>
      </c>
      <c r="I121" s="217">
        <v>1000</v>
      </c>
      <c r="J121" s="209"/>
      <c r="K121" s="28" t="s">
        <v>703</v>
      </c>
      <c r="L121" s="28">
        <f>L120+1</f>
        <v>12</v>
      </c>
    </row>
    <row r="122" spans="1:12" s="38" customFormat="1" x14ac:dyDescent="0.25">
      <c r="A122" s="78" t="s">
        <v>131</v>
      </c>
      <c r="B122" s="78" t="str">
        <f t="shared" si="9"/>
        <v>H13</v>
      </c>
      <c r="C122" s="524" t="s">
        <v>712</v>
      </c>
      <c r="D122" s="508" t="s">
        <v>91</v>
      </c>
      <c r="E122" s="510" t="s">
        <v>24</v>
      </c>
      <c r="F122" s="536">
        <v>5000</v>
      </c>
      <c r="G122" s="536">
        <f>F122</f>
        <v>5000</v>
      </c>
      <c r="H122" s="536">
        <f>G122</f>
        <v>5000</v>
      </c>
      <c r="I122" s="536">
        <f>H122</f>
        <v>5000</v>
      </c>
      <c r="J122" s="209"/>
      <c r="K122" s="28" t="s">
        <v>703</v>
      </c>
      <c r="L122" s="28">
        <f>L121+1</f>
        <v>13</v>
      </c>
    </row>
    <row r="123" spans="1:12" s="38" customFormat="1" x14ac:dyDescent="0.25">
      <c r="A123" s="78"/>
      <c r="B123" s="78" t="str">
        <f t="shared" si="9"/>
        <v/>
      </c>
      <c r="C123" s="82" t="s">
        <v>156</v>
      </c>
      <c r="D123" s="72"/>
      <c r="E123" s="71"/>
      <c r="F123" s="4">
        <f>F116</f>
        <v>2022</v>
      </c>
      <c r="G123" s="4">
        <f>F123+1</f>
        <v>2023</v>
      </c>
      <c r="H123" s="4">
        <f>G123+1</f>
        <v>2024</v>
      </c>
      <c r="I123" s="4">
        <f>H123+1</f>
        <v>2025</v>
      </c>
      <c r="J123" s="209"/>
      <c r="K123" s="4"/>
      <c r="L123" s="4"/>
    </row>
    <row r="124" spans="1:12" s="38" customFormat="1" x14ac:dyDescent="0.25">
      <c r="A124" s="78" t="s">
        <v>131</v>
      </c>
      <c r="B124" s="78" t="str">
        <f t="shared" si="9"/>
        <v>H14</v>
      </c>
      <c r="C124" s="245" t="s">
        <v>159</v>
      </c>
      <c r="D124" s="72" t="s">
        <v>91</v>
      </c>
      <c r="E124" s="71" t="s">
        <v>24</v>
      </c>
      <c r="F124" s="70">
        <v>600</v>
      </c>
      <c r="G124" s="70">
        <v>600</v>
      </c>
      <c r="H124" s="70">
        <v>600</v>
      </c>
      <c r="I124" s="70">
        <v>600</v>
      </c>
      <c r="J124" s="209"/>
      <c r="K124" s="28" t="s">
        <v>703</v>
      </c>
      <c r="L124" s="28">
        <f>L122+1</f>
        <v>14</v>
      </c>
    </row>
    <row r="125" spans="1:12" s="38" customFormat="1" x14ac:dyDescent="0.25">
      <c r="A125" s="78" t="s">
        <v>131</v>
      </c>
      <c r="B125" s="78" t="str">
        <f t="shared" si="9"/>
        <v>H15</v>
      </c>
      <c r="C125" s="245" t="s">
        <v>157</v>
      </c>
      <c r="D125" s="72" t="s">
        <v>661</v>
      </c>
      <c r="E125" s="71" t="s">
        <v>84</v>
      </c>
      <c r="F125" s="70">
        <v>5461</v>
      </c>
      <c r="G125" s="70">
        <v>5521</v>
      </c>
      <c r="H125" s="70">
        <v>5578</v>
      </c>
      <c r="I125" s="70">
        <v>5635</v>
      </c>
      <c r="J125" s="403"/>
      <c r="K125" s="28" t="s">
        <v>703</v>
      </c>
      <c r="L125" s="28">
        <f>L124+1</f>
        <v>15</v>
      </c>
    </row>
    <row r="126" spans="1:12" s="38" customFormat="1" ht="25.5" x14ac:dyDescent="0.25">
      <c r="A126" s="78" t="s">
        <v>131</v>
      </c>
      <c r="B126" s="78" t="str">
        <f t="shared" si="9"/>
        <v>H16</v>
      </c>
      <c r="C126" s="245" t="s">
        <v>713</v>
      </c>
      <c r="D126" s="72" t="s">
        <v>661</v>
      </c>
      <c r="E126" s="71" t="s">
        <v>84</v>
      </c>
      <c r="F126" s="90">
        <v>100</v>
      </c>
      <c r="G126" s="90">
        <v>100</v>
      </c>
      <c r="H126" s="90">
        <v>100</v>
      </c>
      <c r="I126" s="90">
        <v>100</v>
      </c>
      <c r="J126" s="470" t="s">
        <v>714</v>
      </c>
      <c r="K126" s="28" t="s">
        <v>703</v>
      </c>
      <c r="L126" s="28">
        <f>L125+1</f>
        <v>16</v>
      </c>
    </row>
    <row r="127" spans="1:12" s="38" customFormat="1" ht="22.5" x14ac:dyDescent="0.25">
      <c r="A127" s="78" t="s">
        <v>131</v>
      </c>
      <c r="B127" s="78" t="str">
        <f t="shared" si="9"/>
        <v>H17</v>
      </c>
      <c r="C127" s="524" t="s">
        <v>715</v>
      </c>
      <c r="D127" s="508" t="s">
        <v>91</v>
      </c>
      <c r="E127" s="510" t="s">
        <v>24</v>
      </c>
      <c r="F127" s="542"/>
      <c r="G127" s="542">
        <v>1500</v>
      </c>
      <c r="H127" s="542">
        <v>1500</v>
      </c>
      <c r="I127" s="542">
        <v>1500</v>
      </c>
      <c r="J127" s="511" t="s">
        <v>716</v>
      </c>
      <c r="K127" s="28" t="s">
        <v>703</v>
      </c>
      <c r="L127" s="28">
        <f>L126+1</f>
        <v>17</v>
      </c>
    </row>
    <row r="128" spans="1:12" s="38" customFormat="1" x14ac:dyDescent="0.25">
      <c r="A128" s="78"/>
      <c r="B128" s="78"/>
      <c r="C128" s="82" t="s">
        <v>172</v>
      </c>
      <c r="D128" s="83"/>
      <c r="E128" s="71"/>
      <c r="F128" s="4">
        <f>F123</f>
        <v>2022</v>
      </c>
      <c r="G128" s="4">
        <f>F128+1</f>
        <v>2023</v>
      </c>
      <c r="H128" s="4">
        <f>G128+1</f>
        <v>2024</v>
      </c>
      <c r="I128" s="4">
        <f>H128+1</f>
        <v>2025</v>
      </c>
      <c r="J128" s="209"/>
      <c r="K128" s="337"/>
      <c r="L128" s="337"/>
    </row>
    <row r="129" spans="1:12" s="38" customFormat="1" x14ac:dyDescent="0.25">
      <c r="A129" s="78" t="s">
        <v>131</v>
      </c>
      <c r="B129" s="78" t="str">
        <f t="shared" ref="B129:B137" si="10">IF(L129,K129&amp;L129,"")</f>
        <v>H18</v>
      </c>
      <c r="C129" s="245" t="s">
        <v>173</v>
      </c>
      <c r="D129" s="72" t="s">
        <v>661</v>
      </c>
      <c r="E129" s="71" t="s">
        <v>84</v>
      </c>
      <c r="F129" s="70">
        <v>-1883</v>
      </c>
      <c r="G129" s="59">
        <v>-1178</v>
      </c>
      <c r="H129" s="59">
        <v>232</v>
      </c>
      <c r="I129" s="59">
        <v>4583</v>
      </c>
      <c r="J129" s="403" t="s">
        <v>717</v>
      </c>
      <c r="K129" s="28" t="s">
        <v>703</v>
      </c>
      <c r="L129" s="28">
        <f>L127+1</f>
        <v>18</v>
      </c>
    </row>
    <row r="130" spans="1:12" s="38" customFormat="1" x14ac:dyDescent="0.25">
      <c r="A130" s="78" t="s">
        <v>131</v>
      </c>
      <c r="B130" s="78" t="str">
        <f t="shared" si="10"/>
        <v>H19</v>
      </c>
      <c r="C130" s="245" t="s">
        <v>174</v>
      </c>
      <c r="D130" s="72" t="s">
        <v>661</v>
      </c>
      <c r="E130" s="71" t="s">
        <v>84</v>
      </c>
      <c r="F130" s="70">
        <v>5000</v>
      </c>
      <c r="G130" s="70">
        <v>0</v>
      </c>
      <c r="H130" s="70">
        <v>-2000</v>
      </c>
      <c r="I130" s="70">
        <v>-2000</v>
      </c>
      <c r="J130" s="403"/>
      <c r="K130" s="28" t="s">
        <v>703</v>
      </c>
      <c r="L130" s="28">
        <f>L129+1</f>
        <v>19</v>
      </c>
    </row>
    <row r="131" spans="1:12" s="38" customFormat="1" ht="25.5" x14ac:dyDescent="0.25">
      <c r="A131" s="78" t="s">
        <v>131</v>
      </c>
      <c r="B131" s="78" t="str">
        <f t="shared" si="10"/>
        <v>H20</v>
      </c>
      <c r="C131" s="524" t="s">
        <v>718</v>
      </c>
      <c r="D131" s="508" t="s">
        <v>91</v>
      </c>
      <c r="E131" s="510" t="s">
        <v>24</v>
      </c>
      <c r="F131" s="543">
        <v>1000</v>
      </c>
      <c r="G131" s="543">
        <v>1000</v>
      </c>
      <c r="H131" s="543">
        <v>1000</v>
      </c>
      <c r="I131" s="543">
        <v>1000</v>
      </c>
      <c r="J131" s="521" t="s">
        <v>719</v>
      </c>
      <c r="K131" s="28" t="s">
        <v>703</v>
      </c>
      <c r="L131" s="28">
        <f>L130+1</f>
        <v>20</v>
      </c>
    </row>
    <row r="132" spans="1:12" s="38" customFormat="1" x14ac:dyDescent="0.25">
      <c r="A132" s="78" t="s">
        <v>131</v>
      </c>
      <c r="B132" s="78" t="str">
        <f t="shared" si="10"/>
        <v>H21</v>
      </c>
      <c r="C132" s="245" t="s">
        <v>529</v>
      </c>
      <c r="D132" s="72" t="s">
        <v>661</v>
      </c>
      <c r="E132" s="71" t="s">
        <v>84</v>
      </c>
      <c r="F132" s="484">
        <v>1750</v>
      </c>
      <c r="G132" s="484">
        <v>3450</v>
      </c>
      <c r="H132" s="484">
        <v>3450</v>
      </c>
      <c r="I132" s="484">
        <v>3450</v>
      </c>
      <c r="J132" s="470" t="s">
        <v>714</v>
      </c>
      <c r="K132" s="28" t="s">
        <v>703</v>
      </c>
      <c r="L132" s="28">
        <f>L131+1</f>
        <v>21</v>
      </c>
    </row>
    <row r="133" spans="1:12" s="38" customFormat="1" ht="25.5" x14ac:dyDescent="0.25">
      <c r="A133" s="78" t="s">
        <v>131</v>
      </c>
      <c r="B133" s="78" t="str">
        <f t="shared" si="10"/>
        <v>H22</v>
      </c>
      <c r="C133" s="245" t="s">
        <v>530</v>
      </c>
      <c r="D133" s="72" t="s">
        <v>661</v>
      </c>
      <c r="E133" s="71" t="s">
        <v>84</v>
      </c>
      <c r="F133" s="484">
        <v>3510</v>
      </c>
      <c r="G133" s="484">
        <v>10430</v>
      </c>
      <c r="H133" s="484">
        <v>17050</v>
      </c>
      <c r="I133" s="484">
        <v>22010</v>
      </c>
      <c r="J133" s="470" t="s">
        <v>720</v>
      </c>
      <c r="K133" s="28" t="s">
        <v>703</v>
      </c>
      <c r="L133" s="28">
        <f>L132+1</f>
        <v>22</v>
      </c>
    </row>
    <row r="134" spans="1:12" s="38" customFormat="1" x14ac:dyDescent="0.25">
      <c r="A134" s="78"/>
      <c r="B134" s="78" t="str">
        <f t="shared" si="10"/>
        <v/>
      </c>
      <c r="C134" s="82" t="s">
        <v>179</v>
      </c>
      <c r="D134" s="83"/>
      <c r="E134" s="71"/>
      <c r="F134" s="4">
        <f>F128</f>
        <v>2022</v>
      </c>
      <c r="G134" s="4">
        <f>F134+1</f>
        <v>2023</v>
      </c>
      <c r="H134" s="4">
        <f>G134+1</f>
        <v>2024</v>
      </c>
      <c r="I134" s="4">
        <f>H134+1</f>
        <v>2025</v>
      </c>
      <c r="J134" s="209"/>
      <c r="K134" s="337"/>
      <c r="L134" s="337"/>
    </row>
    <row r="135" spans="1:12" s="38" customFormat="1" x14ac:dyDescent="0.25">
      <c r="A135" s="78" t="s">
        <v>131</v>
      </c>
      <c r="B135" s="78" t="str">
        <f t="shared" si="10"/>
        <v>H23</v>
      </c>
      <c r="C135" s="245" t="s">
        <v>180</v>
      </c>
      <c r="D135" s="72" t="s">
        <v>664</v>
      </c>
      <c r="E135" s="71" t="s">
        <v>84</v>
      </c>
      <c r="F135" s="70">
        <v>0</v>
      </c>
      <c r="G135" s="70"/>
      <c r="H135" s="70">
        <v>6000</v>
      </c>
      <c r="I135" s="191">
        <v>12000</v>
      </c>
      <c r="J135" s="209" t="s">
        <v>721</v>
      </c>
      <c r="K135" s="28" t="s">
        <v>703</v>
      </c>
      <c r="L135" s="28">
        <f>L133+1</f>
        <v>23</v>
      </c>
    </row>
    <row r="136" spans="1:12" s="38" customFormat="1" x14ac:dyDescent="0.25">
      <c r="A136" s="78" t="s">
        <v>131</v>
      </c>
      <c r="B136" s="78" t="str">
        <f t="shared" si="10"/>
        <v>H24</v>
      </c>
      <c r="C136" s="245" t="s">
        <v>722</v>
      </c>
      <c r="D136" s="72" t="s">
        <v>664</v>
      </c>
      <c r="E136" s="71" t="s">
        <v>84</v>
      </c>
      <c r="F136" s="191">
        <v>0</v>
      </c>
      <c r="G136" s="191">
        <v>-2500</v>
      </c>
      <c r="H136" s="191">
        <f>G136</f>
        <v>-2500</v>
      </c>
      <c r="I136" s="191">
        <f>H136</f>
        <v>-2500</v>
      </c>
      <c r="J136" s="209"/>
      <c r="K136" s="28" t="s">
        <v>703</v>
      </c>
      <c r="L136" s="28">
        <f>L135+1</f>
        <v>24</v>
      </c>
    </row>
    <row r="137" spans="1:12" s="38" customFormat="1" x14ac:dyDescent="0.25">
      <c r="A137" s="78" t="s">
        <v>131</v>
      </c>
      <c r="B137" s="78" t="str">
        <f t="shared" si="10"/>
        <v>H25</v>
      </c>
      <c r="C137" s="245" t="s">
        <v>723</v>
      </c>
      <c r="D137" s="72" t="s">
        <v>91</v>
      </c>
      <c r="E137" s="71" t="s">
        <v>24</v>
      </c>
      <c r="F137" s="191">
        <v>4000</v>
      </c>
      <c r="G137" s="191">
        <f>F137</f>
        <v>4000</v>
      </c>
      <c r="H137" s="191">
        <f>G137</f>
        <v>4000</v>
      </c>
      <c r="I137" s="191">
        <f>H137</f>
        <v>4000</v>
      </c>
      <c r="J137" s="209"/>
      <c r="K137" s="28" t="s">
        <v>703</v>
      </c>
      <c r="L137" s="28">
        <f>L136+1</f>
        <v>25</v>
      </c>
    </row>
    <row r="138" spans="1:12" s="38" customFormat="1" x14ac:dyDescent="0.25">
      <c r="A138" s="43"/>
      <c r="B138" s="43" t="s">
        <v>127</v>
      </c>
      <c r="C138" s="3" t="s">
        <v>182</v>
      </c>
      <c r="D138" s="52"/>
      <c r="E138" s="52"/>
      <c r="F138" s="56">
        <f>SUMIF($A:$A,"H&amp;V",F:F)</f>
        <v>48038</v>
      </c>
      <c r="G138" s="56">
        <f>SUMIF($A:$A,"H&amp;V",G:G)</f>
        <v>38417</v>
      </c>
      <c r="H138" s="56">
        <f>SUMIF($A:$A,"H&amp;V",H:H)</f>
        <v>55354</v>
      </c>
      <c r="I138" s="56">
        <f>SUMIF($A:$A,"H&amp;V",I:I)</f>
        <v>81922</v>
      </c>
      <c r="J138" s="209"/>
      <c r="K138" s="337"/>
      <c r="L138" s="337"/>
    </row>
    <row r="139" spans="1:12" s="38" customFormat="1" x14ac:dyDescent="0.25">
      <c r="A139" s="47"/>
      <c r="B139" s="47"/>
      <c r="C139" s="11"/>
      <c r="D139" s="49"/>
      <c r="E139" s="49"/>
      <c r="F139" s="57"/>
      <c r="G139" s="57"/>
      <c r="H139" s="57"/>
      <c r="I139" s="57"/>
      <c r="J139" s="209"/>
      <c r="K139" s="28"/>
      <c r="L139" s="28"/>
    </row>
    <row r="140" spans="1:12" s="38" customFormat="1" x14ac:dyDescent="0.25">
      <c r="A140" s="48"/>
      <c r="B140" s="48"/>
      <c r="C140" s="13" t="s">
        <v>183</v>
      </c>
      <c r="D140" s="50"/>
      <c r="E140" s="61"/>
      <c r="F140" s="58"/>
      <c r="G140" s="58"/>
      <c r="H140" s="58"/>
      <c r="I140" s="58"/>
      <c r="J140" s="209"/>
    </row>
    <row r="141" spans="1:12" s="38" customFormat="1" x14ac:dyDescent="0.25">
      <c r="A141" s="341"/>
      <c r="B141" s="341"/>
      <c r="C141" s="82" t="s">
        <v>184</v>
      </c>
      <c r="D141" s="83"/>
      <c r="E141" s="71"/>
      <c r="F141" s="4">
        <f>F134</f>
        <v>2022</v>
      </c>
      <c r="G141" s="4">
        <f>F141+1</f>
        <v>2023</v>
      </c>
      <c r="H141" s="4">
        <f>G141+1</f>
        <v>2024</v>
      </c>
      <c r="I141" s="4">
        <f>H141+1</f>
        <v>2025</v>
      </c>
      <c r="J141" s="405"/>
      <c r="K141" s="337"/>
      <c r="L141" s="337"/>
    </row>
    <row r="142" spans="1:12" s="38" customFormat="1" x14ac:dyDescent="0.25">
      <c r="A142" s="78" t="s">
        <v>186</v>
      </c>
      <c r="B142" s="78" t="str">
        <f t="shared" ref="B142:B149" si="11">IF(L142,K142&amp;L142,"")</f>
        <v>K1</v>
      </c>
      <c r="C142" s="212" t="s">
        <v>187</v>
      </c>
      <c r="D142" s="79" t="s">
        <v>664</v>
      </c>
      <c r="E142" s="71" t="s">
        <v>84</v>
      </c>
      <c r="F142" s="191">
        <v>-400</v>
      </c>
      <c r="G142" s="191">
        <v>-500</v>
      </c>
      <c r="H142" s="191">
        <v>-600</v>
      </c>
      <c r="I142" s="191">
        <v>-600</v>
      </c>
      <c r="J142" s="209"/>
      <c r="K142" s="28" t="s">
        <v>724</v>
      </c>
      <c r="L142" s="28">
        <v>1</v>
      </c>
    </row>
    <row r="143" spans="1:12" s="38" customFormat="1" x14ac:dyDescent="0.25">
      <c r="A143" s="78" t="s">
        <v>186</v>
      </c>
      <c r="B143" s="78" t="str">
        <f t="shared" si="11"/>
        <v>K2</v>
      </c>
      <c r="C143" s="212" t="s">
        <v>725</v>
      </c>
      <c r="D143" s="79" t="s">
        <v>91</v>
      </c>
      <c r="E143" s="71" t="s">
        <v>24</v>
      </c>
      <c r="F143" s="191">
        <v>300</v>
      </c>
      <c r="G143" s="191">
        <v>300</v>
      </c>
      <c r="H143" s="191">
        <v>300</v>
      </c>
      <c r="I143" s="191">
        <v>300</v>
      </c>
      <c r="J143" s="209"/>
      <c r="K143" s="28" t="s">
        <v>724</v>
      </c>
      <c r="L143" s="28">
        <f>L142+1</f>
        <v>2</v>
      </c>
    </row>
    <row r="144" spans="1:12" s="38" customFormat="1" x14ac:dyDescent="0.25">
      <c r="A144" s="78" t="s">
        <v>186</v>
      </c>
      <c r="B144" s="78" t="str">
        <f t="shared" si="11"/>
        <v>K3</v>
      </c>
      <c r="C144" s="212" t="s">
        <v>726</v>
      </c>
      <c r="D144" s="79" t="s">
        <v>91</v>
      </c>
      <c r="E144" s="71" t="s">
        <v>24</v>
      </c>
      <c r="F144" s="191">
        <v>100</v>
      </c>
      <c r="G144" s="191">
        <v>100</v>
      </c>
      <c r="H144" s="191">
        <v>100</v>
      </c>
      <c r="I144" s="191">
        <v>100</v>
      </c>
      <c r="J144" s="209"/>
      <c r="K144" s="28" t="s">
        <v>724</v>
      </c>
      <c r="L144" s="28">
        <f>L143+1</f>
        <v>3</v>
      </c>
    </row>
    <row r="145" spans="1:12" s="38" customFormat="1" x14ac:dyDescent="0.25">
      <c r="A145" s="78" t="s">
        <v>186</v>
      </c>
      <c r="B145" s="78" t="str">
        <f t="shared" si="11"/>
        <v>K4</v>
      </c>
      <c r="C145" s="212" t="s">
        <v>727</v>
      </c>
      <c r="D145" s="79" t="s">
        <v>91</v>
      </c>
      <c r="E145" s="71" t="s">
        <v>24</v>
      </c>
      <c r="F145" s="191">
        <v>-100</v>
      </c>
      <c r="G145" s="191">
        <v>-100</v>
      </c>
      <c r="H145" s="191">
        <v>-100</v>
      </c>
      <c r="I145" s="191">
        <v>-100</v>
      </c>
      <c r="J145" s="209"/>
      <c r="K145" s="28" t="s">
        <v>724</v>
      </c>
      <c r="L145" s="28">
        <f>L144+1</f>
        <v>4</v>
      </c>
    </row>
    <row r="146" spans="1:12" s="38" customFormat="1" x14ac:dyDescent="0.25">
      <c r="A146" s="78"/>
      <c r="B146" s="78" t="str">
        <f t="shared" si="11"/>
        <v/>
      </c>
      <c r="C146" s="387" t="s">
        <v>185</v>
      </c>
      <c r="D146" s="79"/>
      <c r="E146" s="71"/>
      <c r="F146" s="191"/>
      <c r="G146" s="191"/>
      <c r="H146" s="191"/>
      <c r="I146" s="191"/>
      <c r="J146" s="209"/>
      <c r="K146" s="28" t="s">
        <v>724</v>
      </c>
      <c r="L146" s="28"/>
    </row>
    <row r="147" spans="1:12" s="38" customFormat="1" x14ac:dyDescent="0.25">
      <c r="A147" s="78" t="s">
        <v>186</v>
      </c>
      <c r="B147" s="78" t="str">
        <f t="shared" si="11"/>
        <v>K5</v>
      </c>
      <c r="C147" s="213" t="s">
        <v>728</v>
      </c>
      <c r="D147" s="72" t="s">
        <v>664</v>
      </c>
      <c r="E147" s="71" t="s">
        <v>84</v>
      </c>
      <c r="F147" s="70">
        <v>0</v>
      </c>
      <c r="G147" s="70">
        <v>50</v>
      </c>
      <c r="H147" s="70">
        <v>50</v>
      </c>
      <c r="I147" s="70">
        <v>50</v>
      </c>
      <c r="J147" s="406" t="s">
        <v>729</v>
      </c>
      <c r="K147" s="28" t="s">
        <v>724</v>
      </c>
      <c r="L147" s="28">
        <v>5</v>
      </c>
    </row>
    <row r="148" spans="1:12" s="38" customFormat="1" x14ac:dyDescent="0.25">
      <c r="A148" s="78" t="s">
        <v>186</v>
      </c>
      <c r="B148" s="78" t="str">
        <f t="shared" si="11"/>
        <v>K6</v>
      </c>
      <c r="C148" s="213" t="s">
        <v>730</v>
      </c>
      <c r="D148" s="72" t="s">
        <v>664</v>
      </c>
      <c r="E148" s="71" t="s">
        <v>84</v>
      </c>
      <c r="F148" s="90">
        <v>460</v>
      </c>
      <c r="G148" s="90">
        <v>460</v>
      </c>
      <c r="H148" s="90">
        <v>460</v>
      </c>
      <c r="I148" s="90">
        <v>460</v>
      </c>
      <c r="J148" s="471" t="s">
        <v>731</v>
      </c>
      <c r="K148" s="28" t="s">
        <v>724</v>
      </c>
      <c r="L148" s="28">
        <f>L147+1</f>
        <v>6</v>
      </c>
    </row>
    <row r="149" spans="1:12" s="38" customFormat="1" x14ac:dyDescent="0.25">
      <c r="A149" s="78" t="s">
        <v>186</v>
      </c>
      <c r="B149" s="78" t="str">
        <f t="shared" si="11"/>
        <v>K7</v>
      </c>
      <c r="C149" s="537" t="s">
        <v>732</v>
      </c>
      <c r="D149" s="518" t="s">
        <v>91</v>
      </c>
      <c r="E149" s="519" t="s">
        <v>24</v>
      </c>
      <c r="F149" s="538">
        <v>165</v>
      </c>
      <c r="G149" s="538">
        <v>165</v>
      </c>
      <c r="H149" s="538">
        <v>165</v>
      </c>
      <c r="I149" s="538">
        <v>165</v>
      </c>
      <c r="J149" s="471" t="s">
        <v>733</v>
      </c>
      <c r="K149" s="28" t="s">
        <v>724</v>
      </c>
      <c r="L149" s="28">
        <f>L148+1</f>
        <v>7</v>
      </c>
    </row>
    <row r="150" spans="1:12" s="38" customFormat="1" x14ac:dyDescent="0.25">
      <c r="A150" s="78"/>
      <c r="B150" s="78"/>
      <c r="C150" s="82"/>
      <c r="D150" s="72"/>
      <c r="E150" s="71"/>
      <c r="F150" s="70"/>
      <c r="G150" s="70"/>
      <c r="H150" s="70"/>
      <c r="I150" s="70"/>
      <c r="J150" s="209"/>
      <c r="K150" s="28" t="s">
        <v>724</v>
      </c>
      <c r="L150" s="28">
        <f>L149+1</f>
        <v>8</v>
      </c>
    </row>
    <row r="151" spans="1:12" s="38" customFormat="1" x14ac:dyDescent="0.25">
      <c r="A151" s="43"/>
      <c r="B151" s="43" t="s">
        <v>127</v>
      </c>
      <c r="C151" s="3" t="s">
        <v>203</v>
      </c>
      <c r="D151" s="52"/>
      <c r="E151" s="52"/>
      <c r="F151" s="56">
        <f>SUMIF($A:$A,"KuN",F:F)</f>
        <v>525</v>
      </c>
      <c r="G151" s="56">
        <f>SUMIF($A:$A,"KuN",G:G)</f>
        <v>475</v>
      </c>
      <c r="H151" s="56">
        <f>SUMIF($A:$A,"KuN",H:H)</f>
        <v>375</v>
      </c>
      <c r="I151" s="56">
        <f>SUMIF($A:$A,"KuN",I:I)</f>
        <v>375</v>
      </c>
      <c r="J151" s="407"/>
      <c r="K151" s="337"/>
      <c r="L151" s="337"/>
    </row>
    <row r="152" spans="1:12" s="38" customFormat="1" x14ac:dyDescent="0.25">
      <c r="A152" s="47"/>
      <c r="B152" s="47"/>
      <c r="C152" s="11"/>
      <c r="D152" s="49"/>
      <c r="E152" s="49"/>
      <c r="F152" s="57"/>
      <c r="G152" s="57"/>
      <c r="H152" s="57"/>
      <c r="I152" s="57"/>
      <c r="J152" s="407"/>
      <c r="K152" s="28"/>
      <c r="L152" s="28"/>
    </row>
    <row r="153" spans="1:12" s="38" customFormat="1" x14ac:dyDescent="0.25">
      <c r="A153" s="48"/>
      <c r="B153" s="48"/>
      <c r="C153" s="248" t="s">
        <v>204</v>
      </c>
      <c r="D153" s="83"/>
      <c r="E153" s="71"/>
      <c r="F153" s="4">
        <f>F141</f>
        <v>2022</v>
      </c>
      <c r="G153" s="4">
        <f>F153+1</f>
        <v>2023</v>
      </c>
      <c r="H153" s="4">
        <f>G153+1</f>
        <v>2024</v>
      </c>
      <c r="I153" s="4">
        <f>H153+1</f>
        <v>2025</v>
      </c>
      <c r="J153" s="407"/>
      <c r="K153" s="337"/>
      <c r="L153" s="337"/>
    </row>
    <row r="154" spans="1:12" s="38" customFormat="1" x14ac:dyDescent="0.25">
      <c r="A154" s="78"/>
      <c r="B154" s="78"/>
      <c r="C154" s="344"/>
      <c r="D154" s="72"/>
      <c r="E154" s="71"/>
      <c r="F154" s="217"/>
      <c r="G154" s="217"/>
      <c r="H154" s="217"/>
      <c r="I154" s="217"/>
      <c r="J154" s="407"/>
      <c r="K154" s="28"/>
      <c r="L154" s="28"/>
    </row>
    <row r="155" spans="1:12" s="38" customFormat="1" x14ac:dyDescent="0.25">
      <c r="A155" s="48"/>
      <c r="B155" s="78" t="str">
        <f t="shared" ref="B155:B180" si="12">IF(L155,K155&amp;L155,"")</f>
        <v/>
      </c>
      <c r="C155" s="208" t="s">
        <v>205</v>
      </c>
      <c r="D155" s="83"/>
      <c r="E155" s="71"/>
      <c r="F155" s="4">
        <f>F153</f>
        <v>2022</v>
      </c>
      <c r="G155" s="4">
        <f>F155+1</f>
        <v>2023</v>
      </c>
      <c r="H155" s="4">
        <f>G155+1</f>
        <v>2024</v>
      </c>
      <c r="I155" s="4">
        <f>H155+1</f>
        <v>2025</v>
      </c>
      <c r="J155" s="407"/>
      <c r="K155" s="337"/>
      <c r="L155" s="337"/>
    </row>
    <row r="156" spans="1:12" s="38" customFormat="1" x14ac:dyDescent="0.25">
      <c r="A156" s="78" t="s">
        <v>206</v>
      </c>
      <c r="B156" s="78" t="str">
        <f t="shared" si="12"/>
        <v>T1</v>
      </c>
      <c r="C156" s="212" t="s">
        <v>734</v>
      </c>
      <c r="D156" s="72" t="s">
        <v>91</v>
      </c>
      <c r="E156" s="71" t="s">
        <v>24</v>
      </c>
      <c r="F156" s="217">
        <v>500</v>
      </c>
      <c r="G156" s="217">
        <v>500</v>
      </c>
      <c r="H156" s="217">
        <v>500</v>
      </c>
      <c r="I156" s="217">
        <v>500</v>
      </c>
      <c r="J156" s="93" t="s">
        <v>691</v>
      </c>
      <c r="K156" s="28" t="s">
        <v>735</v>
      </c>
      <c r="L156" s="28">
        <v>1</v>
      </c>
    </row>
    <row r="157" spans="1:12" s="38" customFormat="1" ht="25.5" x14ac:dyDescent="0.25">
      <c r="A157" s="78" t="s">
        <v>206</v>
      </c>
      <c r="B157" s="78" t="str">
        <f t="shared" si="12"/>
        <v>T2</v>
      </c>
      <c r="C157" s="212" t="s">
        <v>736</v>
      </c>
      <c r="D157" s="72" t="s">
        <v>91</v>
      </c>
      <c r="E157" s="71" t="s">
        <v>24</v>
      </c>
      <c r="F157" s="217">
        <v>700</v>
      </c>
      <c r="G157" s="217">
        <v>700</v>
      </c>
      <c r="H157" s="217">
        <v>700</v>
      </c>
      <c r="I157" s="217">
        <v>700</v>
      </c>
      <c r="J157" s="93" t="s">
        <v>737</v>
      </c>
      <c r="K157" s="28" t="s">
        <v>735</v>
      </c>
      <c r="L157" s="28">
        <f>L156+1</f>
        <v>2</v>
      </c>
    </row>
    <row r="158" spans="1:12" s="38" customFormat="1" x14ac:dyDescent="0.25">
      <c r="A158" s="78" t="s">
        <v>206</v>
      </c>
      <c r="B158" s="78" t="str">
        <f t="shared" si="12"/>
        <v>T3</v>
      </c>
      <c r="C158" s="212" t="s">
        <v>207</v>
      </c>
      <c r="D158" s="72" t="s">
        <v>91</v>
      </c>
      <c r="E158" s="71" t="s">
        <v>24</v>
      </c>
      <c r="F158" s="217">
        <f>6500-5000</f>
        <v>1500</v>
      </c>
      <c r="G158" s="217">
        <f>8000-5000</f>
        <v>3000</v>
      </c>
      <c r="H158" s="217">
        <f>9000-5000</f>
        <v>4000</v>
      </c>
      <c r="I158" s="217">
        <f>9000-5000</f>
        <v>4000</v>
      </c>
      <c r="J158" s="93" t="s">
        <v>738</v>
      </c>
      <c r="K158" s="28" t="s">
        <v>735</v>
      </c>
      <c r="L158" s="28">
        <f>L157+1</f>
        <v>3</v>
      </c>
    </row>
    <row r="159" spans="1:12" s="38" customFormat="1" ht="25.5" x14ac:dyDescent="0.25">
      <c r="A159" s="78" t="s">
        <v>206</v>
      </c>
      <c r="B159" s="78" t="str">
        <f t="shared" si="12"/>
        <v>T4</v>
      </c>
      <c r="C159" s="212" t="s">
        <v>564</v>
      </c>
      <c r="D159" s="72" t="s">
        <v>91</v>
      </c>
      <c r="E159" s="71" t="s">
        <v>24</v>
      </c>
      <c r="F159" s="217">
        <v>250</v>
      </c>
      <c r="G159" s="217">
        <v>300</v>
      </c>
      <c r="H159" s="217">
        <v>350</v>
      </c>
      <c r="I159" s="217">
        <v>400</v>
      </c>
      <c r="J159" s="93" t="s">
        <v>739</v>
      </c>
      <c r="K159" s="28" t="s">
        <v>735</v>
      </c>
      <c r="L159" s="28">
        <f>L158+1</f>
        <v>4</v>
      </c>
    </row>
    <row r="160" spans="1:12" s="38" customFormat="1" ht="56.25" x14ac:dyDescent="0.25">
      <c r="A160" s="78" t="s">
        <v>206</v>
      </c>
      <c r="B160" s="78" t="str">
        <f t="shared" si="12"/>
        <v>T5</v>
      </c>
      <c r="C160" t="s">
        <v>740</v>
      </c>
      <c r="D160" s="72" t="s">
        <v>91</v>
      </c>
      <c r="E160" s="71" t="s">
        <v>24</v>
      </c>
      <c r="F160" s="217">
        <v>500</v>
      </c>
      <c r="G160" s="217">
        <v>500</v>
      </c>
      <c r="H160" s="217">
        <v>500</v>
      </c>
      <c r="I160" s="217">
        <v>500</v>
      </c>
      <c r="J160" s="430" t="s">
        <v>741</v>
      </c>
      <c r="K160" s="28" t="s">
        <v>735</v>
      </c>
      <c r="L160" s="28">
        <v>5</v>
      </c>
    </row>
    <row r="161" spans="1:12" s="38" customFormat="1" x14ac:dyDescent="0.25">
      <c r="A161" s="78"/>
      <c r="B161" s="78" t="str">
        <f t="shared" si="12"/>
        <v/>
      </c>
      <c r="C161" s="212"/>
      <c r="D161" s="72"/>
      <c r="E161" s="71"/>
      <c r="F161" s="217"/>
      <c r="G161" s="217"/>
      <c r="H161" s="217"/>
      <c r="I161" s="217"/>
      <c r="J161" s="93"/>
      <c r="K161" s="28"/>
      <c r="L161" s="28"/>
    </row>
    <row r="162" spans="1:12" s="38" customFormat="1" x14ac:dyDescent="0.25">
      <c r="A162" s="78"/>
      <c r="B162" s="78" t="str">
        <f t="shared" si="12"/>
        <v/>
      </c>
      <c r="C162" s="208" t="s">
        <v>209</v>
      </c>
      <c r="D162" s="72"/>
      <c r="E162" s="71"/>
      <c r="F162" s="4">
        <f>F155</f>
        <v>2022</v>
      </c>
      <c r="G162" s="4">
        <f>F162+1</f>
        <v>2023</v>
      </c>
      <c r="H162" s="4">
        <f>G162+1</f>
        <v>2024</v>
      </c>
      <c r="I162" s="4">
        <f>H162+1</f>
        <v>2025</v>
      </c>
      <c r="J162" s="407"/>
      <c r="K162" s="337"/>
      <c r="L162" s="337"/>
    </row>
    <row r="163" spans="1:12" s="38" customFormat="1" x14ac:dyDescent="0.25">
      <c r="A163" s="78" t="s">
        <v>206</v>
      </c>
      <c r="B163" s="78" t="str">
        <f t="shared" si="12"/>
        <v>T6</v>
      </c>
      <c r="C163" s="344" t="s">
        <v>211</v>
      </c>
      <c r="D163" s="72" t="s">
        <v>664</v>
      </c>
      <c r="E163" s="71" t="s">
        <v>84</v>
      </c>
      <c r="F163" s="217"/>
      <c r="G163" s="217">
        <v>-450</v>
      </c>
      <c r="H163" s="217">
        <v>-450</v>
      </c>
      <c r="I163" s="217">
        <v>-450</v>
      </c>
      <c r="J163" s="407" t="s">
        <v>742</v>
      </c>
      <c r="K163" s="28" t="s">
        <v>735</v>
      </c>
      <c r="L163" s="28">
        <f>L160+1</f>
        <v>6</v>
      </c>
    </row>
    <row r="164" spans="1:12" s="38" customFormat="1" x14ac:dyDescent="0.25">
      <c r="A164" s="78"/>
      <c r="B164" s="78" t="str">
        <f t="shared" si="12"/>
        <v/>
      </c>
      <c r="C164" s="344"/>
      <c r="D164" s="72"/>
      <c r="E164" s="71"/>
      <c r="F164" s="217"/>
      <c r="G164" s="217"/>
      <c r="H164" s="217"/>
      <c r="I164" s="217"/>
      <c r="J164" s="407"/>
      <c r="K164" s="28"/>
      <c r="L164" s="28"/>
    </row>
    <row r="165" spans="1:12" s="38" customFormat="1" x14ac:dyDescent="0.25">
      <c r="A165" s="78"/>
      <c r="B165" s="78" t="str">
        <f t="shared" si="12"/>
        <v/>
      </c>
      <c r="C165" s="208" t="s">
        <v>213</v>
      </c>
      <c r="D165" s="72"/>
      <c r="E165" s="71"/>
      <c r="F165" s="4">
        <f>F162</f>
        <v>2022</v>
      </c>
      <c r="G165" s="4">
        <f>F165+1</f>
        <v>2023</v>
      </c>
      <c r="H165" s="4">
        <f>G165+1</f>
        <v>2024</v>
      </c>
      <c r="I165" s="4">
        <f>H165+1</f>
        <v>2025</v>
      </c>
      <c r="J165" s="407"/>
      <c r="K165" s="337"/>
      <c r="L165" s="337"/>
    </row>
    <row r="166" spans="1:12" s="38" customFormat="1" x14ac:dyDescent="0.25">
      <c r="A166" s="45" t="s">
        <v>206</v>
      </c>
      <c r="B166" s="78" t="str">
        <f t="shared" si="12"/>
        <v>T7</v>
      </c>
      <c r="C166" s="212" t="s">
        <v>743</v>
      </c>
      <c r="D166" s="72" t="s">
        <v>664</v>
      </c>
      <c r="E166" s="71" t="s">
        <v>84</v>
      </c>
      <c r="F166" s="217">
        <v>0</v>
      </c>
      <c r="G166" s="217">
        <v>-350</v>
      </c>
      <c r="H166" s="217">
        <v>-350</v>
      </c>
      <c r="I166" s="217">
        <v>-350</v>
      </c>
      <c r="J166" s="407"/>
      <c r="K166" s="28" t="s">
        <v>735</v>
      </c>
      <c r="L166" s="28">
        <f>+L163+1</f>
        <v>7</v>
      </c>
    </row>
    <row r="167" spans="1:12" s="38" customFormat="1" ht="25.5" x14ac:dyDescent="0.25">
      <c r="A167" s="45" t="s">
        <v>206</v>
      </c>
      <c r="B167" s="78" t="str">
        <f t="shared" si="12"/>
        <v>T8</v>
      </c>
      <c r="C167" s="212" t="s">
        <v>744</v>
      </c>
      <c r="D167" s="72" t="s">
        <v>664</v>
      </c>
      <c r="E167" s="71" t="s">
        <v>84</v>
      </c>
      <c r="F167" s="217">
        <v>0</v>
      </c>
      <c r="G167" s="217">
        <v>2500</v>
      </c>
      <c r="H167" s="217">
        <v>2500</v>
      </c>
      <c r="I167" s="217">
        <v>2500</v>
      </c>
      <c r="J167" s="407"/>
      <c r="K167" s="28" t="s">
        <v>735</v>
      </c>
      <c r="L167" s="28">
        <f t="shared" ref="L167:L176" si="13">+L166+1</f>
        <v>8</v>
      </c>
    </row>
    <row r="168" spans="1:12" s="38" customFormat="1" x14ac:dyDescent="0.25">
      <c r="A168" s="45" t="s">
        <v>206</v>
      </c>
      <c r="B168" s="78" t="str">
        <f t="shared" si="12"/>
        <v>T9</v>
      </c>
      <c r="C168" s="212" t="s">
        <v>745</v>
      </c>
      <c r="D168" s="72" t="s">
        <v>664</v>
      </c>
      <c r="E168" s="71" t="s">
        <v>84</v>
      </c>
      <c r="F168" s="217">
        <v>0</v>
      </c>
      <c r="G168" s="217">
        <v>-350</v>
      </c>
      <c r="H168" s="217">
        <v>-350</v>
      </c>
      <c r="I168" s="217">
        <v>-350</v>
      </c>
      <c r="J168" s="407"/>
      <c r="K168" s="28" t="s">
        <v>735</v>
      </c>
      <c r="L168" s="28">
        <f t="shared" si="13"/>
        <v>9</v>
      </c>
    </row>
    <row r="169" spans="1:12" s="38" customFormat="1" x14ac:dyDescent="0.25">
      <c r="A169" s="45" t="s">
        <v>206</v>
      </c>
      <c r="B169" s="78" t="str">
        <f t="shared" si="12"/>
        <v>T10</v>
      </c>
      <c r="C169" s="212" t="s">
        <v>746</v>
      </c>
      <c r="D169" s="72" t="s">
        <v>91</v>
      </c>
      <c r="E169" s="71" t="s">
        <v>24</v>
      </c>
      <c r="F169" s="110">
        <v>10</v>
      </c>
      <c r="G169" s="110">
        <v>20</v>
      </c>
      <c r="H169" s="110">
        <v>30</v>
      </c>
      <c r="I169" s="110">
        <v>40</v>
      </c>
      <c r="J169" s="209" t="s">
        <v>747</v>
      </c>
      <c r="K169" s="28" t="s">
        <v>735</v>
      </c>
      <c r="L169" s="28">
        <f t="shared" si="13"/>
        <v>10</v>
      </c>
    </row>
    <row r="170" spans="1:12" s="38" customFormat="1" x14ac:dyDescent="0.25">
      <c r="A170" s="45" t="s">
        <v>206</v>
      </c>
      <c r="B170" s="78" t="str">
        <f t="shared" si="12"/>
        <v>T11</v>
      </c>
      <c r="C170" s="212" t="s">
        <v>748</v>
      </c>
      <c r="D170" s="72" t="s">
        <v>91</v>
      </c>
      <c r="E170" s="71" t="s">
        <v>24</v>
      </c>
      <c r="F170" s="110">
        <v>1300</v>
      </c>
      <c r="G170" s="110">
        <v>1300</v>
      </c>
      <c r="H170" s="110">
        <v>1300</v>
      </c>
      <c r="I170" s="110">
        <v>1300</v>
      </c>
      <c r="J170" s="93" t="s">
        <v>691</v>
      </c>
      <c r="K170" s="28" t="s">
        <v>735</v>
      </c>
      <c r="L170" s="28">
        <f t="shared" si="13"/>
        <v>11</v>
      </c>
    </row>
    <row r="171" spans="1:12" s="38" customFormat="1" x14ac:dyDescent="0.25">
      <c r="A171" s="45" t="s">
        <v>206</v>
      </c>
      <c r="B171" s="78" t="str">
        <f t="shared" si="12"/>
        <v>T12</v>
      </c>
      <c r="C171" s="212" t="s">
        <v>749</v>
      </c>
      <c r="D171" s="72" t="s">
        <v>91</v>
      </c>
      <c r="E171" s="71" t="s">
        <v>24</v>
      </c>
      <c r="F171" s="110">
        <v>400</v>
      </c>
      <c r="G171" s="110">
        <v>400</v>
      </c>
      <c r="H171" s="110">
        <v>400</v>
      </c>
      <c r="I171" s="110">
        <v>400</v>
      </c>
      <c r="J171" s="93" t="s">
        <v>691</v>
      </c>
      <c r="K171" s="28" t="s">
        <v>735</v>
      </c>
      <c r="L171" s="28">
        <f t="shared" si="13"/>
        <v>12</v>
      </c>
    </row>
    <row r="172" spans="1:12" s="38" customFormat="1" x14ac:dyDescent="0.25">
      <c r="A172" s="45" t="s">
        <v>206</v>
      </c>
      <c r="B172" s="78" t="str">
        <f t="shared" si="12"/>
        <v>T13</v>
      </c>
      <c r="C172" s="212" t="s">
        <v>750</v>
      </c>
      <c r="D172" s="72" t="s">
        <v>91</v>
      </c>
      <c r="E172" s="71" t="s">
        <v>24</v>
      </c>
      <c r="F172" s="110">
        <v>585</v>
      </c>
      <c r="G172" s="110">
        <v>585</v>
      </c>
      <c r="H172" s="110">
        <v>585</v>
      </c>
      <c r="I172" s="110">
        <v>585</v>
      </c>
      <c r="J172" s="93" t="s">
        <v>691</v>
      </c>
      <c r="K172" s="28" t="s">
        <v>735</v>
      </c>
      <c r="L172" s="28">
        <f t="shared" si="13"/>
        <v>13</v>
      </c>
    </row>
    <row r="173" spans="1:12" s="38" customFormat="1" ht="33.75" x14ac:dyDescent="0.25">
      <c r="A173" s="45" t="s">
        <v>206</v>
      </c>
      <c r="B173" s="78" t="str">
        <f t="shared" si="12"/>
        <v>T14</v>
      </c>
      <c r="C173" s="212" t="s">
        <v>751</v>
      </c>
      <c r="D173" s="79" t="s">
        <v>91</v>
      </c>
      <c r="E173" s="71" t="s">
        <v>24</v>
      </c>
      <c r="F173" s="110">
        <v>700</v>
      </c>
      <c r="G173" s="110">
        <v>700</v>
      </c>
      <c r="H173" s="110">
        <v>700</v>
      </c>
      <c r="I173" s="110">
        <v>700</v>
      </c>
      <c r="J173" s="406" t="s">
        <v>752</v>
      </c>
      <c r="K173" s="28" t="s">
        <v>735</v>
      </c>
      <c r="L173" s="28">
        <f t="shared" si="13"/>
        <v>14</v>
      </c>
    </row>
    <row r="174" spans="1:12" s="38" customFormat="1" ht="22.5" x14ac:dyDescent="0.25">
      <c r="A174" s="45" t="s">
        <v>206</v>
      </c>
      <c r="B174" s="78" t="str">
        <f t="shared" si="12"/>
        <v>T15</v>
      </c>
      <c r="C174" s="212" t="s">
        <v>215</v>
      </c>
      <c r="D174" s="72" t="s">
        <v>91</v>
      </c>
      <c r="E174" s="71" t="s">
        <v>24</v>
      </c>
      <c r="F174" s="110">
        <v>300</v>
      </c>
      <c r="G174" s="110">
        <v>300</v>
      </c>
      <c r="H174" s="110"/>
      <c r="I174" s="110"/>
      <c r="J174" s="465" t="s">
        <v>753</v>
      </c>
      <c r="K174" s="28" t="s">
        <v>735</v>
      </c>
      <c r="L174" s="28">
        <f t="shared" si="13"/>
        <v>15</v>
      </c>
    </row>
    <row r="175" spans="1:12" s="38" customFormat="1" ht="22.5" x14ac:dyDescent="0.25">
      <c r="A175" s="45" t="s">
        <v>206</v>
      </c>
      <c r="B175" s="78" t="str">
        <f t="shared" si="12"/>
        <v>T16</v>
      </c>
      <c r="C175" t="s">
        <v>754</v>
      </c>
      <c r="D175" s="72" t="s">
        <v>91</v>
      </c>
      <c r="E175" s="71" t="s">
        <v>24</v>
      </c>
      <c r="F175" s="110">
        <v>500</v>
      </c>
      <c r="G175" s="110">
        <v>500</v>
      </c>
      <c r="H175" s="110"/>
      <c r="I175" s="110"/>
      <c r="J175" s="465" t="s">
        <v>755</v>
      </c>
      <c r="K175" s="28" t="s">
        <v>735</v>
      </c>
      <c r="L175" s="28">
        <f t="shared" si="13"/>
        <v>16</v>
      </c>
    </row>
    <row r="176" spans="1:12" s="38" customFormat="1" x14ac:dyDescent="0.25">
      <c r="A176" s="45" t="s">
        <v>206</v>
      </c>
      <c r="B176" s="78" t="str">
        <f t="shared" si="12"/>
        <v>T17</v>
      </c>
      <c r="C176" s="212" t="s">
        <v>566</v>
      </c>
      <c r="D176" s="72" t="s">
        <v>661</v>
      </c>
      <c r="E176" s="71" t="s">
        <v>84</v>
      </c>
      <c r="F176" s="484">
        <v>3300</v>
      </c>
      <c r="G176" s="484">
        <v>3300</v>
      </c>
      <c r="H176" s="484">
        <v>3300</v>
      </c>
      <c r="I176" s="484">
        <v>3300</v>
      </c>
      <c r="J176" s="470" t="s">
        <v>696</v>
      </c>
      <c r="K176" s="28" t="s">
        <v>735</v>
      </c>
      <c r="L176" s="28">
        <f t="shared" si="13"/>
        <v>17</v>
      </c>
    </row>
    <row r="177" spans="1:12" s="38" customFormat="1" x14ac:dyDescent="0.2">
      <c r="A177" s="45"/>
      <c r="B177" s="78" t="str">
        <f t="shared" si="12"/>
        <v/>
      </c>
      <c r="C177" s="385"/>
      <c r="D177" s="72"/>
      <c r="E177" s="71"/>
      <c r="F177" s="217"/>
      <c r="G177" s="217"/>
      <c r="H177" s="217"/>
      <c r="I177" s="217"/>
      <c r="J177" s="407"/>
      <c r="K177" s="28"/>
      <c r="L177" s="28"/>
    </row>
    <row r="178" spans="1:12" s="38" customFormat="1" x14ac:dyDescent="0.25">
      <c r="A178" s="45"/>
      <c r="B178" s="78" t="str">
        <f t="shared" si="12"/>
        <v/>
      </c>
      <c r="C178" s="208" t="s">
        <v>756</v>
      </c>
      <c r="D178" s="72"/>
      <c r="E178" s="71"/>
      <c r="F178" s="217"/>
      <c r="G178" s="217"/>
      <c r="H178" s="217"/>
      <c r="I178" s="217"/>
      <c r="J178" s="407"/>
      <c r="K178" s="28"/>
      <c r="L178" s="28"/>
    </row>
    <row r="179" spans="1:12" s="38" customFormat="1" x14ac:dyDescent="0.25">
      <c r="A179" s="45" t="s">
        <v>206</v>
      </c>
      <c r="B179" s="78" t="str">
        <f t="shared" si="12"/>
        <v>T18</v>
      </c>
      <c r="C179" s="84" t="s">
        <v>757</v>
      </c>
      <c r="D179" s="72" t="s">
        <v>91</v>
      </c>
      <c r="E179" s="71" t="s">
        <v>24</v>
      </c>
      <c r="F179" s="217">
        <v>60</v>
      </c>
      <c r="G179" s="217">
        <v>60</v>
      </c>
      <c r="H179" s="217">
        <v>60</v>
      </c>
      <c r="I179" s="217">
        <v>60</v>
      </c>
      <c r="J179" s="93" t="s">
        <v>691</v>
      </c>
      <c r="K179" s="28" t="s">
        <v>735</v>
      </c>
      <c r="L179" s="28">
        <f>L176+1</f>
        <v>18</v>
      </c>
    </row>
    <row r="180" spans="1:12" s="38" customFormat="1" x14ac:dyDescent="0.25">
      <c r="A180" s="45" t="s">
        <v>206</v>
      </c>
      <c r="B180" s="78" t="str">
        <f t="shared" si="12"/>
        <v/>
      </c>
      <c r="C180" s="212"/>
      <c r="D180" s="72" t="s">
        <v>91</v>
      </c>
      <c r="E180" s="71"/>
      <c r="F180" s="217"/>
      <c r="G180" s="217"/>
      <c r="H180" s="217"/>
      <c r="I180" s="217"/>
      <c r="J180" s="407"/>
      <c r="K180" s="28"/>
      <c r="L180" s="28"/>
    </row>
    <row r="181" spans="1:12" s="38" customFormat="1" x14ac:dyDescent="0.25">
      <c r="A181" s="43"/>
      <c r="B181" s="43" t="s">
        <v>127</v>
      </c>
      <c r="C181" s="3" t="s">
        <v>230</v>
      </c>
      <c r="D181" s="52"/>
      <c r="E181" s="52"/>
      <c r="F181" s="56">
        <f>SUMIF($A:$A,"byte",F:F)</f>
        <v>10605</v>
      </c>
      <c r="G181" s="56">
        <f>SUMIF($A:$A,"byte",G:G)</f>
        <v>13515</v>
      </c>
      <c r="H181" s="56">
        <f>SUMIF($A:$A,"byte",H:H)</f>
        <v>13775</v>
      </c>
      <c r="I181" s="56">
        <f>SUMIF($A:$A,"byte",I:I)</f>
        <v>13835</v>
      </c>
      <c r="J181" s="407"/>
      <c r="K181" s="337"/>
      <c r="L181" s="337"/>
    </row>
    <row r="182" spans="1:12" s="38" customFormat="1" x14ac:dyDescent="0.25">
      <c r="A182"/>
      <c r="B182"/>
      <c r="C182"/>
      <c r="D182"/>
      <c r="E182"/>
      <c r="F182"/>
      <c r="G182"/>
      <c r="H182"/>
      <c r="I182"/>
      <c r="J182" s="407"/>
      <c r="K182" s="28"/>
      <c r="L182" s="28"/>
    </row>
    <row r="183" spans="1:12" s="38" customFormat="1" x14ac:dyDescent="0.25">
      <c r="A183" s="78"/>
      <c r="B183" s="78"/>
      <c r="C183" s="208" t="s">
        <v>231</v>
      </c>
      <c r="D183" s="72"/>
      <c r="E183" s="71"/>
      <c r="F183" s="4">
        <f>F165</f>
        <v>2022</v>
      </c>
      <c r="G183" s="4">
        <f>F183+1</f>
        <v>2023</v>
      </c>
      <c r="H183" s="4">
        <f>G183+1</f>
        <v>2024</v>
      </c>
      <c r="I183" s="4">
        <f>H183+1</f>
        <v>2025</v>
      </c>
      <c r="J183" s="407"/>
      <c r="K183" s="337"/>
      <c r="L183" s="337"/>
    </row>
    <row r="184" spans="1:12" s="38" customFormat="1" x14ac:dyDescent="0.25">
      <c r="A184" s="78" t="s">
        <v>232</v>
      </c>
      <c r="B184" s="78" t="str">
        <f>IF(L184,K184&amp;L184,"")</f>
        <v>O1</v>
      </c>
      <c r="C184" s="84" t="s">
        <v>758</v>
      </c>
      <c r="D184" s="72" t="s">
        <v>664</v>
      </c>
      <c r="E184" s="71" t="s">
        <v>84</v>
      </c>
      <c r="F184" s="70">
        <v>0</v>
      </c>
      <c r="G184" s="70">
        <v>-800</v>
      </c>
      <c r="H184" s="70">
        <v>-800</v>
      </c>
      <c r="I184" s="70">
        <v>-800</v>
      </c>
      <c r="J184" s="407"/>
      <c r="K184" s="28" t="s">
        <v>759</v>
      </c>
      <c r="L184" s="28">
        <v>1</v>
      </c>
    </row>
    <row r="185" spans="1:12" s="38" customFormat="1" x14ac:dyDescent="0.25">
      <c r="A185" s="78" t="s">
        <v>232</v>
      </c>
      <c r="B185" s="78" t="str">
        <f>IF(L185,K185&amp;L185,"")</f>
        <v>O2</v>
      </c>
      <c r="C185" s="84" t="s">
        <v>760</v>
      </c>
      <c r="D185" s="72" t="s">
        <v>91</v>
      </c>
      <c r="E185" s="71" t="s">
        <v>24</v>
      </c>
      <c r="F185" s="287"/>
      <c r="G185" s="287">
        <v>5000</v>
      </c>
      <c r="H185" s="287">
        <v>10000</v>
      </c>
      <c r="I185" s="287">
        <v>15000</v>
      </c>
      <c r="J185" s="409"/>
      <c r="K185" s="28" t="s">
        <v>759</v>
      </c>
      <c r="L185" s="28">
        <f>L184+1</f>
        <v>2</v>
      </c>
    </row>
    <row r="186" spans="1:12" s="38" customFormat="1" x14ac:dyDescent="0.25">
      <c r="A186" s="78" t="s">
        <v>232</v>
      </c>
      <c r="B186" s="78" t="str">
        <f>IF(L186,K186&amp;L186,"")</f>
        <v>O3</v>
      </c>
      <c r="C186" s="84" t="s">
        <v>761</v>
      </c>
      <c r="D186" s="72" t="s">
        <v>91</v>
      </c>
      <c r="E186" s="71" t="s">
        <v>24</v>
      </c>
      <c r="F186" s="287">
        <v>220</v>
      </c>
      <c r="G186" s="287">
        <v>220</v>
      </c>
      <c r="H186" s="287">
        <v>220</v>
      </c>
      <c r="I186" s="287">
        <v>220</v>
      </c>
      <c r="J186" s="407"/>
      <c r="K186" s="28" t="s">
        <v>759</v>
      </c>
      <c r="L186" s="28">
        <f>L185+1</f>
        <v>3</v>
      </c>
    </row>
    <row r="187" spans="1:12" s="38" customFormat="1" x14ac:dyDescent="0.25">
      <c r="A187" s="78" t="s">
        <v>232</v>
      </c>
      <c r="B187" s="78" t="str">
        <f>IF(L187,K187&amp;L187,"")</f>
        <v>O4</v>
      </c>
      <c r="C187" s="84" t="s">
        <v>234</v>
      </c>
      <c r="D187" s="72" t="s">
        <v>91</v>
      </c>
      <c r="E187" s="71" t="s">
        <v>24</v>
      </c>
      <c r="F187" s="287">
        <v>12600</v>
      </c>
      <c r="G187" s="287">
        <v>14300</v>
      </c>
      <c r="H187" s="287">
        <v>7900</v>
      </c>
      <c r="I187" s="287">
        <v>7900</v>
      </c>
      <c r="J187" s="407"/>
      <c r="K187" s="38" t="s">
        <v>759</v>
      </c>
      <c r="L187" s="28">
        <f>L186+1</f>
        <v>4</v>
      </c>
    </row>
    <row r="188" spans="1:12" s="38" customFormat="1" x14ac:dyDescent="0.25">
      <c r="A188" s="78" t="s">
        <v>232</v>
      </c>
      <c r="B188" s="78" t="str">
        <f>IF(L188,K188&amp;L188,"")</f>
        <v>O5</v>
      </c>
      <c r="C188" s="84" t="s">
        <v>762</v>
      </c>
      <c r="D188" s="72" t="s">
        <v>91</v>
      </c>
      <c r="E188" s="71" t="s">
        <v>24</v>
      </c>
      <c r="F188" s="421">
        <v>750</v>
      </c>
      <c r="G188" s="421">
        <v>750</v>
      </c>
      <c r="H188" s="421">
        <v>750</v>
      </c>
      <c r="I188" s="421">
        <v>750</v>
      </c>
      <c r="J188" s="407"/>
      <c r="K188" s="38" t="s">
        <v>759</v>
      </c>
      <c r="L188" s="28">
        <f>L187+1</f>
        <v>5</v>
      </c>
    </row>
    <row r="189" spans="1:12" s="38" customFormat="1" x14ac:dyDescent="0.25">
      <c r="A189" s="47"/>
      <c r="B189" s="47"/>
      <c r="C189" s="245"/>
      <c r="D189" s="214"/>
      <c r="E189" s="111"/>
      <c r="F189" s="70"/>
      <c r="G189" s="70"/>
      <c r="H189" s="70"/>
      <c r="I189" s="70"/>
      <c r="J189" s="407"/>
    </row>
    <row r="190" spans="1:12" s="38" customFormat="1" x14ac:dyDescent="0.25">
      <c r="A190" s="43"/>
      <c r="B190" s="43" t="s">
        <v>127</v>
      </c>
      <c r="C190" s="3" t="s">
        <v>240</v>
      </c>
      <c r="D190" s="52"/>
      <c r="E190" s="52"/>
      <c r="F190" s="56">
        <f>SUMIF($A:$A,"ORG",F:F)</f>
        <v>13570</v>
      </c>
      <c r="G190" s="56">
        <f>SUMIF($A:$A,"ORG",G:G)</f>
        <v>19470</v>
      </c>
      <c r="H190" s="56">
        <f>SUMIF($A:$A,"ORG",H:H)</f>
        <v>18070</v>
      </c>
      <c r="I190" s="56">
        <f>SUMIF($A:$A,"ORG",I:I)</f>
        <v>23070</v>
      </c>
      <c r="J190" s="407"/>
      <c r="K190" s="337"/>
      <c r="L190" s="337"/>
    </row>
    <row r="191" spans="1:12" s="38" customFormat="1" x14ac:dyDescent="0.25">
      <c r="A191" s="47"/>
      <c r="B191" s="47"/>
      <c r="C191" s="11"/>
      <c r="D191" s="49"/>
      <c r="E191" s="49"/>
      <c r="F191" s="57"/>
      <c r="G191" s="57"/>
      <c r="H191" s="57"/>
      <c r="I191" s="57"/>
      <c r="J191" s="407"/>
      <c r="K191" s="28"/>
      <c r="L191" s="28"/>
    </row>
    <row r="192" spans="1:12" s="38" customFormat="1" x14ac:dyDescent="0.25">
      <c r="A192" s="48"/>
      <c r="B192" s="48"/>
      <c r="C192" s="13" t="s">
        <v>241</v>
      </c>
      <c r="D192" s="50"/>
      <c r="E192" s="61"/>
      <c r="F192" s="4">
        <f>F183</f>
        <v>2022</v>
      </c>
      <c r="G192" s="4">
        <f>F192+1</f>
        <v>2023</v>
      </c>
      <c r="H192" s="4">
        <f>G192+1</f>
        <v>2024</v>
      </c>
      <c r="I192" s="4">
        <f>H192+1</f>
        <v>2025</v>
      </c>
      <c r="J192" s="407"/>
      <c r="K192" s="337"/>
      <c r="L192" s="337"/>
    </row>
    <row r="193" spans="1:12" s="38" customFormat="1" x14ac:dyDescent="0.25">
      <c r="A193" s="45" t="s">
        <v>242</v>
      </c>
      <c r="B193" s="45" t="str">
        <f>IF(L193,K193&amp;L193,"")</f>
        <v>Ø1</v>
      </c>
      <c r="C193" s="346" t="s">
        <v>763</v>
      </c>
      <c r="D193" s="72" t="s">
        <v>664</v>
      </c>
      <c r="E193" s="71" t="s">
        <v>84</v>
      </c>
      <c r="F193" s="70">
        <v>0</v>
      </c>
      <c r="G193" s="70">
        <v>-1300</v>
      </c>
      <c r="H193" s="70">
        <v>-1300</v>
      </c>
      <c r="I193" s="70">
        <v>-1300</v>
      </c>
      <c r="J193" s="409"/>
      <c r="K193" s="28" t="s">
        <v>764</v>
      </c>
      <c r="L193" s="28">
        <v>1</v>
      </c>
    </row>
    <row r="194" spans="1:12" s="38" customFormat="1" x14ac:dyDescent="0.25">
      <c r="A194" s="45" t="s">
        <v>242</v>
      </c>
      <c r="B194" s="45" t="str">
        <f>IF(L194,K194&amp;L194,"")</f>
        <v>Ø2</v>
      </c>
      <c r="C194" s="347" t="s">
        <v>765</v>
      </c>
      <c r="D194" s="72" t="s">
        <v>664</v>
      </c>
      <c r="E194" s="71" t="s">
        <v>84</v>
      </c>
      <c r="F194" s="70">
        <v>0</v>
      </c>
      <c r="G194" s="70">
        <v>1300</v>
      </c>
      <c r="H194" s="70">
        <v>1300</v>
      </c>
      <c r="I194" s="70">
        <v>1300</v>
      </c>
      <c r="J194" s="409"/>
      <c r="K194" s="28" t="s">
        <v>764</v>
      </c>
      <c r="L194" s="28">
        <f>L193+1</f>
        <v>2</v>
      </c>
    </row>
    <row r="195" spans="1:12" s="38" customFormat="1" x14ac:dyDescent="0.25">
      <c r="A195" s="45" t="s">
        <v>242</v>
      </c>
      <c r="B195" s="45" t="str">
        <f>IF(L195,K195&amp;L195,"")</f>
        <v>Ø3</v>
      </c>
      <c r="C195" s="515" t="s">
        <v>766</v>
      </c>
      <c r="D195" s="516" t="s">
        <v>91</v>
      </c>
      <c r="E195" s="517" t="s">
        <v>24</v>
      </c>
      <c r="F195" s="539">
        <v>0</v>
      </c>
      <c r="G195" s="539">
        <v>70</v>
      </c>
      <c r="H195" s="539">
        <v>70</v>
      </c>
      <c r="I195" s="539">
        <v>70</v>
      </c>
      <c r="J195" s="544" t="s">
        <v>767</v>
      </c>
      <c r="K195" s="28" t="s">
        <v>764</v>
      </c>
      <c r="L195" s="28">
        <f>L194+1</f>
        <v>3</v>
      </c>
    </row>
    <row r="196" spans="1:12" s="38" customFormat="1" x14ac:dyDescent="0.25">
      <c r="A196" s="45" t="s">
        <v>242</v>
      </c>
      <c r="B196" s="45" t="str">
        <f>IF(L196,K196&amp;L196,"")</f>
        <v>Ø3</v>
      </c>
      <c r="C196" s="346" t="s">
        <v>768</v>
      </c>
      <c r="D196" s="79" t="s">
        <v>91</v>
      </c>
      <c r="E196" s="71" t="s">
        <v>24</v>
      </c>
      <c r="F196" s="191">
        <v>550</v>
      </c>
      <c r="G196" s="191">
        <v>550</v>
      </c>
      <c r="H196" s="191">
        <v>550</v>
      </c>
      <c r="I196" s="191">
        <v>550</v>
      </c>
      <c r="J196" s="94" t="s">
        <v>769</v>
      </c>
      <c r="K196" s="28" t="s">
        <v>764</v>
      </c>
      <c r="L196" s="28">
        <f>L194+1</f>
        <v>3</v>
      </c>
    </row>
    <row r="197" spans="1:12" s="38" customFormat="1" x14ac:dyDescent="0.25">
      <c r="A197" s="45" t="s">
        <v>242</v>
      </c>
      <c r="B197" s="45" t="str">
        <f>IF(L197,K197&amp;L197,"")</f>
        <v>Ø4</v>
      </c>
      <c r="C197" s="346" t="s">
        <v>770</v>
      </c>
      <c r="D197" s="72" t="s">
        <v>91</v>
      </c>
      <c r="E197" s="71" t="s">
        <v>24</v>
      </c>
      <c r="F197" s="70">
        <v>-600</v>
      </c>
      <c r="G197" s="70">
        <v>-600</v>
      </c>
      <c r="H197" s="70">
        <v>-600</v>
      </c>
      <c r="I197" s="70">
        <v>-600</v>
      </c>
      <c r="J197" s="94" t="s">
        <v>771</v>
      </c>
      <c r="K197" s="28" t="s">
        <v>764</v>
      </c>
      <c r="L197" s="28">
        <f>L196+1</f>
        <v>4</v>
      </c>
    </row>
    <row r="198" spans="1:12" s="38" customFormat="1" x14ac:dyDescent="0.25">
      <c r="A198" s="43"/>
      <c r="B198" s="43" t="s">
        <v>127</v>
      </c>
      <c r="C198" s="3" t="s">
        <v>248</v>
      </c>
      <c r="D198" s="52"/>
      <c r="E198" s="52"/>
      <c r="F198" s="56">
        <f>SUMIF($A:$A,"ØK",F:F)</f>
        <v>-50</v>
      </c>
      <c r="G198" s="56">
        <f>SUMIF($A:$A,"ØK",G:G)</f>
        <v>20</v>
      </c>
      <c r="H198" s="56">
        <f>SUMIF($A:$A,"ØK",H:H)</f>
        <v>20</v>
      </c>
      <c r="I198" s="56">
        <f>SUMIF($A:$A,"ØK",I:I)</f>
        <v>20</v>
      </c>
      <c r="J198" s="407"/>
      <c r="K198" s="337"/>
      <c r="L198" s="337"/>
    </row>
    <row r="199" spans="1:12" s="38" customFormat="1" x14ac:dyDescent="0.25">
      <c r="A199" s="47"/>
      <c r="B199" s="47"/>
      <c r="C199" s="11"/>
      <c r="D199" s="49"/>
      <c r="E199" s="49"/>
      <c r="F199" s="57"/>
      <c r="G199" s="57"/>
      <c r="H199" s="57"/>
      <c r="I199" s="57"/>
      <c r="J199" s="407"/>
      <c r="K199" s="28"/>
      <c r="L199" s="28"/>
    </row>
    <row r="200" spans="1:12" s="38" customFormat="1" x14ac:dyDescent="0.25">
      <c r="A200" s="48"/>
      <c r="B200" s="48"/>
      <c r="C200" s="13" t="s">
        <v>249</v>
      </c>
      <c r="D200" s="50"/>
      <c r="E200" s="61"/>
      <c r="F200" s="58"/>
      <c r="G200" s="58"/>
      <c r="H200" s="58"/>
      <c r="I200" s="58"/>
      <c r="J200" s="407"/>
    </row>
    <row r="201" spans="1:12" s="38" customFormat="1" x14ac:dyDescent="0.25">
      <c r="A201" s="249"/>
      <c r="B201" s="249"/>
      <c r="C201" s="82" t="s">
        <v>250</v>
      </c>
      <c r="D201" s="83"/>
      <c r="E201" s="71"/>
      <c r="F201" s="4">
        <f>F192</f>
        <v>2022</v>
      </c>
      <c r="G201" s="4">
        <f>F201+1</f>
        <v>2023</v>
      </c>
      <c r="H201" s="4">
        <f>G201+1</f>
        <v>2024</v>
      </c>
      <c r="I201" s="4">
        <f>H201+1</f>
        <v>2025</v>
      </c>
      <c r="J201" s="407"/>
      <c r="K201" s="337"/>
      <c r="L201" s="337"/>
    </row>
    <row r="202" spans="1:12" s="38" customFormat="1" x14ac:dyDescent="0.25">
      <c r="A202" s="72" t="s">
        <v>251</v>
      </c>
      <c r="B202" s="78"/>
      <c r="C202" s="245"/>
      <c r="D202" s="79"/>
      <c r="E202" s="71"/>
      <c r="F202" s="191"/>
      <c r="G202" s="191"/>
      <c r="H202" s="191"/>
      <c r="I202" s="191"/>
      <c r="J202" s="409"/>
      <c r="K202" s="28" t="s">
        <v>772</v>
      </c>
      <c r="L202" s="28"/>
    </row>
    <row r="203" spans="1:12" s="38" customFormat="1" x14ac:dyDescent="0.25">
      <c r="A203" s="72"/>
      <c r="B203" s="78" t="str">
        <f t="shared" ref="B203:B241" si="14">IF(L203,K203&amp;L203,"")</f>
        <v/>
      </c>
      <c r="C203" s="82" t="s">
        <v>257</v>
      </c>
      <c r="D203" s="83"/>
      <c r="E203" s="71"/>
      <c r="F203" s="300">
        <f>F201</f>
        <v>2022</v>
      </c>
      <c r="G203" s="300">
        <f>F203+1</f>
        <v>2023</v>
      </c>
      <c r="H203" s="300">
        <f>G203+1</f>
        <v>2024</v>
      </c>
      <c r="I203" s="300">
        <f>H203+1</f>
        <v>2025</v>
      </c>
      <c r="J203" s="407"/>
      <c r="K203" s="337"/>
      <c r="L203" s="337"/>
    </row>
    <row r="204" spans="1:12" s="38" customFormat="1" ht="25.5" x14ac:dyDescent="0.25">
      <c r="A204" s="72" t="s">
        <v>251</v>
      </c>
      <c r="B204" s="78" t="str">
        <f t="shared" si="14"/>
        <v>F1</v>
      </c>
      <c r="C204" s="84" t="s">
        <v>773</v>
      </c>
      <c r="D204" s="72" t="s">
        <v>664</v>
      </c>
      <c r="E204" s="71" t="s">
        <v>84</v>
      </c>
      <c r="F204" s="191">
        <v>-35</v>
      </c>
      <c r="G204" s="191">
        <v>-65</v>
      </c>
      <c r="H204" s="191">
        <v>-65</v>
      </c>
      <c r="I204" s="191">
        <v>-65</v>
      </c>
      <c r="J204" s="409"/>
      <c r="K204" s="28" t="s">
        <v>772</v>
      </c>
      <c r="L204" s="28">
        <v>1</v>
      </c>
    </row>
    <row r="205" spans="1:12" s="38" customFormat="1" ht="25.5" x14ac:dyDescent="0.25">
      <c r="A205" s="72" t="s">
        <v>251</v>
      </c>
      <c r="B205" s="78" t="str">
        <f t="shared" si="14"/>
        <v>F2</v>
      </c>
      <c r="C205" s="84" t="s">
        <v>774</v>
      </c>
      <c r="D205" s="72" t="s">
        <v>664</v>
      </c>
      <c r="E205" s="71" t="s">
        <v>84</v>
      </c>
      <c r="F205" s="191">
        <v>-1000</v>
      </c>
      <c r="G205" s="191">
        <v>-1000</v>
      </c>
      <c r="H205" s="191">
        <v>-1000</v>
      </c>
      <c r="I205" s="191">
        <v>-1000</v>
      </c>
      <c r="J205" s="409" t="s">
        <v>775</v>
      </c>
      <c r="K205" s="28" t="s">
        <v>772</v>
      </c>
      <c r="L205" s="28">
        <f t="shared" ref="L205:L221" si="15">L204+1</f>
        <v>2</v>
      </c>
    </row>
    <row r="206" spans="1:12" s="38" customFormat="1" x14ac:dyDescent="0.25">
      <c r="A206" s="72" t="s">
        <v>251</v>
      </c>
      <c r="B206" s="78" t="str">
        <f t="shared" si="14"/>
        <v>F3</v>
      </c>
      <c r="C206" s="416" t="s">
        <v>384</v>
      </c>
      <c r="D206" s="228" t="s">
        <v>91</v>
      </c>
      <c r="E206" s="231" t="s">
        <v>24</v>
      </c>
      <c r="F206" s="489">
        <v>2068</v>
      </c>
      <c r="G206" s="489">
        <v>1940</v>
      </c>
      <c r="H206" s="489">
        <v>1850</v>
      </c>
      <c r="I206" s="489">
        <v>1709</v>
      </c>
      <c r="J206" s="488" t="s">
        <v>776</v>
      </c>
      <c r="K206" s="28" t="s">
        <v>772</v>
      </c>
      <c r="L206" s="28">
        <f t="shared" si="15"/>
        <v>3</v>
      </c>
    </row>
    <row r="207" spans="1:12" s="38" customFormat="1" ht="25.5" x14ac:dyDescent="0.25">
      <c r="A207" s="72" t="s">
        <v>251</v>
      </c>
      <c r="B207" s="78" t="str">
        <f t="shared" si="14"/>
        <v>F4</v>
      </c>
      <c r="C207" s="393" t="s">
        <v>777</v>
      </c>
      <c r="D207" s="72" t="s">
        <v>664</v>
      </c>
      <c r="E207" s="71" t="s">
        <v>84</v>
      </c>
      <c r="F207" s="191">
        <v>-1000</v>
      </c>
      <c r="G207" s="191">
        <v>-1000</v>
      </c>
      <c r="H207" s="191">
        <v>-1000</v>
      </c>
      <c r="I207" s="191">
        <v>-1000</v>
      </c>
      <c r="J207" s="409"/>
      <c r="K207" s="28" t="s">
        <v>772</v>
      </c>
      <c r="L207" s="28">
        <f t="shared" si="15"/>
        <v>4</v>
      </c>
    </row>
    <row r="208" spans="1:12" s="38" customFormat="1" ht="25.5" x14ac:dyDescent="0.25">
      <c r="A208" s="72" t="s">
        <v>251</v>
      </c>
      <c r="B208" s="78" t="str">
        <f t="shared" si="14"/>
        <v>F5</v>
      </c>
      <c r="C208" s="84" t="s">
        <v>778</v>
      </c>
      <c r="D208" s="72" t="s">
        <v>664</v>
      </c>
      <c r="E208" s="71" t="s">
        <v>84</v>
      </c>
      <c r="F208" s="191">
        <v>1800</v>
      </c>
      <c r="G208" s="191">
        <v>3100</v>
      </c>
      <c r="H208" s="191">
        <v>3100</v>
      </c>
      <c r="I208" s="191">
        <v>3100</v>
      </c>
      <c r="J208" s="409" t="s">
        <v>779</v>
      </c>
      <c r="K208" s="28" t="s">
        <v>772</v>
      </c>
      <c r="L208" s="28">
        <f t="shared" si="15"/>
        <v>5</v>
      </c>
    </row>
    <row r="209" spans="1:12" s="38" customFormat="1" x14ac:dyDescent="0.25">
      <c r="A209" s="72" t="s">
        <v>251</v>
      </c>
      <c r="B209" s="78" t="str">
        <f t="shared" si="14"/>
        <v>F6</v>
      </c>
      <c r="C209" s="416" t="s">
        <v>386</v>
      </c>
      <c r="D209" s="228" t="s">
        <v>91</v>
      </c>
      <c r="E209" s="231" t="s">
        <v>24</v>
      </c>
      <c r="F209" s="290">
        <v>7246</v>
      </c>
      <c r="G209" s="290">
        <v>8746</v>
      </c>
      <c r="H209" s="290">
        <v>6460</v>
      </c>
      <c r="I209" s="290">
        <v>5978</v>
      </c>
      <c r="J209" s="488" t="s">
        <v>776</v>
      </c>
      <c r="K209" s="28" t="s">
        <v>772</v>
      </c>
      <c r="L209" s="28">
        <f t="shared" si="15"/>
        <v>6</v>
      </c>
    </row>
    <row r="210" spans="1:12" s="38" customFormat="1" x14ac:dyDescent="0.25">
      <c r="A210" s="72" t="s">
        <v>251</v>
      </c>
      <c r="B210" s="78" t="str">
        <f t="shared" si="14"/>
        <v>F7</v>
      </c>
      <c r="C210" s="84" t="s">
        <v>451</v>
      </c>
      <c r="D210" s="72" t="s">
        <v>664</v>
      </c>
      <c r="E210" s="71" t="s">
        <v>84</v>
      </c>
      <c r="F210" s="191">
        <v>-470</v>
      </c>
      <c r="G210" s="191">
        <v>-1515</v>
      </c>
      <c r="H210" s="191">
        <v>-2090</v>
      </c>
      <c r="I210" s="191">
        <v>-2090</v>
      </c>
      <c r="J210" s="93"/>
      <c r="K210" s="28" t="s">
        <v>772</v>
      </c>
      <c r="L210" s="28">
        <f t="shared" si="15"/>
        <v>7</v>
      </c>
    </row>
    <row r="211" spans="1:12" s="38" customFormat="1" x14ac:dyDescent="0.25">
      <c r="A211" s="72" t="s">
        <v>251</v>
      </c>
      <c r="B211" s="78" t="str">
        <f t="shared" si="14"/>
        <v>F8</v>
      </c>
      <c r="C211" s="84" t="s">
        <v>780</v>
      </c>
      <c r="D211" s="72" t="s">
        <v>91</v>
      </c>
      <c r="E211" s="71" t="s">
        <v>24</v>
      </c>
      <c r="F211" s="191">
        <v>109000</v>
      </c>
      <c r="G211" s="191">
        <v>109000</v>
      </c>
      <c r="H211" s="191">
        <v>109000</v>
      </c>
      <c r="I211" s="191">
        <v>109000</v>
      </c>
      <c r="J211" s="409" t="s">
        <v>781</v>
      </c>
      <c r="K211" s="28" t="s">
        <v>772</v>
      </c>
      <c r="L211" s="28">
        <f t="shared" si="15"/>
        <v>8</v>
      </c>
    </row>
    <row r="212" spans="1:12" s="38" customFormat="1" x14ac:dyDescent="0.25">
      <c r="A212" s="72" t="s">
        <v>251</v>
      </c>
      <c r="B212" s="78" t="str">
        <f t="shared" si="14"/>
        <v>F9</v>
      </c>
      <c r="C212" s="84" t="s">
        <v>782</v>
      </c>
      <c r="D212" s="72" t="s">
        <v>91</v>
      </c>
      <c r="E212" s="71" t="s">
        <v>24</v>
      </c>
      <c r="F212" s="191">
        <v>246</v>
      </c>
      <c r="G212" s="191">
        <v>246</v>
      </c>
      <c r="H212" s="191">
        <v>246</v>
      </c>
      <c r="I212" s="191">
        <v>246</v>
      </c>
      <c r="J212" s="409" t="s">
        <v>783</v>
      </c>
      <c r="K212" s="28" t="s">
        <v>772</v>
      </c>
      <c r="L212" s="28">
        <f t="shared" si="15"/>
        <v>9</v>
      </c>
    </row>
    <row r="213" spans="1:12" s="38" customFormat="1" x14ac:dyDescent="0.25">
      <c r="A213" s="72" t="s">
        <v>251</v>
      </c>
      <c r="B213" s="78" t="str">
        <f t="shared" si="14"/>
        <v>F10</v>
      </c>
      <c r="C213" s="84" t="s">
        <v>784</v>
      </c>
      <c r="D213" s="72" t="s">
        <v>91</v>
      </c>
      <c r="E213" s="71" t="s">
        <v>24</v>
      </c>
      <c r="F213" s="191">
        <v>200</v>
      </c>
      <c r="G213" s="191">
        <v>200</v>
      </c>
      <c r="H213" s="191">
        <v>200</v>
      </c>
      <c r="I213" s="191">
        <v>200</v>
      </c>
      <c r="J213" s="93" t="s">
        <v>691</v>
      </c>
      <c r="K213" s="28" t="s">
        <v>772</v>
      </c>
      <c r="L213" s="28">
        <f t="shared" si="15"/>
        <v>10</v>
      </c>
    </row>
    <row r="214" spans="1:12" s="38" customFormat="1" x14ac:dyDescent="0.25">
      <c r="A214" s="72" t="s">
        <v>251</v>
      </c>
      <c r="B214" s="78" t="str">
        <f t="shared" si="14"/>
        <v>F11</v>
      </c>
      <c r="C214" s="84" t="s">
        <v>785</v>
      </c>
      <c r="D214" s="72" t="s">
        <v>91</v>
      </c>
      <c r="E214" s="71" t="s">
        <v>24</v>
      </c>
      <c r="F214" s="191">
        <v>494</v>
      </c>
      <c r="G214" s="191">
        <v>494</v>
      </c>
      <c r="H214" s="191">
        <v>494</v>
      </c>
      <c r="I214" s="191">
        <v>494</v>
      </c>
      <c r="J214" s="93" t="s">
        <v>691</v>
      </c>
      <c r="K214" s="28" t="s">
        <v>772</v>
      </c>
      <c r="L214" s="28">
        <f t="shared" si="15"/>
        <v>11</v>
      </c>
    </row>
    <row r="215" spans="1:12" s="38" customFormat="1" x14ac:dyDescent="0.25">
      <c r="A215" s="72" t="s">
        <v>251</v>
      </c>
      <c r="B215" s="78" t="str">
        <f t="shared" si="14"/>
        <v>F12</v>
      </c>
      <c r="C215" s="507" t="s">
        <v>786</v>
      </c>
      <c r="D215" s="228" t="s">
        <v>91</v>
      </c>
      <c r="E215" s="231" t="s">
        <v>24</v>
      </c>
      <c r="F215" s="290">
        <v>15188</v>
      </c>
      <c r="G215" s="290">
        <v>15188</v>
      </c>
      <c r="H215" s="290">
        <v>15188</v>
      </c>
      <c r="I215" s="290">
        <v>15188</v>
      </c>
      <c r="J215" s="488" t="s">
        <v>776</v>
      </c>
      <c r="K215" s="28" t="s">
        <v>772</v>
      </c>
      <c r="L215" s="28">
        <f t="shared" si="15"/>
        <v>12</v>
      </c>
    </row>
    <row r="216" spans="1:12" s="38" customFormat="1" x14ac:dyDescent="0.25">
      <c r="A216" s="72" t="s">
        <v>251</v>
      </c>
      <c r="B216" s="78" t="str">
        <f t="shared" si="14"/>
        <v>F13</v>
      </c>
      <c r="C216" s="84" t="s">
        <v>787</v>
      </c>
      <c r="D216" s="72" t="s">
        <v>91</v>
      </c>
      <c r="E216" s="71" t="s">
        <v>24</v>
      </c>
      <c r="F216" s="191">
        <v>1936</v>
      </c>
      <c r="G216" s="191">
        <v>1936</v>
      </c>
      <c r="H216" s="191">
        <v>1936</v>
      </c>
      <c r="I216" s="191">
        <v>1936</v>
      </c>
      <c r="J216" s="417"/>
      <c r="K216" s="28" t="s">
        <v>772</v>
      </c>
      <c r="L216" s="28">
        <f t="shared" si="15"/>
        <v>13</v>
      </c>
    </row>
    <row r="217" spans="1:12" s="38" customFormat="1" x14ac:dyDescent="0.25">
      <c r="A217" s="72" t="s">
        <v>251</v>
      </c>
      <c r="B217" s="78" t="str">
        <f t="shared" si="14"/>
        <v>F14</v>
      </c>
      <c r="C217" s="84" t="s">
        <v>788</v>
      </c>
      <c r="D217" s="72" t="s">
        <v>91</v>
      </c>
      <c r="E217" s="71" t="s">
        <v>24</v>
      </c>
      <c r="F217" s="191">
        <v>1880</v>
      </c>
      <c r="G217" s="191">
        <v>1880</v>
      </c>
      <c r="H217" s="191">
        <v>1880</v>
      </c>
      <c r="I217" s="191">
        <v>1880</v>
      </c>
      <c r="J217" s="409" t="s">
        <v>789</v>
      </c>
      <c r="K217" s="28" t="s">
        <v>772</v>
      </c>
      <c r="L217" s="28">
        <f t="shared" si="15"/>
        <v>14</v>
      </c>
    </row>
    <row r="218" spans="1:12" s="38" customFormat="1" ht="25.5" x14ac:dyDescent="0.25">
      <c r="A218" s="72" t="s">
        <v>251</v>
      </c>
      <c r="B218" s="78" t="str">
        <f t="shared" si="14"/>
        <v>F15</v>
      </c>
      <c r="C218" s="84" t="s">
        <v>790</v>
      </c>
      <c r="D218" s="72" t="s">
        <v>91</v>
      </c>
      <c r="E218" s="71" t="s">
        <v>24</v>
      </c>
      <c r="F218" s="191">
        <v>-1880</v>
      </c>
      <c r="G218" s="191"/>
      <c r="H218" s="191"/>
      <c r="I218" s="191"/>
      <c r="J218" s="409" t="s">
        <v>791</v>
      </c>
      <c r="K218" s="28" t="s">
        <v>772</v>
      </c>
      <c r="L218" s="28">
        <f t="shared" si="15"/>
        <v>15</v>
      </c>
    </row>
    <row r="219" spans="1:12" s="38" customFormat="1" x14ac:dyDescent="0.25">
      <c r="A219" s="72" t="s">
        <v>251</v>
      </c>
      <c r="B219" s="78" t="str">
        <f t="shared" si="14"/>
        <v>F16</v>
      </c>
      <c r="C219" s="386" t="s">
        <v>263</v>
      </c>
      <c r="D219" s="72" t="s">
        <v>91</v>
      </c>
      <c r="E219" s="71" t="s">
        <v>24</v>
      </c>
      <c r="F219" s="191">
        <v>450</v>
      </c>
      <c r="G219" s="191">
        <v>450</v>
      </c>
      <c r="H219" s="191">
        <v>450</v>
      </c>
      <c r="I219" s="191">
        <v>450</v>
      </c>
      <c r="J219" s="409" t="s">
        <v>792</v>
      </c>
      <c r="K219" s="28" t="s">
        <v>772</v>
      </c>
      <c r="L219" s="28">
        <f t="shared" si="15"/>
        <v>16</v>
      </c>
    </row>
    <row r="220" spans="1:12" s="38" customFormat="1" x14ac:dyDescent="0.25">
      <c r="A220" s="72" t="s">
        <v>251</v>
      </c>
      <c r="B220" s="78" t="str">
        <f t="shared" si="14"/>
        <v>F17</v>
      </c>
      <c r="C220" s="84" t="s">
        <v>277</v>
      </c>
      <c r="D220" s="72" t="s">
        <v>91</v>
      </c>
      <c r="E220" s="71" t="s">
        <v>24</v>
      </c>
      <c r="F220" s="503">
        <v>550</v>
      </c>
      <c r="G220" s="503">
        <v>550</v>
      </c>
      <c r="H220" s="503">
        <v>550</v>
      </c>
      <c r="I220" s="503">
        <v>550</v>
      </c>
      <c r="J220" s="488"/>
      <c r="K220" s="28" t="s">
        <v>772</v>
      </c>
      <c r="L220" s="28">
        <f t="shared" si="15"/>
        <v>17</v>
      </c>
    </row>
    <row r="221" spans="1:12" s="38" customFormat="1" x14ac:dyDescent="0.25">
      <c r="A221" s="72" t="s">
        <v>251</v>
      </c>
      <c r="B221" s="78" t="str">
        <f t="shared" si="14"/>
        <v>F18</v>
      </c>
      <c r="C221" s="84" t="s">
        <v>793</v>
      </c>
      <c r="D221" s="72" t="s">
        <v>91</v>
      </c>
      <c r="E221" s="71" t="s">
        <v>24</v>
      </c>
      <c r="F221" s="503">
        <v>850</v>
      </c>
      <c r="G221" s="503">
        <v>850</v>
      </c>
      <c r="H221" s="503">
        <v>850</v>
      </c>
      <c r="I221" s="503">
        <v>850</v>
      </c>
      <c r="J221" s="488"/>
      <c r="K221" s="28" t="s">
        <v>772</v>
      </c>
      <c r="L221" s="28">
        <f t="shared" si="15"/>
        <v>18</v>
      </c>
    </row>
    <row r="222" spans="1:12" s="38" customFormat="1" x14ac:dyDescent="0.25">
      <c r="A222" s="72"/>
      <c r="B222" s="78" t="str">
        <f t="shared" si="14"/>
        <v/>
      </c>
      <c r="C222" s="82" t="s">
        <v>288</v>
      </c>
      <c r="D222" s="83"/>
      <c r="E222" s="71"/>
      <c r="F222" s="4">
        <f>F203</f>
        <v>2022</v>
      </c>
      <c r="G222" s="4">
        <f>F222+1</f>
        <v>2023</v>
      </c>
      <c r="H222" s="4">
        <f>G222+1</f>
        <v>2024</v>
      </c>
      <c r="I222" s="4">
        <f>H222+1</f>
        <v>2025</v>
      </c>
      <c r="J222" s="407"/>
      <c r="K222" s="337"/>
      <c r="L222" s="337"/>
    </row>
    <row r="223" spans="1:12" s="38" customFormat="1" x14ac:dyDescent="0.25">
      <c r="A223" s="72" t="s">
        <v>251</v>
      </c>
      <c r="B223" s="78" t="str">
        <f t="shared" si="14"/>
        <v>F19</v>
      </c>
      <c r="C223" s="38" t="s">
        <v>289</v>
      </c>
      <c r="D223" s="72" t="s">
        <v>661</v>
      </c>
      <c r="E223" s="71" t="s">
        <v>84</v>
      </c>
      <c r="F223" s="70"/>
      <c r="G223" s="191">
        <v>2430</v>
      </c>
      <c r="H223" s="191"/>
      <c r="I223" s="191">
        <v>2430</v>
      </c>
      <c r="J223" s="407"/>
      <c r="K223" s="28" t="s">
        <v>772</v>
      </c>
      <c r="L223" s="28">
        <f>L221+1</f>
        <v>19</v>
      </c>
    </row>
    <row r="224" spans="1:12" s="38" customFormat="1" x14ac:dyDescent="0.25">
      <c r="A224" s="72" t="s">
        <v>251</v>
      </c>
      <c r="B224" s="78" t="str">
        <f t="shared" si="14"/>
        <v>F20</v>
      </c>
      <c r="C224" s="295" t="s">
        <v>290</v>
      </c>
      <c r="D224" s="72" t="s">
        <v>661</v>
      </c>
      <c r="E224" s="71" t="s">
        <v>84</v>
      </c>
      <c r="F224" s="70"/>
      <c r="G224" s="191">
        <v>400</v>
      </c>
      <c r="H224" s="191"/>
      <c r="I224" s="191">
        <v>400</v>
      </c>
      <c r="J224" s="407"/>
      <c r="K224" s="28" t="s">
        <v>772</v>
      </c>
      <c r="L224" s="28">
        <f t="shared" ref="L224:L232" si="16">+L223+1</f>
        <v>20</v>
      </c>
    </row>
    <row r="225" spans="1:12" s="38" customFormat="1" x14ac:dyDescent="0.25">
      <c r="A225" s="72" t="s">
        <v>251</v>
      </c>
      <c r="B225" s="78" t="str">
        <f t="shared" si="14"/>
        <v>F21</v>
      </c>
      <c r="C225" s="38" t="s">
        <v>291</v>
      </c>
      <c r="D225" s="72" t="s">
        <v>664</v>
      </c>
      <c r="E225" s="71" t="s">
        <v>84</v>
      </c>
      <c r="F225" s="70"/>
      <c r="G225" s="191">
        <v>300</v>
      </c>
      <c r="H225" s="191"/>
      <c r="I225" s="191">
        <v>0</v>
      </c>
      <c r="J225" s="407"/>
      <c r="K225" s="28" t="s">
        <v>772</v>
      </c>
      <c r="L225" s="28">
        <f t="shared" si="16"/>
        <v>21</v>
      </c>
    </row>
    <row r="226" spans="1:12" s="38" customFormat="1" x14ac:dyDescent="0.25">
      <c r="A226" s="72" t="s">
        <v>251</v>
      </c>
      <c r="B226" s="78" t="str">
        <f t="shared" si="14"/>
        <v>F22</v>
      </c>
      <c r="C226" s="38" t="s">
        <v>292</v>
      </c>
      <c r="D226" s="72" t="s">
        <v>664</v>
      </c>
      <c r="E226" s="71" t="s">
        <v>84</v>
      </c>
      <c r="F226" s="70"/>
      <c r="G226" s="191">
        <v>200</v>
      </c>
      <c r="H226" s="191"/>
      <c r="I226" s="191">
        <v>0</v>
      </c>
      <c r="J226" s="407"/>
      <c r="K226" s="28" t="s">
        <v>772</v>
      </c>
      <c r="L226" s="28">
        <f t="shared" si="16"/>
        <v>22</v>
      </c>
    </row>
    <row r="227" spans="1:12" s="38" customFormat="1" x14ac:dyDescent="0.25">
      <c r="A227" s="72" t="s">
        <v>251</v>
      </c>
      <c r="B227" s="78" t="str">
        <f t="shared" si="14"/>
        <v>F23</v>
      </c>
      <c r="C227" s="38" t="s">
        <v>293</v>
      </c>
      <c r="D227" s="79" t="s">
        <v>664</v>
      </c>
      <c r="E227" s="71" t="s">
        <v>84</v>
      </c>
      <c r="F227" s="191"/>
      <c r="G227" s="191">
        <v>-2000</v>
      </c>
      <c r="H227" s="191">
        <v>-2000</v>
      </c>
      <c r="I227" s="191">
        <v>-2000</v>
      </c>
      <c r="J227" s="407" t="s">
        <v>794</v>
      </c>
      <c r="K227" s="28" t="s">
        <v>772</v>
      </c>
      <c r="L227" s="28">
        <f t="shared" si="16"/>
        <v>23</v>
      </c>
    </row>
    <row r="228" spans="1:12" s="38" customFormat="1" x14ac:dyDescent="0.25">
      <c r="A228" s="72" t="s">
        <v>251</v>
      </c>
      <c r="B228" s="78" t="str">
        <f t="shared" si="14"/>
        <v>F24</v>
      </c>
      <c r="C228" s="38" t="s">
        <v>398</v>
      </c>
      <c r="D228" s="79" t="s">
        <v>91</v>
      </c>
      <c r="E228" s="71" t="s">
        <v>24</v>
      </c>
      <c r="F228" s="191"/>
      <c r="G228" s="191">
        <v>400</v>
      </c>
      <c r="H228" s="191"/>
      <c r="I228" s="191">
        <v>400</v>
      </c>
      <c r="J228" s="407"/>
      <c r="K228" s="28" t="s">
        <v>772</v>
      </c>
      <c r="L228" s="28">
        <f t="shared" si="16"/>
        <v>24</v>
      </c>
    </row>
    <row r="229" spans="1:12" s="38" customFormat="1" x14ac:dyDescent="0.25">
      <c r="A229" s="72" t="s">
        <v>251</v>
      </c>
      <c r="B229" s="78" t="str">
        <f t="shared" si="14"/>
        <v>F25</v>
      </c>
      <c r="C229" s="38" t="s">
        <v>470</v>
      </c>
      <c r="D229" s="79" t="s">
        <v>91</v>
      </c>
      <c r="E229" s="71" t="s">
        <v>24</v>
      </c>
      <c r="F229" s="191"/>
      <c r="G229" s="191">
        <v>300</v>
      </c>
      <c r="H229" s="191"/>
      <c r="I229" s="191">
        <v>300</v>
      </c>
      <c r="J229" s="407"/>
      <c r="K229" s="28" t="s">
        <v>772</v>
      </c>
      <c r="L229" s="28">
        <f t="shared" si="16"/>
        <v>25</v>
      </c>
    </row>
    <row r="230" spans="1:12" s="38" customFormat="1" x14ac:dyDescent="0.25">
      <c r="A230" s="72" t="s">
        <v>251</v>
      </c>
      <c r="B230" s="78" t="str">
        <f t="shared" si="14"/>
        <v>F26</v>
      </c>
      <c r="C230" s="293" t="s">
        <v>795</v>
      </c>
      <c r="D230" s="79" t="s">
        <v>91</v>
      </c>
      <c r="E230" s="71" t="s">
        <v>24</v>
      </c>
      <c r="F230" s="191">
        <v>50</v>
      </c>
      <c r="G230" s="191">
        <v>50</v>
      </c>
      <c r="H230" s="191">
        <v>50</v>
      </c>
      <c r="I230" s="191">
        <v>50</v>
      </c>
      <c r="J230" s="407"/>
      <c r="K230" s="28" t="s">
        <v>772</v>
      </c>
      <c r="L230" s="28">
        <f t="shared" si="16"/>
        <v>26</v>
      </c>
    </row>
    <row r="231" spans="1:12" s="38" customFormat="1" x14ac:dyDescent="0.25">
      <c r="A231" s="72" t="s">
        <v>251</v>
      </c>
      <c r="B231" s="78" t="str">
        <f t="shared" si="14"/>
        <v>F27</v>
      </c>
      <c r="C231" s="293" t="s">
        <v>796</v>
      </c>
      <c r="D231" s="79" t="s">
        <v>91</v>
      </c>
      <c r="E231" s="71" t="s">
        <v>24</v>
      </c>
      <c r="F231" s="191"/>
      <c r="G231" s="191"/>
      <c r="H231" s="191">
        <v>1000</v>
      </c>
      <c r="I231" s="191"/>
      <c r="J231" s="407"/>
      <c r="K231" s="28" t="s">
        <v>772</v>
      </c>
      <c r="L231" s="28">
        <f t="shared" si="16"/>
        <v>27</v>
      </c>
    </row>
    <row r="232" spans="1:12" s="38" customFormat="1" x14ac:dyDescent="0.25">
      <c r="A232" s="72" t="s">
        <v>251</v>
      </c>
      <c r="B232" s="513" t="str">
        <f t="shared" si="14"/>
        <v>F28</v>
      </c>
      <c r="C232" s="514" t="s">
        <v>256</v>
      </c>
      <c r="D232" s="509" t="s">
        <v>91</v>
      </c>
      <c r="E232" s="510" t="s">
        <v>24</v>
      </c>
      <c r="F232" s="540">
        <v>367</v>
      </c>
      <c r="G232" s="540">
        <v>367</v>
      </c>
      <c r="H232" s="540">
        <v>367</v>
      </c>
      <c r="I232" s="540">
        <v>367</v>
      </c>
      <c r="J232" s="412" t="s">
        <v>797</v>
      </c>
      <c r="K232" s="28" t="s">
        <v>772</v>
      </c>
      <c r="L232" s="28">
        <f t="shared" si="16"/>
        <v>28</v>
      </c>
    </row>
    <row r="233" spans="1:12" s="38" customFormat="1" x14ac:dyDescent="0.25">
      <c r="A233" s="72"/>
      <c r="B233" s="78" t="str">
        <f t="shared" si="14"/>
        <v/>
      </c>
      <c r="C233" s="82" t="s">
        <v>282</v>
      </c>
      <c r="D233" s="388"/>
      <c r="E233" s="71"/>
      <c r="F233" s="389"/>
      <c r="G233" s="389"/>
      <c r="H233" s="389"/>
      <c r="I233" s="389"/>
      <c r="J233" s="407"/>
    </row>
    <row r="234" spans="1:12" s="38" customFormat="1" x14ac:dyDescent="0.25">
      <c r="A234" s="72" t="s">
        <v>251</v>
      </c>
      <c r="B234" s="78" t="str">
        <f t="shared" si="14"/>
        <v>F29</v>
      </c>
      <c r="C234" s="84" t="s">
        <v>628</v>
      </c>
      <c r="D234" s="72" t="s">
        <v>661</v>
      </c>
      <c r="E234" s="71" t="s">
        <v>84</v>
      </c>
      <c r="F234" s="484">
        <v>-22250</v>
      </c>
      <c r="G234" s="484">
        <v>-23950</v>
      </c>
      <c r="H234" s="484">
        <v>-23950</v>
      </c>
      <c r="I234" s="484">
        <v>-23950</v>
      </c>
      <c r="J234" s="486" t="s">
        <v>798</v>
      </c>
      <c r="K234" s="28" t="s">
        <v>772</v>
      </c>
      <c r="L234" s="28">
        <f>L232+1</f>
        <v>29</v>
      </c>
    </row>
    <row r="235" spans="1:12" s="38" customFormat="1" x14ac:dyDescent="0.25">
      <c r="A235" s="72" t="s">
        <v>251</v>
      </c>
      <c r="B235" s="78" t="str">
        <f t="shared" si="14"/>
        <v>F30</v>
      </c>
      <c r="C235" s="84" t="s">
        <v>629</v>
      </c>
      <c r="D235" s="72" t="s">
        <v>661</v>
      </c>
      <c r="E235" s="71" t="s">
        <v>84</v>
      </c>
      <c r="F235" s="487">
        <v>-4210</v>
      </c>
      <c r="G235" s="487">
        <v>-16430</v>
      </c>
      <c r="H235" s="487">
        <v>-31250</v>
      </c>
      <c r="I235" s="487">
        <v>-37308</v>
      </c>
      <c r="J235" s="486" t="s">
        <v>798</v>
      </c>
      <c r="K235" s="28" t="s">
        <v>772</v>
      </c>
      <c r="L235" s="28">
        <f t="shared" ref="L235:L243" si="17">+L234+1</f>
        <v>30</v>
      </c>
    </row>
    <row r="236" spans="1:12" s="38" customFormat="1" x14ac:dyDescent="0.25">
      <c r="A236" s="72" t="s">
        <v>251</v>
      </c>
      <c r="B236" s="78" t="str">
        <f t="shared" si="14"/>
        <v>F31</v>
      </c>
      <c r="C236" s="84" t="s">
        <v>630</v>
      </c>
      <c r="D236" s="72" t="s">
        <v>661</v>
      </c>
      <c r="E236" s="71" t="s">
        <v>84</v>
      </c>
      <c r="F236" s="484">
        <v>-2550</v>
      </c>
      <c r="G236" s="484">
        <v>-2550</v>
      </c>
      <c r="H236" s="484">
        <v>-2550</v>
      </c>
      <c r="I236" s="484">
        <v>-2550</v>
      </c>
      <c r="J236" s="486" t="s">
        <v>799</v>
      </c>
      <c r="K236" s="28" t="s">
        <v>772</v>
      </c>
      <c r="L236" s="28">
        <f t="shared" si="17"/>
        <v>31</v>
      </c>
    </row>
    <row r="237" spans="1:12" s="38" customFormat="1" x14ac:dyDescent="0.25">
      <c r="A237" s="72" t="s">
        <v>251</v>
      </c>
      <c r="B237" s="78" t="str">
        <f t="shared" si="14"/>
        <v>F32</v>
      </c>
      <c r="C237" s="84" t="s">
        <v>631</v>
      </c>
      <c r="D237" s="72" t="s">
        <v>661</v>
      </c>
      <c r="E237" s="71" t="s">
        <v>84</v>
      </c>
      <c r="F237" s="484">
        <v>-4420</v>
      </c>
      <c r="G237" s="484">
        <v>-4420</v>
      </c>
      <c r="H237" s="484">
        <v>-4420</v>
      </c>
      <c r="I237" s="484">
        <v>-4420</v>
      </c>
      <c r="J237" s="486" t="s">
        <v>798</v>
      </c>
      <c r="K237" s="28" t="s">
        <v>772</v>
      </c>
      <c r="L237" s="28">
        <f t="shared" si="17"/>
        <v>32</v>
      </c>
    </row>
    <row r="238" spans="1:12" s="38" customFormat="1" x14ac:dyDescent="0.25">
      <c r="A238" s="72" t="s">
        <v>251</v>
      </c>
      <c r="B238" s="78" t="str">
        <f t="shared" si="14"/>
        <v>F33</v>
      </c>
      <c r="C238" s="84" t="s">
        <v>632</v>
      </c>
      <c r="D238" s="72" t="s">
        <v>661</v>
      </c>
      <c r="E238" s="61" t="s">
        <v>84</v>
      </c>
      <c r="F238" s="90">
        <v>35700</v>
      </c>
      <c r="G238" s="90">
        <v>50700</v>
      </c>
      <c r="H238" s="90">
        <v>63700</v>
      </c>
      <c r="I238" s="90">
        <v>72700</v>
      </c>
      <c r="J238" s="412" t="s">
        <v>800</v>
      </c>
      <c r="K238" s="28" t="s">
        <v>772</v>
      </c>
      <c r="L238" s="28">
        <f t="shared" si="17"/>
        <v>33</v>
      </c>
    </row>
    <row r="239" spans="1:12" s="38" customFormat="1" x14ac:dyDescent="0.25">
      <c r="A239" s="72" t="s">
        <v>251</v>
      </c>
      <c r="B239" s="78" t="str">
        <f t="shared" si="14"/>
        <v>F34</v>
      </c>
      <c r="C239" s="84" t="s">
        <v>633</v>
      </c>
      <c r="D239" s="72" t="s">
        <v>661</v>
      </c>
      <c r="E239" s="71" t="s">
        <v>84</v>
      </c>
      <c r="F239" s="90">
        <v>-35700</v>
      </c>
      <c r="G239" s="90">
        <v>-50700</v>
      </c>
      <c r="H239" s="90">
        <v>-63700</v>
      </c>
      <c r="I239" s="90">
        <v>-72700</v>
      </c>
      <c r="J239" s="412" t="s">
        <v>800</v>
      </c>
      <c r="K239" s="28" t="s">
        <v>772</v>
      </c>
      <c r="L239" s="28">
        <f t="shared" si="17"/>
        <v>34</v>
      </c>
    </row>
    <row r="240" spans="1:12" s="38" customFormat="1" x14ac:dyDescent="0.25">
      <c r="A240" s="72" t="s">
        <v>251</v>
      </c>
      <c r="B240" s="78" t="str">
        <f t="shared" si="14"/>
        <v>F35</v>
      </c>
      <c r="C240" s="84" t="s">
        <v>631</v>
      </c>
      <c r="D240" s="72" t="s">
        <v>661</v>
      </c>
      <c r="E240" s="71" t="s">
        <v>84</v>
      </c>
      <c r="F240" s="90">
        <v>4420</v>
      </c>
      <c r="G240" s="90">
        <v>4420</v>
      </c>
      <c r="H240" s="90">
        <v>4420</v>
      </c>
      <c r="I240" s="90">
        <v>4420</v>
      </c>
      <c r="J240" s="412"/>
      <c r="K240" s="28" t="s">
        <v>772</v>
      </c>
      <c r="L240" s="28">
        <f t="shared" si="17"/>
        <v>35</v>
      </c>
    </row>
    <row r="241" spans="1:12" s="38" customFormat="1" ht="25.5" x14ac:dyDescent="0.25">
      <c r="A241" s="72" t="s">
        <v>251</v>
      </c>
      <c r="B241" s="78" t="str">
        <f t="shared" si="14"/>
        <v>F36</v>
      </c>
      <c r="C241" s="84" t="s">
        <v>634</v>
      </c>
      <c r="D241" s="72" t="s">
        <v>661</v>
      </c>
      <c r="E241" s="71" t="s">
        <v>84</v>
      </c>
      <c r="F241" s="90">
        <v>600</v>
      </c>
      <c r="G241" s="90">
        <v>600</v>
      </c>
      <c r="H241" s="90">
        <v>600</v>
      </c>
      <c r="I241" s="90">
        <v>600</v>
      </c>
      <c r="J241" s="412"/>
      <c r="K241" s="28" t="s">
        <v>772</v>
      </c>
      <c r="L241" s="28">
        <f t="shared" si="17"/>
        <v>36</v>
      </c>
    </row>
    <row r="242" spans="1:12" s="38" customFormat="1" x14ac:dyDescent="0.25">
      <c r="A242" s="72"/>
      <c r="B242" s="78"/>
      <c r="C242" s="84"/>
      <c r="D242" s="72"/>
      <c r="E242" s="71"/>
      <c r="F242" s="90"/>
      <c r="G242" s="90"/>
      <c r="H242" s="90"/>
      <c r="I242" s="90"/>
      <c r="J242" s="412"/>
      <c r="K242" s="28" t="s">
        <v>772</v>
      </c>
      <c r="L242" s="28">
        <f t="shared" si="17"/>
        <v>37</v>
      </c>
    </row>
    <row r="243" spans="1:12" s="38" customFormat="1" x14ac:dyDescent="0.25">
      <c r="A243" s="72"/>
      <c r="B243" s="78"/>
      <c r="C243" s="84"/>
      <c r="D243" s="72"/>
      <c r="E243" s="71"/>
      <c r="F243" s="90"/>
      <c r="G243" s="90"/>
      <c r="H243" s="90"/>
      <c r="I243" s="90"/>
      <c r="J243" s="407"/>
      <c r="K243" s="28" t="s">
        <v>772</v>
      </c>
      <c r="L243" s="28">
        <f t="shared" si="17"/>
        <v>38</v>
      </c>
    </row>
    <row r="244" spans="1:12" s="38" customFormat="1" x14ac:dyDescent="0.25">
      <c r="A244" s="72"/>
      <c r="B244" s="78" t="str">
        <f>IF(L244,K244&amp;L244,"")</f>
        <v/>
      </c>
      <c r="C244" s="82"/>
      <c r="D244" s="83"/>
      <c r="E244" s="71"/>
      <c r="F244" s="191"/>
      <c r="G244" s="191"/>
      <c r="H244" s="191"/>
      <c r="I244" s="191"/>
      <c r="J244" s="407"/>
      <c r="K244" s="28"/>
      <c r="L244" s="28"/>
    </row>
    <row r="245" spans="1:12" s="38" customFormat="1" ht="30" x14ac:dyDescent="0.25">
      <c r="A245" s="43"/>
      <c r="B245" s="43" t="s">
        <v>127</v>
      </c>
      <c r="C245" s="3" t="s">
        <v>304</v>
      </c>
      <c r="D245" s="52"/>
      <c r="E245" s="52"/>
      <c r="F245" s="56">
        <f>SUMIF($A:$A,"KOM.FELLES",F:F)</f>
        <v>109530</v>
      </c>
      <c r="G245" s="56">
        <f>SUMIF($A:$A,"KOM.FELLES",G:G)</f>
        <v>101117</v>
      </c>
      <c r="H245" s="56">
        <f>SUMIF($A:$A,"KOM.FELLES",H:H)</f>
        <v>80316</v>
      </c>
      <c r="I245" s="56">
        <f>SUMIF($A:$A,"KOM.FELLES",I:I)</f>
        <v>76165</v>
      </c>
      <c r="J245" s="407"/>
      <c r="K245" s="337"/>
      <c r="L245" s="337"/>
    </row>
    <row r="246" spans="1:12" x14ac:dyDescent="0.25">
      <c r="K246" s="38"/>
      <c r="L246" s="38"/>
    </row>
    <row r="251" spans="1:12" x14ac:dyDescent="0.25">
      <c r="F251" s="182"/>
      <c r="G251" s="182"/>
      <c r="H251" s="182"/>
      <c r="I251" s="182"/>
    </row>
    <row r="252" spans="1:12" x14ac:dyDescent="0.25">
      <c r="D252" s="256"/>
      <c r="E252" s="256"/>
      <c r="F252" s="256"/>
      <c r="G252" s="256"/>
      <c r="H252" s="256"/>
      <c r="I252" s="256"/>
    </row>
    <row r="253" spans="1:12" x14ac:dyDescent="0.25">
      <c r="F253" s="256"/>
      <c r="G253" s="256"/>
      <c r="H253" s="256"/>
      <c r="I253" s="256"/>
    </row>
    <row r="254" spans="1:12" x14ac:dyDescent="0.25">
      <c r="F254" s="256"/>
      <c r="G254" s="256"/>
      <c r="H254" s="256"/>
      <c r="I254" s="256"/>
    </row>
    <row r="255" spans="1:12" x14ac:dyDescent="0.25">
      <c r="F255" s="256"/>
      <c r="G255" s="256"/>
      <c r="H255" s="256"/>
      <c r="I255" s="256"/>
    </row>
    <row r="256" spans="1:12" x14ac:dyDescent="0.25">
      <c r="F256" s="256"/>
      <c r="G256" s="256"/>
      <c r="H256" s="256"/>
      <c r="I256" s="256"/>
    </row>
    <row r="257" spans="6:9" x14ac:dyDescent="0.25">
      <c r="F257" s="256"/>
      <c r="G257" s="256"/>
      <c r="H257" s="256"/>
      <c r="I257" s="256"/>
    </row>
    <row r="258" spans="6:9" x14ac:dyDescent="0.25">
      <c r="F258" s="256"/>
      <c r="G258" s="256"/>
      <c r="H258" s="256"/>
      <c r="I258" s="256"/>
    </row>
    <row r="259" spans="6:9" x14ac:dyDescent="0.25">
      <c r="F259" s="256"/>
      <c r="G259" s="256"/>
      <c r="H259" s="256"/>
      <c r="I259" s="256"/>
    </row>
  </sheetData>
  <conditionalFormatting sqref="F18:I18">
    <cfRule type="cellIs" dxfId="9" priority="2" operator="notEqual">
      <formula>0</formula>
    </cfRule>
  </conditionalFormatting>
  <conditionalFormatting sqref="I18">
    <cfRule type="cellIs" dxfId="8" priority="1" operator="notEqual">
      <formula>0</formula>
    </cfRule>
  </conditionalFormatting>
  <dataValidations count="1">
    <dataValidation type="list" allowBlank="1" showInputMessage="1" showErrorMessage="1" sqref="D177:D180" xr:uid="{016EE70C-075D-4471-9481-C0D46389229B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43D3883A-3032-444F-8CF8-C8048E5D558D}">
          <x14:formula1>
            <xm:f>Div!$B$3:$B$6</xm:f>
          </x14:formula1>
          <xm:sqref>E62:E67 E200:E201 E233 E128 E183 E244 E192 E140:E141 E146 E203 E222 E153 E155 E116 E134 E105:E106 E78 E84</xm:sqref>
        </x14:dataValidation>
        <x14:dataValidation type="list" allowBlank="1" showInputMessage="1" showErrorMessage="1" xr:uid="{B093A8FB-AA7F-41AF-B354-B44B078AE166}">
          <x14:formula1>
            <xm:f>Div!$C$3:$C$58</xm:f>
          </x14:formula1>
          <xm:sqref>D62:D67 D146 D245:E245 D92:E92 D128 D138:D141 D190:D192 D198:D201 D203 D222 D233 D244 D151:D153 D155 D116 D134 D104:D106 D181:D183 E147:E149 E29:E61 E151:E152 E104 E223:E232 E85:E91 E142:E145 E193:E199 E242:F242 E234:E241 E243 E184:E191 E202 E204:E221 E154:E182 D78:E78 D84 E68:E77 E79:E82 E107:E127 E129:E139 E93:E102</xm:sqref>
        </x14:dataValidation>
        <x14:dataValidation type="list" allowBlank="1" showInputMessage="1" showErrorMessage="1" xr:uid="{F80A70DE-9CA4-4968-9550-CFE2D55B364B}">
          <x14:formula1>
            <xm:f>'C:\Users\lincbak\Desktop\[Kopi av Driftskostnader for nye bygg - tiltaksliste 2018-2021.xlsx]Div'!#REF!</xm:f>
          </x14:formula1>
          <xm:sqref>E150</xm:sqref>
        </x14:dataValidation>
        <x14:dataValidation type="list" allowBlank="1" showInputMessage="1" showErrorMessage="1" xr:uid="{A7D01588-FEAF-4C9A-BCA0-3EC30BCD4EF1}">
          <x14:formula1>
            <xm:f>Div!$B$3:$B$8</xm:f>
          </x14:formula1>
          <xm:sqref>D147:D150 D223:D232 D29:D61 D85:D91 D142:D145 D193:D197 D234:D243 D184:D189 D202 D204:D221 D154:D176 D68:D82 D107:D127 D129:D137 D93:D102</xm:sqref>
        </x14:dataValidation>
        <x14:dataValidation type="list" allowBlank="1" showInputMessage="1" showErrorMessage="1" xr:uid="{B2B570BB-F67F-4DD0-B5AB-FDE0B14C4999}">
          <x14:formula1>
            <xm:f>Div!$A$3:$A$11</xm:f>
          </x14:formula1>
          <xm:sqref>A29:A67 A83:A84 A92 A104:A245</xm:sqref>
        </x14:dataValidation>
        <x14:dataValidation type="list" allowBlank="1" showInputMessage="1" showErrorMessage="1" xr:uid="{0A61E8B0-39DB-45DA-9824-2AAD5BD21878}">
          <x14:formula1>
            <xm:f>Div!$A$3:$A$13</xm:f>
          </x14:formula1>
          <xm:sqref>A76:A82 A68:A73 A85:A91 A93:A103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ba7784-84f1-4ed2-acb0-4bcdeb094853">
      <Terms xmlns="http://schemas.microsoft.com/office/infopath/2007/PartnerControls"/>
    </lcf76f155ced4ddcb4097134ff3c332f>
    <TaxCatchAll xmlns="1f6cca7a-962e-4b74-a596-49c923aa0fa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27F3E87B1AB648BA6A17201C247666" ma:contentTypeVersion="15" ma:contentTypeDescription="Create a new document." ma:contentTypeScope="" ma:versionID="329a6d343b92f4777c1f5cf777af9aa5">
  <xsd:schema xmlns:xsd="http://www.w3.org/2001/XMLSchema" xmlns:xs="http://www.w3.org/2001/XMLSchema" xmlns:p="http://schemas.microsoft.com/office/2006/metadata/properties" xmlns:ns2="1f6cca7a-962e-4b74-a596-49c923aa0fa7" xmlns:ns3="dfba7784-84f1-4ed2-acb0-4bcdeb094853" targetNamespace="http://schemas.microsoft.com/office/2006/metadata/properties" ma:root="true" ma:fieldsID="f6fced023f8c66a0f80e6bcf549b744c" ns2:_="" ns3:_="">
    <xsd:import namespace="1f6cca7a-962e-4b74-a596-49c923aa0fa7"/>
    <xsd:import namespace="dfba7784-84f1-4ed2-acb0-4bcdeb09485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6cca7a-962e-4b74-a596-49c923aa0f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2fe8fde-ed7c-4ef0-99a2-eadfe45e7c79}" ma:internalName="TaxCatchAll" ma:showField="CatchAllData" ma:web="1f6cca7a-962e-4b74-a596-49c923aa0f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ba7784-84f1-4ed2-acb0-4bcdeb0948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9038e36-5342-4922-908c-38f4719bad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81C0AD-45F8-406C-9B4E-FFA804ACC3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AA0E72-0235-4226-8DBC-A3800FDAB485}">
  <ds:schemaRefs>
    <ds:schemaRef ds:uri="http://purl.org/dc/terms/"/>
    <ds:schemaRef ds:uri="dfba7784-84f1-4ed2-acb0-4bcdeb094853"/>
    <ds:schemaRef ds:uri="http://schemas.microsoft.com/office/2006/documentManagement/types"/>
    <ds:schemaRef ds:uri="1f6cca7a-962e-4b74-a596-49c923aa0fa7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74D68FC-E1DF-4250-ADCD-0215EC2B10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6cca7a-962e-4b74-a596-49c923aa0fa7"/>
    <ds:schemaRef ds:uri="dfba7784-84f1-4ed2-acb0-4bcdeb0948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VEDTATT</vt:lpstr>
      <vt:lpstr>11.10.22 ENDELIG</vt:lpstr>
      <vt:lpstr>LÅST ETTER STATSBUDSJETT</vt:lpstr>
      <vt:lpstr>ENDELIG FØR STATSBUD</vt:lpstr>
      <vt:lpstr>13.09.22</vt:lpstr>
      <vt:lpstr>30.08.2022 Tiltaksliste 23-26</vt:lpstr>
      <vt:lpstr>05.08.22 Tiltaksliste 2023-2026</vt:lpstr>
      <vt:lpstr>Tiltaksliste 2023-2026</vt:lpstr>
      <vt:lpstr>ETTER STATUSBUDSJETT 12.10.21</vt:lpstr>
      <vt:lpstr>14.09.21 LÅST SISTE VERSJON</vt:lpstr>
      <vt:lpstr>31.08.21 GJELDENDE</vt:lpstr>
      <vt:lpstr>Etter KLG 15.06.2021</vt:lpstr>
      <vt:lpstr>Start ny tiltaksliste HØP 22-25</vt:lpstr>
      <vt:lpstr>Internhusleie21-24</vt:lpstr>
      <vt:lpstr>Div</vt:lpstr>
      <vt:lpstr>Internhusleie oppsummert2021</vt:lpstr>
    </vt:vector>
  </TitlesOfParts>
  <Manager/>
  <Company>Sandnes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sluttbruker</dc:creator>
  <cp:keywords/>
  <dc:description/>
  <cp:lastModifiedBy>Rødland, Hege</cp:lastModifiedBy>
  <cp:revision/>
  <dcterms:created xsi:type="dcterms:W3CDTF">2014-05-24T18:52:17Z</dcterms:created>
  <dcterms:modified xsi:type="dcterms:W3CDTF">2023-01-04T13:59:43Z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0x010100F627F3E87B1AB648BA6A17201C247666</vt:lpwstr>
  </property>
  <property fmtid="{D5CDD505-2E9C-101B-9397-08002B2CF9AE}" pid="3" name="MediaServiceImageTags">
    <vt:lpwstr/>
  </property>
</Properties>
</file>