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0141600\Documents\HØP 2022-2025\"/>
    </mc:Choice>
  </mc:AlternateContent>
  <xr:revisionPtr revIDLastSave="0" documentId="13_ncr:1_{C3FD9EA3-3953-4A7F-8FF3-09B72C714D56}" xr6:coauthVersionLast="47" xr6:coauthVersionMax="47" xr10:uidLastSave="{00000000-0000-0000-0000-000000000000}"/>
  <bookViews>
    <workbookView xWindow="-7125" yWindow="5280" windowWidth="16770" windowHeight="14310" xr2:uid="{00000000-000D-0000-FFFF-FFFF00000000}"/>
  </bookViews>
  <sheets>
    <sheet name="Tiltaksliste" sheetId="41" r:id="rId1"/>
    <sheet name="ETTER STATUSBUDSJETT 12.10.21" sheetId="39" state="hidden" r:id="rId2"/>
    <sheet name="14.09.21 LÅST SISTE VERSJON" sheetId="38" state="hidden" r:id="rId3"/>
    <sheet name="31.08.21 GJELDENDE" sheetId="36" state="hidden" r:id="rId4"/>
    <sheet name="Etter KLG 15.06.2021" sheetId="34" state="hidden" r:id="rId5"/>
    <sheet name="Start ny tiltaksliste HØP 22-25" sheetId="33" state="hidden" r:id="rId6"/>
    <sheet name="Internhusleie21-24" sheetId="35" state="hidden" r:id="rId7"/>
    <sheet name="Internhusleie oppsummert2021" sheetId="21" state="hidden" r:id="rId8"/>
  </sheets>
  <externalReferences>
    <externalReference r:id="rId9"/>
    <externalReference r:id="rId10"/>
  </externalReferences>
  <definedNames>
    <definedName name="_xlnm._FilterDatabase" localSheetId="5" hidden="1">'Start ny tiltaksliste HØP 22-25'!$A$26:$J$365</definedName>
    <definedName name="kOSTNADSTYPE">[1]Div!$D$3:$D$5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39" l="1"/>
  <c r="I17" i="39"/>
  <c r="H17" i="39"/>
  <c r="G17" i="39"/>
  <c r="F17" i="39"/>
  <c r="I12" i="39"/>
  <c r="H12" i="39"/>
  <c r="G12" i="39"/>
  <c r="F12" i="39"/>
  <c r="I9" i="39"/>
  <c r="H9" i="39"/>
  <c r="G9" i="39"/>
  <c r="F9" i="39"/>
  <c r="F23" i="39" l="1"/>
  <c r="G23" i="39"/>
  <c r="H23" i="39"/>
  <c r="I49" i="39" l="1"/>
  <c r="H49" i="39"/>
  <c r="G49" i="39"/>
  <c r="F49" i="39" l="1"/>
  <c r="F63" i="39"/>
  <c r="H118" i="39"/>
  <c r="I118" i="39" s="1"/>
  <c r="H75" i="39"/>
  <c r="I75" i="39"/>
  <c r="G75" i="39"/>
  <c r="F75" i="39"/>
  <c r="F13" i="39" s="1"/>
  <c r="F16" i="39" s="1"/>
  <c r="G122" i="39"/>
  <c r="H122" i="39" s="1"/>
  <c r="I122" i="39" s="1"/>
  <c r="B184" i="39"/>
  <c r="L185" i="39"/>
  <c r="B193" i="39"/>
  <c r="L194" i="39"/>
  <c r="B203" i="39"/>
  <c r="B204" i="39"/>
  <c r="L205" i="39"/>
  <c r="B205" i="39" s="1"/>
  <c r="B222" i="39"/>
  <c r="B233" i="39"/>
  <c r="B244" i="39"/>
  <c r="B155" i="39"/>
  <c r="B156" i="39"/>
  <c r="L157" i="39"/>
  <c r="B157" i="39" s="1"/>
  <c r="F158" i="39"/>
  <c r="G158" i="39"/>
  <c r="H158" i="39"/>
  <c r="I158" i="39"/>
  <c r="B160" i="39"/>
  <c r="B161" i="39"/>
  <c r="B162" i="39"/>
  <c r="L163" i="39"/>
  <c r="B163" i="39" s="1"/>
  <c r="B164" i="39"/>
  <c r="B165" i="39"/>
  <c r="B177" i="39"/>
  <c r="B178" i="39"/>
  <c r="B180" i="39"/>
  <c r="B142" i="39"/>
  <c r="L143" i="39"/>
  <c r="B143" i="39" s="1"/>
  <c r="B146" i="39"/>
  <c r="B147" i="39"/>
  <c r="L148" i="39"/>
  <c r="B148" i="39" s="1"/>
  <c r="B107" i="39"/>
  <c r="B108" i="39"/>
  <c r="L109" i="39"/>
  <c r="B109" i="39" s="1"/>
  <c r="B112" i="39"/>
  <c r="G115" i="39"/>
  <c r="H115" i="39" s="1"/>
  <c r="I115" i="39" s="1"/>
  <c r="F119" i="39"/>
  <c r="F8" i="39" s="1"/>
  <c r="G119" i="39"/>
  <c r="G8" i="39" s="1"/>
  <c r="B123" i="39"/>
  <c r="B134" i="39"/>
  <c r="H136" i="39"/>
  <c r="I136" i="39" s="1"/>
  <c r="G137" i="39"/>
  <c r="H137" i="39" s="1"/>
  <c r="I137" i="39" s="1"/>
  <c r="G95" i="39"/>
  <c r="G96" i="39"/>
  <c r="H96" i="39" s="1"/>
  <c r="I96" i="39" s="1"/>
  <c r="F84" i="39"/>
  <c r="F92" i="39" s="1"/>
  <c r="G92" i="39" s="1"/>
  <c r="H92" i="39" s="1"/>
  <c r="I92" i="39" s="1"/>
  <c r="H85" i="39"/>
  <c r="H86" i="39"/>
  <c r="H67" i="39"/>
  <c r="I67" i="39" s="1"/>
  <c r="B68" i="39"/>
  <c r="L69" i="39"/>
  <c r="L70" i="39" s="1"/>
  <c r="L29" i="39"/>
  <c r="L30" i="39" s="1"/>
  <c r="B30" i="39" s="1"/>
  <c r="G63" i="39"/>
  <c r="H63" i="39"/>
  <c r="I63" i="39"/>
  <c r="A5" i="39"/>
  <c r="B149" i="38"/>
  <c r="I245" i="39" l="1"/>
  <c r="I198" i="39"/>
  <c r="I190" i="39"/>
  <c r="I181" i="39"/>
  <c r="I151" i="39"/>
  <c r="I62" i="39"/>
  <c r="H245" i="39"/>
  <c r="H198" i="39"/>
  <c r="H190" i="39"/>
  <c r="H181" i="39"/>
  <c r="H151" i="39"/>
  <c r="H62" i="39"/>
  <c r="G245" i="39"/>
  <c r="G198" i="39"/>
  <c r="G190" i="39"/>
  <c r="G181" i="39"/>
  <c r="G151" i="39"/>
  <c r="G138" i="39"/>
  <c r="G104" i="39"/>
  <c r="G62" i="39"/>
  <c r="F245" i="39"/>
  <c r="F198" i="39"/>
  <c r="F190" i="39"/>
  <c r="F181" i="39"/>
  <c r="F151" i="39"/>
  <c r="F138" i="39"/>
  <c r="F104" i="39"/>
  <c r="F62" i="39"/>
  <c r="L166" i="39"/>
  <c r="B166" i="39" s="1"/>
  <c r="L158" i="39"/>
  <c r="G13" i="39"/>
  <c r="G16" i="39" s="1"/>
  <c r="H119" i="39"/>
  <c r="I119" i="39" s="1"/>
  <c r="I8" i="39" s="1"/>
  <c r="L149" i="39"/>
  <c r="B149" i="39" s="1"/>
  <c r="G84" i="39"/>
  <c r="H84" i="39" s="1"/>
  <c r="I84" i="39" s="1"/>
  <c r="L144" i="39"/>
  <c r="L145" i="39" s="1"/>
  <c r="B145" i="39" s="1"/>
  <c r="L206" i="39"/>
  <c r="B206" i="39" s="1"/>
  <c r="H95" i="39"/>
  <c r="H13" i="39" s="1"/>
  <c r="H16" i="39" s="1"/>
  <c r="F20" i="39"/>
  <c r="B70" i="39"/>
  <c r="L71" i="39"/>
  <c r="F24" i="39"/>
  <c r="G24" i="39"/>
  <c r="H24" i="39"/>
  <c r="I24" i="39"/>
  <c r="L31" i="39"/>
  <c r="B29" i="39"/>
  <c r="B69" i="39"/>
  <c r="F107" i="39"/>
  <c r="B158" i="39"/>
  <c r="L159" i="39"/>
  <c r="B159" i="39" s="1"/>
  <c r="B194" i="39"/>
  <c r="L195" i="39"/>
  <c r="B195" i="39" s="1"/>
  <c r="L196" i="39"/>
  <c r="L186" i="39"/>
  <c r="B185" i="39"/>
  <c r="L110" i="39"/>
  <c r="L209" i="38"/>
  <c r="L210" i="38"/>
  <c r="L211" i="38"/>
  <c r="L212" i="38"/>
  <c r="L213" i="38" s="1"/>
  <c r="L214" i="38" s="1"/>
  <c r="L215" i="38" s="1"/>
  <c r="L216" i="38" s="1"/>
  <c r="L217" i="38" s="1"/>
  <c r="L218" i="38" s="1"/>
  <c r="L219" i="38" s="1"/>
  <c r="L220" i="38" s="1"/>
  <c r="L208" i="38"/>
  <c r="B208" i="38" s="1"/>
  <c r="B205" i="38"/>
  <c r="L206" i="38"/>
  <c r="L207" i="38"/>
  <c r="L205" i="38"/>
  <c r="L207" i="39" l="1"/>
  <c r="B144" i="39"/>
  <c r="G20" i="39"/>
  <c r="H8" i="39"/>
  <c r="H104" i="39"/>
  <c r="L167" i="39"/>
  <c r="H138" i="39"/>
  <c r="I138" i="39"/>
  <c r="L150" i="39"/>
  <c r="I95" i="39"/>
  <c r="L32" i="39"/>
  <c r="B31" i="39"/>
  <c r="F5" i="39"/>
  <c r="F6" i="39" s="1"/>
  <c r="F64" i="39"/>
  <c r="B110" i="39"/>
  <c r="L111" i="39"/>
  <c r="L187" i="39"/>
  <c r="B186" i="39"/>
  <c r="B196" i="39"/>
  <c r="L197" i="39"/>
  <c r="B197" i="39" s="1"/>
  <c r="I64" i="39"/>
  <c r="I5" i="39"/>
  <c r="I6" i="39" s="1"/>
  <c r="H64" i="39"/>
  <c r="H5" i="39"/>
  <c r="H6" i="39" s="1"/>
  <c r="G64" i="39"/>
  <c r="G5" i="39"/>
  <c r="G6" i="39" s="1"/>
  <c r="B71" i="39"/>
  <c r="L72" i="39"/>
  <c r="B207" i="39"/>
  <c r="L208" i="39"/>
  <c r="G107" i="39"/>
  <c r="H107" i="39" s="1"/>
  <c r="I107" i="39" s="1"/>
  <c r="F112" i="39"/>
  <c r="H252" i="38"/>
  <c r="G252" i="38"/>
  <c r="F252" i="38"/>
  <c r="N176" i="38"/>
  <c r="M176" i="38"/>
  <c r="F122" i="38"/>
  <c r="I13" i="39" l="1"/>
  <c r="I20" i="39" s="1"/>
  <c r="I104" i="39"/>
  <c r="B167" i="39"/>
  <c r="L168" i="39"/>
  <c r="H20" i="39"/>
  <c r="L188" i="39"/>
  <c r="B188" i="39" s="1"/>
  <c r="B187" i="39"/>
  <c r="F10" i="39"/>
  <c r="F14" i="39"/>
  <c r="H14" i="39"/>
  <c r="H10" i="39"/>
  <c r="B208" i="39"/>
  <c r="L209" i="39"/>
  <c r="B72" i="39"/>
  <c r="L73" i="39"/>
  <c r="G14" i="39"/>
  <c r="G10" i="39"/>
  <c r="I10" i="39"/>
  <c r="G112" i="39"/>
  <c r="H112" i="39" s="1"/>
  <c r="I112" i="39" s="1"/>
  <c r="F116" i="39"/>
  <c r="L113" i="39"/>
  <c r="B111" i="39"/>
  <c r="B32" i="39"/>
  <c r="L33" i="39"/>
  <c r="I14" i="39" l="1"/>
  <c r="L169" i="39"/>
  <c r="B168" i="39"/>
  <c r="I16" i="39"/>
  <c r="F123" i="39"/>
  <c r="G116" i="39"/>
  <c r="H116" i="39" s="1"/>
  <c r="I116" i="39" s="1"/>
  <c r="B209" i="39"/>
  <c r="L210" i="39"/>
  <c r="L114" i="39"/>
  <c r="B113" i="39"/>
  <c r="B73" i="39"/>
  <c r="L74" i="39"/>
  <c r="B33" i="39"/>
  <c r="L34" i="39"/>
  <c r="B184" i="38"/>
  <c r="M184" i="38"/>
  <c r="N184" i="38"/>
  <c r="L185" i="38"/>
  <c r="L186" i="38" s="1"/>
  <c r="B193" i="38"/>
  <c r="M193" i="38"/>
  <c r="N193" i="38"/>
  <c r="L194" i="38"/>
  <c r="B194" i="38" s="1"/>
  <c r="M194" i="38"/>
  <c r="N194" i="38"/>
  <c r="M195" i="38"/>
  <c r="N195" i="38"/>
  <c r="M196" i="38"/>
  <c r="N196" i="38"/>
  <c r="M201" i="38"/>
  <c r="N201" i="38"/>
  <c r="B202" i="38"/>
  <c r="B203" i="38"/>
  <c r="M203" i="38"/>
  <c r="N203" i="38"/>
  <c r="L204" i="38"/>
  <c r="B204" i="38" s="1"/>
  <c r="M204" i="38"/>
  <c r="N204" i="38"/>
  <c r="M206" i="38"/>
  <c r="N206" i="38"/>
  <c r="M207" i="38"/>
  <c r="N207" i="38"/>
  <c r="M209" i="38"/>
  <c r="N209" i="38"/>
  <c r="M210" i="38"/>
  <c r="N210" i="38"/>
  <c r="M211" i="38"/>
  <c r="N211" i="38"/>
  <c r="M212" i="38"/>
  <c r="N212" i="38"/>
  <c r="M213" i="38"/>
  <c r="N213" i="38"/>
  <c r="M214" i="38"/>
  <c r="N214" i="38"/>
  <c r="M215" i="38"/>
  <c r="N215" i="38"/>
  <c r="M216" i="38"/>
  <c r="N216" i="38"/>
  <c r="M217" i="38"/>
  <c r="N217" i="38"/>
  <c r="M220" i="38"/>
  <c r="N220" i="38"/>
  <c r="B221" i="38"/>
  <c r="M222" i="38"/>
  <c r="N222" i="38"/>
  <c r="M223" i="38"/>
  <c r="N223" i="38"/>
  <c r="M224" i="38"/>
  <c r="N224" i="38"/>
  <c r="M225" i="38"/>
  <c r="N225" i="38"/>
  <c r="M226" i="38"/>
  <c r="N226" i="38"/>
  <c r="M228" i="38"/>
  <c r="N228" i="38"/>
  <c r="B231" i="38"/>
  <c r="M232" i="38"/>
  <c r="N232" i="38"/>
  <c r="M233" i="38"/>
  <c r="N233" i="38"/>
  <c r="M234" i="38"/>
  <c r="N234" i="38"/>
  <c r="M235" i="38"/>
  <c r="N235" i="38"/>
  <c r="M241" i="38"/>
  <c r="N241" i="38"/>
  <c r="B242" i="38"/>
  <c r="F246" i="38"/>
  <c r="G246" i="38"/>
  <c r="H246" i="38"/>
  <c r="F247" i="38"/>
  <c r="G247" i="38"/>
  <c r="H247" i="38"/>
  <c r="F249" i="38"/>
  <c r="G249" i="38"/>
  <c r="H249" i="38"/>
  <c r="R259" i="38"/>
  <c r="S259" i="38"/>
  <c r="T259" i="38"/>
  <c r="U259" i="38"/>
  <c r="R260" i="38"/>
  <c r="S260" i="38"/>
  <c r="T260" i="38"/>
  <c r="U260" i="38"/>
  <c r="R261" i="38"/>
  <c r="S261" i="38"/>
  <c r="T261" i="38"/>
  <c r="U261" i="38"/>
  <c r="R262" i="38"/>
  <c r="S262" i="38"/>
  <c r="T262" i="38"/>
  <c r="U262" i="38"/>
  <c r="R263" i="38"/>
  <c r="S263" i="38"/>
  <c r="T263" i="38"/>
  <c r="U263" i="38"/>
  <c r="R264" i="38"/>
  <c r="S264" i="38"/>
  <c r="T264" i="38"/>
  <c r="U264" i="38"/>
  <c r="R265" i="38"/>
  <c r="S265" i="38"/>
  <c r="T265" i="38"/>
  <c r="U265" i="38"/>
  <c r="R266" i="38"/>
  <c r="S266" i="38"/>
  <c r="T266" i="38"/>
  <c r="U266" i="38"/>
  <c r="R267" i="38"/>
  <c r="S267" i="38"/>
  <c r="T267" i="38"/>
  <c r="U267" i="38"/>
  <c r="B155" i="38"/>
  <c r="F158" i="38"/>
  <c r="G158" i="38"/>
  <c r="H158" i="38"/>
  <c r="I158" i="38"/>
  <c r="B160" i="38"/>
  <c r="B161" i="38"/>
  <c r="B162" i="38"/>
  <c r="L163" i="38"/>
  <c r="B163" i="38" s="1"/>
  <c r="M163" i="38"/>
  <c r="N163" i="38"/>
  <c r="B164" i="38"/>
  <c r="B165" i="38"/>
  <c r="M166" i="38"/>
  <c r="M167" i="38"/>
  <c r="M168" i="38"/>
  <c r="N168" i="38"/>
  <c r="M169" i="38"/>
  <c r="N169" i="38"/>
  <c r="M170" i="38"/>
  <c r="N170" i="38"/>
  <c r="M171" i="38"/>
  <c r="N171" i="38"/>
  <c r="M172" i="38"/>
  <c r="N172" i="38"/>
  <c r="M173" i="38"/>
  <c r="N173" i="38"/>
  <c r="M174" i="38"/>
  <c r="N174" i="38"/>
  <c r="B177" i="38"/>
  <c r="M177" i="38"/>
  <c r="N177" i="38"/>
  <c r="B178" i="38"/>
  <c r="M178" i="38"/>
  <c r="N178" i="38"/>
  <c r="M179" i="38"/>
  <c r="N179" i="38"/>
  <c r="B180" i="38"/>
  <c r="M180" i="38"/>
  <c r="N180" i="38"/>
  <c r="B142" i="38"/>
  <c r="M142" i="38"/>
  <c r="N142" i="38"/>
  <c r="L143" i="38"/>
  <c r="L144" i="38" s="1"/>
  <c r="M143" i="38"/>
  <c r="N143" i="38"/>
  <c r="M145" i="38"/>
  <c r="N145" i="38"/>
  <c r="M146" i="38"/>
  <c r="N146" i="38"/>
  <c r="M147" i="38"/>
  <c r="N147" i="38"/>
  <c r="M148" i="38"/>
  <c r="N148" i="38"/>
  <c r="B110" i="38"/>
  <c r="B111" i="38"/>
  <c r="M111" i="38"/>
  <c r="N111" i="38"/>
  <c r="L112" i="38"/>
  <c r="B112" i="38" s="1"/>
  <c r="M112" i="38"/>
  <c r="N112" i="38"/>
  <c r="M114" i="38"/>
  <c r="N114" i="38"/>
  <c r="B115" i="38"/>
  <c r="M116" i="38"/>
  <c r="N116" i="38"/>
  <c r="G118" i="38"/>
  <c r="H118" i="38" s="1"/>
  <c r="I118" i="38" s="1"/>
  <c r="M118" i="38"/>
  <c r="N118" i="38"/>
  <c r="M120" i="38"/>
  <c r="N120" i="38"/>
  <c r="F8" i="38"/>
  <c r="G122" i="38"/>
  <c r="H122" i="38" s="1"/>
  <c r="I122" i="38" s="1"/>
  <c r="M122" i="38"/>
  <c r="N122" i="38"/>
  <c r="B125" i="38"/>
  <c r="M127" i="38"/>
  <c r="N127" i="38"/>
  <c r="M128" i="38"/>
  <c r="N128" i="38"/>
  <c r="M130" i="38"/>
  <c r="N130" i="38"/>
  <c r="M131" i="38"/>
  <c r="N131" i="38"/>
  <c r="M132" i="38"/>
  <c r="N132" i="38"/>
  <c r="M133" i="38"/>
  <c r="N133" i="38"/>
  <c r="B134" i="38"/>
  <c r="M135" i="38"/>
  <c r="N135" i="38"/>
  <c r="H136" i="38"/>
  <c r="I136" i="38" s="1"/>
  <c r="G137" i="38"/>
  <c r="H137" i="38" s="1"/>
  <c r="I137" i="38" s="1"/>
  <c r="M137" i="38"/>
  <c r="N137" i="38"/>
  <c r="M91" i="38"/>
  <c r="N91" i="38"/>
  <c r="M103" i="38"/>
  <c r="N103" i="38"/>
  <c r="M104" i="38"/>
  <c r="N104" i="38"/>
  <c r="M92" i="38"/>
  <c r="N92" i="38"/>
  <c r="M93" i="38"/>
  <c r="N93" i="38"/>
  <c r="G95" i="38"/>
  <c r="H95" i="38" s="1"/>
  <c r="I95" i="38" s="1"/>
  <c r="G96" i="38"/>
  <c r="H96" i="38" s="1"/>
  <c r="G97" i="38"/>
  <c r="H97" i="38" s="1"/>
  <c r="I97" i="38" s="1"/>
  <c r="G98" i="38"/>
  <c r="H98" i="38" s="1"/>
  <c r="I98" i="38" s="1"/>
  <c r="G99" i="38"/>
  <c r="H99" i="38" s="1"/>
  <c r="I99" i="38" s="1"/>
  <c r="F83" i="38"/>
  <c r="G83" i="38" s="1"/>
  <c r="H83" i="38" s="1"/>
  <c r="I83" i="38" s="1"/>
  <c r="H84" i="38"/>
  <c r="M84" i="38"/>
  <c r="N84" i="38"/>
  <c r="H85" i="38"/>
  <c r="M85" i="38"/>
  <c r="N85" i="38"/>
  <c r="M86" i="38"/>
  <c r="N86" i="38"/>
  <c r="M88" i="38"/>
  <c r="N88" i="38"/>
  <c r="H67" i="38"/>
  <c r="I67" i="38" s="1"/>
  <c r="B68" i="38"/>
  <c r="M68" i="38"/>
  <c r="N68" i="38"/>
  <c r="L69" i="38"/>
  <c r="L70" i="38" s="1"/>
  <c r="B70" i="38" s="1"/>
  <c r="M70" i="38"/>
  <c r="N70" i="38"/>
  <c r="M72" i="38"/>
  <c r="N72" i="38"/>
  <c r="M77" i="38"/>
  <c r="N77" i="38"/>
  <c r="L29" i="38"/>
  <c r="B29" i="38" s="1"/>
  <c r="F30" i="38"/>
  <c r="G30" i="38"/>
  <c r="H30" i="38"/>
  <c r="I30" i="38"/>
  <c r="N31" i="38"/>
  <c r="N34" i="38"/>
  <c r="O34" i="38"/>
  <c r="AR7" i="38" s="1"/>
  <c r="P34" i="38"/>
  <c r="F63" i="38"/>
  <c r="G63" i="38"/>
  <c r="H63" i="38"/>
  <c r="I63" i="38"/>
  <c r="F12" i="38"/>
  <c r="G12" i="38"/>
  <c r="H12" i="38"/>
  <c r="I12" i="38"/>
  <c r="F17" i="38"/>
  <c r="G17" i="38"/>
  <c r="H17" i="38"/>
  <c r="I17" i="38"/>
  <c r="Q4" i="38"/>
  <c r="Q8" i="38" s="1"/>
  <c r="R4" i="38"/>
  <c r="R8" i="38" s="1"/>
  <c r="U4" i="38"/>
  <c r="U8" i="38" s="1"/>
  <c r="V4" i="38"/>
  <c r="V8" i="38" s="1"/>
  <c r="Y4" i="38"/>
  <c r="Y8" i="38" s="1"/>
  <c r="Z4" i="38"/>
  <c r="Z8" i="38" s="1"/>
  <c r="AC4" i="38"/>
  <c r="AC8" i="38" s="1"/>
  <c r="AD4" i="38"/>
  <c r="AD8" i="38" s="1"/>
  <c r="AG4" i="38"/>
  <c r="AG8" i="38" s="1"/>
  <c r="AH4" i="38"/>
  <c r="AH8" i="38" s="1"/>
  <c r="AK4" i="38"/>
  <c r="AK8" i="38" s="1"/>
  <c r="AL4" i="38"/>
  <c r="AL8" i="38" s="1"/>
  <c r="AO4" i="38"/>
  <c r="AO8" i="38" s="1"/>
  <c r="AP4" i="38"/>
  <c r="AP8" i="38" s="1"/>
  <c r="AS4" i="38"/>
  <c r="AS8" i="38" s="1"/>
  <c r="AT4" i="38"/>
  <c r="AT8" i="38" s="1"/>
  <c r="A5" i="38"/>
  <c r="Q5" i="38"/>
  <c r="R5" i="38"/>
  <c r="U5" i="38"/>
  <c r="V5" i="38"/>
  <c r="Y5" i="38"/>
  <c r="Z5" i="38"/>
  <c r="AC5" i="38"/>
  <c r="AD5" i="38"/>
  <c r="AG5" i="38"/>
  <c r="AH5" i="38"/>
  <c r="AK5" i="38"/>
  <c r="AL5" i="38"/>
  <c r="AO5" i="38"/>
  <c r="AP5" i="38"/>
  <c r="AS5" i="38"/>
  <c r="AT5" i="38"/>
  <c r="Q6" i="38"/>
  <c r="R6" i="38"/>
  <c r="U6" i="38"/>
  <c r="V6" i="38"/>
  <c r="Y6" i="38"/>
  <c r="Z6" i="38"/>
  <c r="AC6" i="38"/>
  <c r="AD6" i="38"/>
  <c r="AG6" i="38"/>
  <c r="AH6" i="38"/>
  <c r="AK6" i="38"/>
  <c r="AL6" i="38"/>
  <c r="AO6" i="38"/>
  <c r="AP6" i="38"/>
  <c r="AS6" i="38"/>
  <c r="AT6" i="38"/>
  <c r="Q7" i="38"/>
  <c r="R7" i="38"/>
  <c r="U7" i="38"/>
  <c r="V7" i="38"/>
  <c r="Y7" i="38"/>
  <c r="Z7" i="38"/>
  <c r="AC7" i="38"/>
  <c r="AD7" i="38"/>
  <c r="AG7" i="38"/>
  <c r="AH7" i="38"/>
  <c r="AK7" i="38"/>
  <c r="AL7" i="38"/>
  <c r="AO7" i="38"/>
  <c r="AP7" i="38"/>
  <c r="AS7" i="38"/>
  <c r="AT7" i="38"/>
  <c r="F9" i="38"/>
  <c r="G9" i="38"/>
  <c r="H9" i="38"/>
  <c r="I9" i="38"/>
  <c r="F49" i="36"/>
  <c r="L170" i="39" l="1"/>
  <c r="B169" i="39"/>
  <c r="L75" i="39"/>
  <c r="B74" i="39"/>
  <c r="B210" i="39"/>
  <c r="L211" i="39"/>
  <c r="B34" i="39"/>
  <c r="L35" i="39"/>
  <c r="B114" i="39"/>
  <c r="L115" i="39"/>
  <c r="G123" i="39"/>
  <c r="H123" i="39" s="1"/>
  <c r="I123" i="39" s="1"/>
  <c r="F128" i="39"/>
  <c r="G8" i="38"/>
  <c r="L145" i="38"/>
  <c r="B145" i="38" s="1"/>
  <c r="B144" i="38"/>
  <c r="B146" i="38"/>
  <c r="AB7" i="38"/>
  <c r="L30" i="38"/>
  <c r="L31" i="38" s="1"/>
  <c r="G248" i="38"/>
  <c r="G250" i="38" s="1"/>
  <c r="AB6" i="38"/>
  <c r="I8" i="38"/>
  <c r="F13" i="38"/>
  <c r="F16" i="38" s="1"/>
  <c r="F248" i="38"/>
  <c r="F250" i="38" s="1"/>
  <c r="H248" i="38"/>
  <c r="H250" i="38" s="1"/>
  <c r="L113" i="38"/>
  <c r="L114" i="38" s="1"/>
  <c r="F62" i="38"/>
  <c r="F5" i="38" s="1"/>
  <c r="F6" i="38" s="1"/>
  <c r="X5" i="38"/>
  <c r="Q16" i="38"/>
  <c r="R16" i="38"/>
  <c r="Q15" i="38"/>
  <c r="X6" i="38"/>
  <c r="AR6" i="38"/>
  <c r="AN5" i="38"/>
  <c r="B30" i="38"/>
  <c r="AV5" i="38"/>
  <c r="H8" i="38"/>
  <c r="F138" i="38"/>
  <c r="B206" i="38"/>
  <c r="L195" i="38"/>
  <c r="B195" i="38" s="1"/>
  <c r="B185" i="38"/>
  <c r="G13" i="38"/>
  <c r="G16" i="38" s="1"/>
  <c r="B69" i="38"/>
  <c r="F90" i="38"/>
  <c r="F110" i="38" s="1"/>
  <c r="AV6" i="38"/>
  <c r="Q14" i="38"/>
  <c r="B143" i="38"/>
  <c r="L166" i="38"/>
  <c r="T6" i="38"/>
  <c r="R14" i="38"/>
  <c r="Q17" i="38"/>
  <c r="R13" i="38"/>
  <c r="R17" i="38"/>
  <c r="R15" i="38"/>
  <c r="AR4" i="38"/>
  <c r="W7" i="38"/>
  <c r="AI7" i="38"/>
  <c r="AQ7" i="38"/>
  <c r="S4" i="38"/>
  <c r="W4" i="38"/>
  <c r="AA4" i="38"/>
  <c r="AE4" i="38"/>
  <c r="AI4" i="38"/>
  <c r="AM4" i="38"/>
  <c r="AQ4" i="38"/>
  <c r="AU4" i="38"/>
  <c r="T4" i="38"/>
  <c r="X4" i="38"/>
  <c r="AB4" i="38"/>
  <c r="AF4" i="38"/>
  <c r="AJ4" i="38"/>
  <c r="AN4" i="38"/>
  <c r="AV4" i="38"/>
  <c r="S7" i="38"/>
  <c r="AA7" i="38"/>
  <c r="AE7" i="38"/>
  <c r="AM7" i="38"/>
  <c r="AU7" i="38"/>
  <c r="B31" i="38"/>
  <c r="L32" i="38"/>
  <c r="AV7" i="38"/>
  <c r="AF7" i="38"/>
  <c r="AF6" i="38"/>
  <c r="AR5" i="38"/>
  <c r="AB5" i="38"/>
  <c r="T7" i="38"/>
  <c r="AJ6" i="38"/>
  <c r="W5" i="38"/>
  <c r="AA5" i="38"/>
  <c r="AI5" i="38"/>
  <c r="AQ5" i="38"/>
  <c r="S5" i="38"/>
  <c r="AE5" i="38"/>
  <c r="AM5" i="38"/>
  <c r="AU5" i="38"/>
  <c r="I96" i="38"/>
  <c r="I13" i="38" s="1"/>
  <c r="H13" i="38"/>
  <c r="AJ7" i="38"/>
  <c r="AF5" i="38"/>
  <c r="AN7" i="38"/>
  <c r="X7" i="38"/>
  <c r="AN6" i="38"/>
  <c r="AJ5" i="38"/>
  <c r="T5" i="38"/>
  <c r="G190" i="38"/>
  <c r="H197" i="38"/>
  <c r="I243" i="38"/>
  <c r="F181" i="38"/>
  <c r="G151" i="38"/>
  <c r="G138" i="38"/>
  <c r="G107" i="38"/>
  <c r="H190" i="38"/>
  <c r="I197" i="38"/>
  <c r="F243" i="38"/>
  <c r="G181" i="38"/>
  <c r="H151" i="38"/>
  <c r="H138" i="38"/>
  <c r="H107" i="38"/>
  <c r="I190" i="38"/>
  <c r="F197" i="38"/>
  <c r="G243" i="38"/>
  <c r="H181" i="38"/>
  <c r="I151" i="38"/>
  <c r="I138" i="38"/>
  <c r="F107" i="38"/>
  <c r="G62" i="38"/>
  <c r="F190" i="38"/>
  <c r="G197" i="38"/>
  <c r="H243" i="38"/>
  <c r="F151" i="38"/>
  <c r="H62" i="38"/>
  <c r="I181" i="38"/>
  <c r="I62" i="38"/>
  <c r="Q13" i="38"/>
  <c r="F23" i="38"/>
  <c r="F24" i="38" s="1"/>
  <c r="G23" i="38"/>
  <c r="G24" i="38" s="1"/>
  <c r="S6" i="38"/>
  <c r="AA6" i="38"/>
  <c r="AI6" i="38"/>
  <c r="AQ6" i="38"/>
  <c r="AU6" i="38"/>
  <c r="H23" i="38"/>
  <c r="H24" i="38" s="1"/>
  <c r="W6" i="38"/>
  <c r="AE6" i="38"/>
  <c r="AM6" i="38"/>
  <c r="I23" i="38"/>
  <c r="I24" i="38" s="1"/>
  <c r="B147" i="38"/>
  <c r="L148" i="38"/>
  <c r="L157" i="38"/>
  <c r="B156" i="38"/>
  <c r="L187" i="38"/>
  <c r="B186" i="38"/>
  <c r="L71" i="38"/>
  <c r="B170" i="39" l="1"/>
  <c r="L171" i="39"/>
  <c r="L36" i="39"/>
  <c r="B35" i="39"/>
  <c r="B115" i="39"/>
  <c r="L117" i="39"/>
  <c r="G128" i="39"/>
  <c r="H128" i="39" s="1"/>
  <c r="I128" i="39" s="1"/>
  <c r="F134" i="39"/>
  <c r="B75" i="39"/>
  <c r="L76" i="39"/>
  <c r="B211" i="39"/>
  <c r="L212" i="39"/>
  <c r="I20" i="38"/>
  <c r="G90" i="38"/>
  <c r="H90" i="38" s="1"/>
  <c r="I90" i="38" s="1"/>
  <c r="F64" i="38"/>
  <c r="F20" i="38"/>
  <c r="F14" i="38"/>
  <c r="L196" i="38"/>
  <c r="B196" i="38" s="1"/>
  <c r="F10" i="38"/>
  <c r="B113" i="38"/>
  <c r="B114" i="38"/>
  <c r="L116" i="38"/>
  <c r="G20" i="38"/>
  <c r="W8" i="38"/>
  <c r="L167" i="38"/>
  <c r="B166" i="38"/>
  <c r="I107" i="38"/>
  <c r="T15" i="38"/>
  <c r="AN8" i="38"/>
  <c r="AM8" i="38"/>
  <c r="B32" i="38"/>
  <c r="L33" i="38"/>
  <c r="X8" i="38"/>
  <c r="B71" i="38"/>
  <c r="L72" i="38"/>
  <c r="L188" i="38"/>
  <c r="B188" i="38" s="1"/>
  <c r="B187" i="38"/>
  <c r="B207" i="38"/>
  <c r="H64" i="38"/>
  <c r="H5" i="38"/>
  <c r="H6" i="38" s="1"/>
  <c r="T14" i="38"/>
  <c r="S14" i="38"/>
  <c r="I16" i="38"/>
  <c r="AJ8" i="38"/>
  <c r="T13" i="38"/>
  <c r="T8" i="38"/>
  <c r="AI8" i="38"/>
  <c r="S13" i="38"/>
  <c r="S8" i="38"/>
  <c r="AR8" i="38"/>
  <c r="H16" i="38"/>
  <c r="G64" i="38"/>
  <c r="G5" i="38"/>
  <c r="G6" i="38" s="1"/>
  <c r="S16" i="38"/>
  <c r="AF8" i="38"/>
  <c r="AU8" i="38"/>
  <c r="AE8" i="38"/>
  <c r="B148" i="38"/>
  <c r="L149" i="38"/>
  <c r="S15" i="38"/>
  <c r="B157" i="38"/>
  <c r="L158" i="38"/>
  <c r="G110" i="38"/>
  <c r="H110" i="38" s="1"/>
  <c r="I110" i="38" s="1"/>
  <c r="F115" i="38"/>
  <c r="I64" i="38"/>
  <c r="I5" i="38"/>
  <c r="I6" i="38" s="1"/>
  <c r="H20" i="38"/>
  <c r="T16" i="38"/>
  <c r="AV8" i="38"/>
  <c r="AB8" i="38"/>
  <c r="AQ8" i="38"/>
  <c r="AA8" i="38"/>
  <c r="L172" i="39" l="1"/>
  <c r="B171" i="39"/>
  <c r="B117" i="39"/>
  <c r="L118" i="39"/>
  <c r="L77" i="39"/>
  <c r="B76" i="39"/>
  <c r="F141" i="39"/>
  <c r="G134" i="39"/>
  <c r="H134" i="39" s="1"/>
  <c r="I134" i="39" s="1"/>
  <c r="B212" i="39"/>
  <c r="L213" i="39"/>
  <c r="B36" i="39"/>
  <c r="L37" i="39"/>
  <c r="B116" i="38"/>
  <c r="L117" i="38"/>
  <c r="B167" i="38"/>
  <c r="L168" i="38"/>
  <c r="L169" i="38" s="1"/>
  <c r="G115" i="38"/>
  <c r="H115" i="38" s="1"/>
  <c r="I115" i="38" s="1"/>
  <c r="F119" i="38"/>
  <c r="B209" i="38"/>
  <c r="B72" i="38"/>
  <c r="L73" i="38"/>
  <c r="I14" i="38"/>
  <c r="I10" i="38"/>
  <c r="L159" i="38"/>
  <c r="B159" i="38" s="1"/>
  <c r="B158" i="38"/>
  <c r="G14" i="38"/>
  <c r="G10" i="38"/>
  <c r="H10" i="38"/>
  <c r="H14" i="38"/>
  <c r="T17" i="38"/>
  <c r="S17" i="38"/>
  <c r="L150" i="38"/>
  <c r="L34" i="38"/>
  <c r="B33" i="38"/>
  <c r="B172" i="39" l="1"/>
  <c r="L173" i="39"/>
  <c r="B118" i="39"/>
  <c r="L119" i="39"/>
  <c r="F153" i="39"/>
  <c r="G141" i="39"/>
  <c r="H141" i="39" s="1"/>
  <c r="I141" i="39" s="1"/>
  <c r="L38" i="39"/>
  <c r="B37" i="39"/>
  <c r="B213" i="39"/>
  <c r="L214" i="39"/>
  <c r="B77" i="39"/>
  <c r="L78" i="39"/>
  <c r="L118" i="38"/>
  <c r="B117" i="38"/>
  <c r="B168" i="38"/>
  <c r="B34" i="38"/>
  <c r="L35" i="38"/>
  <c r="B73" i="38"/>
  <c r="L74" i="38"/>
  <c r="B210" i="38"/>
  <c r="G119" i="38"/>
  <c r="H119" i="38" s="1"/>
  <c r="I119" i="38" s="1"/>
  <c r="F125" i="38"/>
  <c r="B173" i="39" l="1"/>
  <c r="L174" i="39"/>
  <c r="F155" i="39"/>
  <c r="G153" i="39"/>
  <c r="H153" i="39" s="1"/>
  <c r="I153" i="39" s="1"/>
  <c r="L120" i="39"/>
  <c r="B119" i="39"/>
  <c r="B78" i="39"/>
  <c r="L79" i="39"/>
  <c r="B214" i="39"/>
  <c r="L215" i="39"/>
  <c r="B38" i="39"/>
  <c r="L39" i="39"/>
  <c r="B213" i="38"/>
  <c r="B118" i="38"/>
  <c r="L120" i="38"/>
  <c r="G125" i="38"/>
  <c r="H125" i="38" s="1"/>
  <c r="I125" i="38" s="1"/>
  <c r="F129" i="38"/>
  <c r="B74" i="38"/>
  <c r="L75" i="38"/>
  <c r="L36" i="38"/>
  <c r="B35" i="38"/>
  <c r="B211" i="38"/>
  <c r="B212" i="38"/>
  <c r="L175" i="39" l="1"/>
  <c r="B174" i="39"/>
  <c r="L40" i="39"/>
  <c r="B39" i="39"/>
  <c r="F162" i="39"/>
  <c r="G155" i="39"/>
  <c r="H155" i="39" s="1"/>
  <c r="I155" i="39" s="1"/>
  <c r="L80" i="39"/>
  <c r="B79" i="39"/>
  <c r="B215" i="39"/>
  <c r="L216" i="39"/>
  <c r="L121" i="39"/>
  <c r="B120" i="39"/>
  <c r="B214" i="38"/>
  <c r="L121" i="38"/>
  <c r="B120" i="38"/>
  <c r="B169" i="38"/>
  <c r="L170" i="38"/>
  <c r="L37" i="38"/>
  <c r="B36" i="38"/>
  <c r="B75" i="38"/>
  <c r="L76" i="38"/>
  <c r="G129" i="38"/>
  <c r="H129" i="38" s="1"/>
  <c r="I129" i="38" s="1"/>
  <c r="F134" i="38"/>
  <c r="L176" i="39" l="1"/>
  <c r="B175" i="39"/>
  <c r="G162" i="39"/>
  <c r="H162" i="39" s="1"/>
  <c r="I162" i="39" s="1"/>
  <c r="F165" i="39"/>
  <c r="B216" i="39"/>
  <c r="L217" i="39"/>
  <c r="L122" i="39"/>
  <c r="B121" i="39"/>
  <c r="L81" i="39"/>
  <c r="B80" i="39"/>
  <c r="L41" i="39"/>
  <c r="B40" i="39"/>
  <c r="B215" i="38"/>
  <c r="B121" i="38"/>
  <c r="L122" i="38"/>
  <c r="L123" i="38" s="1"/>
  <c r="B170" i="38"/>
  <c r="L171" i="38"/>
  <c r="L38" i="38"/>
  <c r="B37" i="38"/>
  <c r="F141" i="38"/>
  <c r="G134" i="38"/>
  <c r="H134" i="38" s="1"/>
  <c r="I134" i="38" s="1"/>
  <c r="B76" i="38"/>
  <c r="L77" i="38"/>
  <c r="L179" i="39" l="1"/>
  <c r="B179" i="39" s="1"/>
  <c r="B176" i="39"/>
  <c r="L82" i="39"/>
  <c r="B81" i="39"/>
  <c r="F183" i="39"/>
  <c r="G165" i="39"/>
  <c r="H165" i="39" s="1"/>
  <c r="I165" i="39" s="1"/>
  <c r="B217" i="39"/>
  <c r="L218" i="39"/>
  <c r="L42" i="39"/>
  <c r="B41" i="39"/>
  <c r="L124" i="39"/>
  <c r="B122" i="39"/>
  <c r="B123" i="38"/>
  <c r="L124" i="38"/>
  <c r="B216" i="38"/>
  <c r="B122" i="38"/>
  <c r="B171" i="38"/>
  <c r="L172" i="38"/>
  <c r="L78" i="38"/>
  <c r="L79" i="38" s="1"/>
  <c r="B77" i="38"/>
  <c r="L39" i="38"/>
  <c r="B38" i="38"/>
  <c r="F153" i="38"/>
  <c r="G141" i="38"/>
  <c r="H141" i="38" s="1"/>
  <c r="I141" i="38" s="1"/>
  <c r="L43" i="39" l="1"/>
  <c r="B42" i="39"/>
  <c r="F192" i="39"/>
  <c r="G183" i="39"/>
  <c r="H183" i="39" s="1"/>
  <c r="I183" i="39" s="1"/>
  <c r="B218" i="39"/>
  <c r="L219" i="39"/>
  <c r="L125" i="39"/>
  <c r="B124" i="39"/>
  <c r="L85" i="39"/>
  <c r="B82" i="39"/>
  <c r="L80" i="38"/>
  <c r="B79" i="38"/>
  <c r="B217" i="38"/>
  <c r="B124" i="38"/>
  <c r="L126" i="38"/>
  <c r="B172" i="38"/>
  <c r="L173" i="38"/>
  <c r="G153" i="38"/>
  <c r="H153" i="38" s="1"/>
  <c r="I153" i="38" s="1"/>
  <c r="F155" i="38"/>
  <c r="L40" i="38"/>
  <c r="B39" i="38"/>
  <c r="B78" i="38"/>
  <c r="L126" i="39" l="1"/>
  <c r="B125" i="39"/>
  <c r="F201" i="39"/>
  <c r="G192" i="39"/>
  <c r="H192" i="39" s="1"/>
  <c r="I192" i="39" s="1"/>
  <c r="B219" i="39"/>
  <c r="L220" i="39"/>
  <c r="L86" i="39"/>
  <c r="B85" i="39"/>
  <c r="L44" i="39"/>
  <c r="B43" i="39"/>
  <c r="L81" i="38"/>
  <c r="L84" i="38" s="1"/>
  <c r="B80" i="38"/>
  <c r="L127" i="38"/>
  <c r="B126" i="38"/>
  <c r="B173" i="38"/>
  <c r="L174" i="38"/>
  <c r="L41" i="38"/>
  <c r="B40" i="38"/>
  <c r="F162" i="38"/>
  <c r="G155" i="38"/>
  <c r="H155" i="38" s="1"/>
  <c r="I155" i="38" s="1"/>
  <c r="B81" i="38"/>
  <c r="L87" i="39" l="1"/>
  <c r="B86" i="39"/>
  <c r="G201" i="39"/>
  <c r="H201" i="39" s="1"/>
  <c r="I201" i="39" s="1"/>
  <c r="F203" i="39"/>
  <c r="B220" i="39"/>
  <c r="L221" i="39"/>
  <c r="B44" i="39"/>
  <c r="L45" i="39"/>
  <c r="L127" i="39"/>
  <c r="B126" i="39"/>
  <c r="B218" i="38"/>
  <c r="L128" i="38"/>
  <c r="L130" i="38" s="1"/>
  <c r="B127" i="38"/>
  <c r="B174" i="38"/>
  <c r="L175" i="38"/>
  <c r="L176" i="38" s="1"/>
  <c r="G162" i="38"/>
  <c r="H162" i="38" s="1"/>
  <c r="I162" i="38" s="1"/>
  <c r="F165" i="38"/>
  <c r="L42" i="38"/>
  <c r="B41" i="38"/>
  <c r="L46" i="39" l="1"/>
  <c r="B45" i="39"/>
  <c r="G203" i="39"/>
  <c r="H203" i="39" s="1"/>
  <c r="I203" i="39" s="1"/>
  <c r="F222" i="39"/>
  <c r="G222" i="39" s="1"/>
  <c r="H222" i="39" s="1"/>
  <c r="I222" i="39" s="1"/>
  <c r="L223" i="39"/>
  <c r="B221" i="39"/>
  <c r="L129" i="39"/>
  <c r="B127" i="39"/>
  <c r="L88" i="39"/>
  <c r="B87" i="39"/>
  <c r="B176" i="38"/>
  <c r="L179" i="38"/>
  <c r="B128" i="38"/>
  <c r="B175" i="38"/>
  <c r="L43" i="38"/>
  <c r="B42" i="38"/>
  <c r="F183" i="38"/>
  <c r="G165" i="38"/>
  <c r="H165" i="38" s="1"/>
  <c r="I165" i="38" s="1"/>
  <c r="L85" i="38"/>
  <c r="B84" i="38"/>
  <c r="B129" i="39" l="1"/>
  <c r="L130" i="39"/>
  <c r="B88" i="39"/>
  <c r="L89" i="39"/>
  <c r="L224" i="39"/>
  <c r="B223" i="39"/>
  <c r="B46" i="39"/>
  <c r="L47" i="39"/>
  <c r="B219" i="38"/>
  <c r="B179" i="38"/>
  <c r="L86" i="38"/>
  <c r="L87" i="38" s="1"/>
  <c r="B85" i="38"/>
  <c r="G183" i="38"/>
  <c r="H183" i="38" s="1"/>
  <c r="I183" i="38" s="1"/>
  <c r="F192" i="38"/>
  <c r="L44" i="38"/>
  <c r="B43" i="38"/>
  <c r="L48" i="39" l="1"/>
  <c r="B47" i="39"/>
  <c r="L131" i="39"/>
  <c r="B130" i="39"/>
  <c r="L90" i="39"/>
  <c r="B90" i="39" s="1"/>
  <c r="L93" i="39"/>
  <c r="B89" i="39"/>
  <c r="L225" i="39"/>
  <c r="B224" i="39"/>
  <c r="L222" i="38"/>
  <c r="B220" i="38"/>
  <c r="L131" i="38"/>
  <c r="B130" i="38"/>
  <c r="G192" i="38"/>
  <c r="H192" i="38" s="1"/>
  <c r="I192" i="38" s="1"/>
  <c r="F200" i="38"/>
  <c r="L45" i="38"/>
  <c r="B44" i="38"/>
  <c r="B86" i="38"/>
  <c r="L226" i="39" l="1"/>
  <c r="B225" i="39"/>
  <c r="B131" i="39"/>
  <c r="L132" i="39"/>
  <c r="B93" i="39"/>
  <c r="L94" i="39"/>
  <c r="L49" i="39"/>
  <c r="B48" i="39"/>
  <c r="B222" i="38"/>
  <c r="L223" i="38"/>
  <c r="L132" i="38"/>
  <c r="B131" i="38"/>
  <c r="L46" i="38"/>
  <c r="B45" i="38"/>
  <c r="F202" i="38"/>
  <c r="G200" i="38"/>
  <c r="H200" i="38" s="1"/>
  <c r="I200" i="38" s="1"/>
  <c r="L133" i="39" l="1"/>
  <c r="B132" i="39"/>
  <c r="L50" i="39"/>
  <c r="B49" i="39"/>
  <c r="L95" i="39"/>
  <c r="L96" i="39" s="1"/>
  <c r="B94" i="39"/>
  <c r="L227" i="39"/>
  <c r="B226" i="39"/>
  <c r="B223" i="38"/>
  <c r="L224" i="38"/>
  <c r="L133" i="38"/>
  <c r="B132" i="38"/>
  <c r="B87" i="38"/>
  <c r="L88" i="38"/>
  <c r="G202" i="38"/>
  <c r="H202" i="38" s="1"/>
  <c r="I202" i="38" s="1"/>
  <c r="F221" i="38"/>
  <c r="G221" i="38" s="1"/>
  <c r="H221" i="38" s="1"/>
  <c r="I221" i="38" s="1"/>
  <c r="L47" i="38"/>
  <c r="B46" i="38"/>
  <c r="L228" i="39" l="1"/>
  <c r="B227" i="39"/>
  <c r="L51" i="39"/>
  <c r="B50" i="39"/>
  <c r="B95" i="39"/>
  <c r="B133" i="39"/>
  <c r="L135" i="39"/>
  <c r="B224" i="38"/>
  <c r="L225" i="38"/>
  <c r="L135" i="38"/>
  <c r="B133" i="38"/>
  <c r="L91" i="38"/>
  <c r="L92" i="38" s="1"/>
  <c r="L93" i="38" s="1"/>
  <c r="L94" i="38" s="1"/>
  <c r="L95" i="38" s="1"/>
  <c r="L96" i="38" s="1"/>
  <c r="L97" i="38" s="1"/>
  <c r="L98" i="38" s="1"/>
  <c r="B88" i="38"/>
  <c r="L48" i="38"/>
  <c r="B47" i="38"/>
  <c r="L52" i="39" l="1"/>
  <c r="B51" i="39"/>
  <c r="B135" i="39"/>
  <c r="L136" i="39"/>
  <c r="L229" i="39"/>
  <c r="B228" i="39"/>
  <c r="L99" i="38"/>
  <c r="L100" i="38" s="1"/>
  <c r="L101" i="38" s="1"/>
  <c r="L102" i="38" s="1"/>
  <c r="L103" i="38" s="1"/>
  <c r="L104" i="38" s="1"/>
  <c r="L226" i="38"/>
  <c r="L227" i="38" s="1"/>
  <c r="L228" i="38" s="1"/>
  <c r="L229" i="38" s="1"/>
  <c r="L230" i="38" s="1"/>
  <c r="B225" i="38"/>
  <c r="B135" i="38"/>
  <c r="L136" i="38"/>
  <c r="L49" i="38"/>
  <c r="B48" i="38"/>
  <c r="B91" i="38"/>
  <c r="B229" i="39" l="1"/>
  <c r="L230" i="39"/>
  <c r="B136" i="39"/>
  <c r="L137" i="39"/>
  <c r="B137" i="39" s="1"/>
  <c r="B52" i="39"/>
  <c r="L53" i="39"/>
  <c r="B226" i="38"/>
  <c r="B136" i="38"/>
  <c r="L137" i="38"/>
  <c r="B137" i="38" s="1"/>
  <c r="B103" i="38"/>
  <c r="B49" i="38"/>
  <c r="L50" i="38"/>
  <c r="L54" i="39" l="1"/>
  <c r="B53" i="39"/>
  <c r="L231" i="39"/>
  <c r="B230" i="39"/>
  <c r="B104" i="38"/>
  <c r="B50" i="38"/>
  <c r="L51" i="38"/>
  <c r="L232" i="39" l="1"/>
  <c r="B231" i="39"/>
  <c r="B96" i="39"/>
  <c r="L97" i="39"/>
  <c r="B54" i="39"/>
  <c r="L55" i="39"/>
  <c r="L52" i="38"/>
  <c r="B51" i="38"/>
  <c r="B92" i="38"/>
  <c r="B97" i="39" l="1"/>
  <c r="L98" i="39"/>
  <c r="L56" i="39"/>
  <c r="B55" i="39"/>
  <c r="L234" i="39"/>
  <c r="B232" i="39"/>
  <c r="B227" i="38"/>
  <c r="B93" i="38"/>
  <c r="B52" i="38"/>
  <c r="L53" i="38"/>
  <c r="L57" i="39" l="1"/>
  <c r="B56" i="39"/>
  <c r="L99" i="39"/>
  <c r="B98" i="39"/>
  <c r="B234" i="39"/>
  <c r="L235" i="39"/>
  <c r="B228" i="38"/>
  <c r="L54" i="38"/>
  <c r="B53" i="38"/>
  <c r="B94" i="38"/>
  <c r="B235" i="39" l="1"/>
  <c r="L236" i="39"/>
  <c r="B99" i="39"/>
  <c r="L100" i="39"/>
  <c r="L58" i="39"/>
  <c r="B57" i="39"/>
  <c r="B229" i="38"/>
  <c r="B95" i="38"/>
  <c r="B54" i="38"/>
  <c r="L55" i="38"/>
  <c r="B100" i="39" l="1"/>
  <c r="L101" i="39"/>
  <c r="B236" i="39"/>
  <c r="L237" i="39"/>
  <c r="L59" i="39"/>
  <c r="B58" i="39"/>
  <c r="L232" i="38"/>
  <c r="B230" i="38"/>
  <c r="B96" i="38"/>
  <c r="L56" i="38"/>
  <c r="B55" i="38"/>
  <c r="B237" i="39" l="1"/>
  <c r="L238" i="39"/>
  <c r="L102" i="39"/>
  <c r="B102" i="39" s="1"/>
  <c r="B101" i="39"/>
  <c r="B59" i="39"/>
  <c r="L60" i="39"/>
  <c r="B232" i="38"/>
  <c r="L233" i="38"/>
  <c r="B56" i="38"/>
  <c r="L57" i="38"/>
  <c r="B97" i="38"/>
  <c r="B60" i="39" l="1"/>
  <c r="L61" i="39"/>
  <c r="L239" i="39"/>
  <c r="B238" i="39"/>
  <c r="B233" i="38"/>
  <c r="L234" i="38"/>
  <c r="B98" i="38"/>
  <c r="L58" i="38"/>
  <c r="B57" i="38"/>
  <c r="L240" i="39" l="1"/>
  <c r="B239" i="39"/>
  <c r="L235" i="38"/>
  <c r="B234" i="38"/>
  <c r="B58" i="38"/>
  <c r="L59" i="38"/>
  <c r="L241" i="39" l="1"/>
  <c r="B240" i="39"/>
  <c r="B235" i="38"/>
  <c r="L236" i="38"/>
  <c r="B99" i="38"/>
  <c r="L60" i="38"/>
  <c r="B59" i="38"/>
  <c r="B241" i="39" l="1"/>
  <c r="L242" i="39"/>
  <c r="L243" i="39" s="1"/>
  <c r="B236" i="38"/>
  <c r="L237" i="38"/>
  <c r="B100" i="38"/>
  <c r="B60" i="38"/>
  <c r="L61" i="38"/>
  <c r="F25" i="39" l="1"/>
  <c r="G18" i="39"/>
  <c r="F18" i="39"/>
  <c r="I25" i="39"/>
  <c r="G25" i="39"/>
  <c r="H25" i="39"/>
  <c r="I18" i="39"/>
  <c r="H18" i="39"/>
  <c r="B237" i="38"/>
  <c r="L238" i="38"/>
  <c r="B101" i="38"/>
  <c r="B102" i="38"/>
  <c r="B238" i="38" l="1"/>
  <c r="L239" i="38"/>
  <c r="I232" i="36"/>
  <c r="H232" i="36"/>
  <c r="G232" i="36"/>
  <c r="F232" i="36"/>
  <c r="M77" i="36"/>
  <c r="Q4" i="36"/>
  <c r="R4" i="36"/>
  <c r="U4" i="36"/>
  <c r="V4" i="36"/>
  <c r="Y4" i="36"/>
  <c r="Z4" i="36"/>
  <c r="AC4" i="36"/>
  <c r="AD4" i="36"/>
  <c r="AG4" i="36"/>
  <c r="AH4" i="36"/>
  <c r="AK4" i="36"/>
  <c r="AL4" i="36"/>
  <c r="AO4" i="36"/>
  <c r="AP4" i="36"/>
  <c r="AS4" i="36"/>
  <c r="AT4" i="36"/>
  <c r="Q5" i="36"/>
  <c r="R5" i="36"/>
  <c r="U5" i="36"/>
  <c r="V5" i="36"/>
  <c r="Y5" i="36"/>
  <c r="Z5" i="36"/>
  <c r="AC5" i="36"/>
  <c r="AD5" i="36"/>
  <c r="AG5" i="36"/>
  <c r="AH5" i="36"/>
  <c r="AK5" i="36"/>
  <c r="AL5" i="36"/>
  <c r="AO5" i="36"/>
  <c r="AP5" i="36"/>
  <c r="AS5" i="36"/>
  <c r="AT5" i="36"/>
  <c r="Q6" i="36"/>
  <c r="R6" i="36"/>
  <c r="U6" i="36"/>
  <c r="V6" i="36"/>
  <c r="Y6" i="36"/>
  <c r="Z6" i="36"/>
  <c r="AC6" i="36"/>
  <c r="AD6" i="36"/>
  <c r="AG6" i="36"/>
  <c r="AH6" i="36"/>
  <c r="AK6" i="36"/>
  <c r="AL6" i="36"/>
  <c r="AO6" i="36"/>
  <c r="AP6" i="36"/>
  <c r="AS6" i="36"/>
  <c r="AT6" i="36"/>
  <c r="Q7" i="36"/>
  <c r="R7" i="36"/>
  <c r="U7" i="36"/>
  <c r="V7" i="36"/>
  <c r="Y7" i="36"/>
  <c r="Z7" i="36"/>
  <c r="AC7" i="36"/>
  <c r="AD7" i="36"/>
  <c r="AG7" i="36"/>
  <c r="AH7" i="36"/>
  <c r="AK7" i="36"/>
  <c r="AL7" i="36"/>
  <c r="AO7" i="36"/>
  <c r="AP7" i="36"/>
  <c r="AS7" i="36"/>
  <c r="AT7" i="36"/>
  <c r="F9" i="36"/>
  <c r="G9" i="36"/>
  <c r="H9" i="36"/>
  <c r="I9" i="36"/>
  <c r="F12" i="36"/>
  <c r="G12" i="36"/>
  <c r="H12" i="36"/>
  <c r="I12" i="36"/>
  <c r="F17" i="36"/>
  <c r="G17" i="36"/>
  <c r="H17" i="36"/>
  <c r="I17" i="36"/>
  <c r="L69" i="36"/>
  <c r="B69" i="36" s="1"/>
  <c r="M172" i="36"/>
  <c r="M173" i="36"/>
  <c r="M174" i="36"/>
  <c r="M175" i="36"/>
  <c r="M176" i="36"/>
  <c r="M177" i="36"/>
  <c r="M179" i="36"/>
  <c r="M180" i="36"/>
  <c r="M181" i="36"/>
  <c r="M182" i="36"/>
  <c r="M183" i="36"/>
  <c r="M184" i="36"/>
  <c r="M186" i="36"/>
  <c r="N173" i="36"/>
  <c r="N174" i="36"/>
  <c r="N175" i="36"/>
  <c r="N176" i="36"/>
  <c r="N177" i="36"/>
  <c r="N179" i="36"/>
  <c r="N180" i="36"/>
  <c r="N181" i="36"/>
  <c r="N182" i="36"/>
  <c r="N183" i="36"/>
  <c r="N184" i="36"/>
  <c r="N186" i="36"/>
  <c r="L240" i="38" l="1"/>
  <c r="L241" i="38" s="1"/>
  <c r="B239" i="38"/>
  <c r="G25" i="38" s="1"/>
  <c r="H18" i="38"/>
  <c r="F25" i="38"/>
  <c r="L70" i="36"/>
  <c r="L71" i="36" s="1"/>
  <c r="B162" i="36"/>
  <c r="B155" i="36"/>
  <c r="I30" i="36"/>
  <c r="H30" i="36"/>
  <c r="G30" i="36"/>
  <c r="F30" i="36"/>
  <c r="I18" i="38" l="1"/>
  <c r="F18" i="38"/>
  <c r="G18" i="38"/>
  <c r="H25" i="38"/>
  <c r="I25" i="38"/>
  <c r="B71" i="36"/>
  <c r="L72" i="36"/>
  <c r="L73" i="36" s="1"/>
  <c r="L74" i="36" s="1"/>
  <c r="L75" i="36" s="1"/>
  <c r="L76" i="36" s="1"/>
  <c r="L77" i="36" s="1"/>
  <c r="L78" i="36" s="1"/>
  <c r="L72" i="34"/>
  <c r="L73" i="34" s="1"/>
  <c r="L79" i="36" l="1"/>
  <c r="L80" i="36" s="1"/>
  <c r="B78" i="36"/>
  <c r="B72" i="34"/>
  <c r="Q332" i="34" l="1"/>
  <c r="Q334" i="34"/>
  <c r="Q335" i="34"/>
  <c r="Q336" i="34"/>
  <c r="Q337" i="34"/>
  <c r="Q331" i="34"/>
  <c r="L144" i="36" l="1"/>
  <c r="L147" i="36" s="1"/>
  <c r="Q330" i="34" l="1"/>
  <c r="L165" i="36"/>
  <c r="W131" i="21"/>
  <c r="AT8" i="36"/>
  <c r="AS8" i="36"/>
  <c r="AP8" i="36"/>
  <c r="AO8" i="36"/>
  <c r="AL8" i="36"/>
  <c r="AK8" i="36"/>
  <c r="AH8" i="36"/>
  <c r="AG8" i="36"/>
  <c r="AD8" i="36"/>
  <c r="AC8" i="36"/>
  <c r="Z8" i="36"/>
  <c r="Y8" i="36"/>
  <c r="V8" i="36"/>
  <c r="U8" i="36"/>
  <c r="Q8" i="36"/>
  <c r="L192" i="36"/>
  <c r="B191" i="36"/>
  <c r="M191" i="36"/>
  <c r="N191" i="36"/>
  <c r="B200" i="36"/>
  <c r="M200" i="36"/>
  <c r="N200" i="36"/>
  <c r="L201" i="36"/>
  <c r="L202" i="36" s="1"/>
  <c r="M201" i="36"/>
  <c r="N201" i="36"/>
  <c r="M202" i="36"/>
  <c r="N202" i="36"/>
  <c r="M203" i="36"/>
  <c r="N203" i="36"/>
  <c r="M208" i="36"/>
  <c r="N208" i="36"/>
  <c r="M209" i="36"/>
  <c r="N209" i="36"/>
  <c r="B210" i="36"/>
  <c r="B211" i="36"/>
  <c r="M211" i="36"/>
  <c r="N211" i="36"/>
  <c r="M212" i="36"/>
  <c r="N212" i="36"/>
  <c r="M213" i="36"/>
  <c r="N213" i="36"/>
  <c r="M214" i="36"/>
  <c r="N214" i="36"/>
  <c r="M215" i="36"/>
  <c r="N215" i="36"/>
  <c r="M216" i="36"/>
  <c r="N216" i="36"/>
  <c r="M217" i="36"/>
  <c r="N217" i="36"/>
  <c r="M218" i="36"/>
  <c r="N218" i="36"/>
  <c r="M219" i="36"/>
  <c r="N219" i="36"/>
  <c r="M220" i="36"/>
  <c r="N220" i="36"/>
  <c r="M221" i="36"/>
  <c r="N221" i="36"/>
  <c r="M222" i="36"/>
  <c r="N222" i="36"/>
  <c r="M223" i="36"/>
  <c r="N223" i="36"/>
  <c r="M224" i="36"/>
  <c r="N224" i="36"/>
  <c r="M225" i="36"/>
  <c r="N225" i="36"/>
  <c r="M226" i="36"/>
  <c r="N226" i="36"/>
  <c r="M227" i="36"/>
  <c r="N227" i="36"/>
  <c r="M228" i="36"/>
  <c r="N228" i="36"/>
  <c r="M229" i="36"/>
  <c r="N229" i="36"/>
  <c r="M230" i="36"/>
  <c r="N230" i="36"/>
  <c r="M234" i="36"/>
  <c r="N234" i="36"/>
  <c r="B235" i="36"/>
  <c r="M236" i="36"/>
  <c r="N236" i="36"/>
  <c r="M237" i="36"/>
  <c r="N237" i="36"/>
  <c r="M238" i="36"/>
  <c r="N238" i="36"/>
  <c r="M239" i="36"/>
  <c r="N239" i="36"/>
  <c r="M240" i="36"/>
  <c r="N240" i="36"/>
  <c r="M244" i="36"/>
  <c r="N244" i="36"/>
  <c r="B247" i="36"/>
  <c r="M248" i="36"/>
  <c r="N248" i="36"/>
  <c r="M249" i="36"/>
  <c r="N249" i="36"/>
  <c r="M250" i="36"/>
  <c r="N250" i="36"/>
  <c r="M251" i="36"/>
  <c r="N251" i="36"/>
  <c r="M257" i="36"/>
  <c r="N257" i="36"/>
  <c r="B258" i="36"/>
  <c r="F262" i="36"/>
  <c r="G262" i="36"/>
  <c r="H262" i="36"/>
  <c r="F263" i="36"/>
  <c r="G263" i="36"/>
  <c r="H263" i="36"/>
  <c r="F265" i="36"/>
  <c r="G265" i="36"/>
  <c r="H265" i="36"/>
  <c r="F268" i="36"/>
  <c r="G268" i="36"/>
  <c r="H268" i="36"/>
  <c r="R275" i="36"/>
  <c r="S275" i="36"/>
  <c r="T275" i="36"/>
  <c r="T283" i="36" s="1"/>
  <c r="U275" i="36"/>
  <c r="U283" i="36" s="1"/>
  <c r="R276" i="36"/>
  <c r="S276" i="36"/>
  <c r="T276" i="36"/>
  <c r="U276" i="36"/>
  <c r="R277" i="36"/>
  <c r="S277" i="36"/>
  <c r="T277" i="36"/>
  <c r="U277" i="36"/>
  <c r="R278" i="36"/>
  <c r="S278" i="36"/>
  <c r="T278" i="36"/>
  <c r="U278" i="36"/>
  <c r="R279" i="36"/>
  <c r="S279" i="36"/>
  <c r="T279" i="36"/>
  <c r="U279" i="36"/>
  <c r="R280" i="36"/>
  <c r="S280" i="36"/>
  <c r="T280" i="36"/>
  <c r="U280" i="36"/>
  <c r="R281" i="36"/>
  <c r="S281" i="36"/>
  <c r="T281" i="36"/>
  <c r="U281" i="36"/>
  <c r="R282" i="36"/>
  <c r="S282" i="36"/>
  <c r="T282" i="36"/>
  <c r="U282" i="36"/>
  <c r="R283" i="36"/>
  <c r="S283" i="36"/>
  <c r="B156" i="36"/>
  <c r="B157" i="36"/>
  <c r="L158" i="36"/>
  <c r="L159" i="36" s="1"/>
  <c r="L160" i="36" s="1"/>
  <c r="F160" i="36"/>
  <c r="F13" i="36" s="1"/>
  <c r="F16" i="36" s="1"/>
  <c r="G160" i="36"/>
  <c r="H160" i="36"/>
  <c r="I160" i="36"/>
  <c r="B163" i="36"/>
  <c r="B164" i="36"/>
  <c r="M165" i="36"/>
  <c r="N165" i="36"/>
  <c r="B166" i="36"/>
  <c r="B167" i="36"/>
  <c r="M168" i="36"/>
  <c r="M169" i="36"/>
  <c r="M170" i="36"/>
  <c r="N170" i="36"/>
  <c r="M171" i="36"/>
  <c r="N171" i="36"/>
  <c r="N172" i="36"/>
  <c r="B179" i="36"/>
  <c r="B180" i="36"/>
  <c r="B143" i="36"/>
  <c r="M143" i="36"/>
  <c r="N143" i="36"/>
  <c r="M144" i="36"/>
  <c r="N144" i="36"/>
  <c r="M145" i="36"/>
  <c r="N145" i="36"/>
  <c r="M146" i="36"/>
  <c r="N146" i="36"/>
  <c r="M147" i="36"/>
  <c r="N147" i="36"/>
  <c r="M148" i="36"/>
  <c r="N148" i="36"/>
  <c r="B111" i="36"/>
  <c r="B112" i="36"/>
  <c r="M112" i="36"/>
  <c r="N112" i="36"/>
  <c r="L113" i="36"/>
  <c r="B113" i="36" s="1"/>
  <c r="M113" i="36"/>
  <c r="N113" i="36"/>
  <c r="M115" i="36"/>
  <c r="N115" i="36"/>
  <c r="B116" i="36"/>
  <c r="M117" i="36"/>
  <c r="N117" i="36"/>
  <c r="G119" i="36"/>
  <c r="H119" i="36" s="1"/>
  <c r="I119" i="36" s="1"/>
  <c r="M119" i="36"/>
  <c r="N119" i="36"/>
  <c r="M121" i="36"/>
  <c r="N121" i="36"/>
  <c r="M122" i="36"/>
  <c r="N122" i="36"/>
  <c r="F124" i="36"/>
  <c r="F8" i="36" s="1"/>
  <c r="G124" i="36"/>
  <c r="G8" i="36" s="1"/>
  <c r="M124" i="36"/>
  <c r="N124" i="36"/>
  <c r="B125" i="36"/>
  <c r="M127" i="36"/>
  <c r="N127" i="36"/>
  <c r="M128" i="36"/>
  <c r="N128" i="36"/>
  <c r="M129" i="36"/>
  <c r="N129" i="36"/>
  <c r="M131" i="36"/>
  <c r="N131" i="36"/>
  <c r="M132" i="36"/>
  <c r="N132" i="36"/>
  <c r="M133" i="36"/>
  <c r="N133" i="36"/>
  <c r="M134" i="36"/>
  <c r="N134" i="36"/>
  <c r="B135" i="36"/>
  <c r="M136" i="36"/>
  <c r="N136" i="36"/>
  <c r="H137" i="36"/>
  <c r="I137" i="36" s="1"/>
  <c r="G138" i="36"/>
  <c r="H138" i="36" s="1"/>
  <c r="I138" i="36" s="1"/>
  <c r="M138" i="36"/>
  <c r="N138" i="36"/>
  <c r="F82" i="36"/>
  <c r="F90" i="36" s="1"/>
  <c r="F111" i="36" s="1"/>
  <c r="H83" i="36"/>
  <c r="M83" i="36"/>
  <c r="N83" i="36"/>
  <c r="H84" i="36"/>
  <c r="M84" i="36"/>
  <c r="N84" i="36"/>
  <c r="M85" i="36"/>
  <c r="N85" i="36"/>
  <c r="M86" i="36"/>
  <c r="N86" i="36"/>
  <c r="M88" i="36"/>
  <c r="N88" i="36"/>
  <c r="M91" i="36"/>
  <c r="N91" i="36"/>
  <c r="M92" i="36"/>
  <c r="N92" i="36"/>
  <c r="M93" i="36"/>
  <c r="N93" i="36"/>
  <c r="M94" i="36"/>
  <c r="N94" i="36"/>
  <c r="M95" i="36"/>
  <c r="N95" i="36"/>
  <c r="G97" i="36"/>
  <c r="G98" i="36"/>
  <c r="H98" i="36" s="1"/>
  <c r="I98" i="36" s="1"/>
  <c r="G99" i="36"/>
  <c r="H99" i="36" s="1"/>
  <c r="I99" i="36" s="1"/>
  <c r="G100" i="36"/>
  <c r="H100" i="36" s="1"/>
  <c r="I100" i="36" s="1"/>
  <c r="G102" i="36"/>
  <c r="H102" i="36" s="1"/>
  <c r="H67" i="36"/>
  <c r="I67" i="36" s="1"/>
  <c r="B68" i="36"/>
  <c r="M68" i="36"/>
  <c r="N68" i="36"/>
  <c r="B70" i="36"/>
  <c r="M70" i="36"/>
  <c r="N70" i="36"/>
  <c r="M72" i="36"/>
  <c r="N72" i="36"/>
  <c r="N77" i="36"/>
  <c r="L29" i="36"/>
  <c r="B29" i="36" s="1"/>
  <c r="N31" i="36"/>
  <c r="N34" i="36"/>
  <c r="O34" i="36"/>
  <c r="P34" i="36"/>
  <c r="F63" i="36"/>
  <c r="G63" i="36"/>
  <c r="H63" i="36"/>
  <c r="I63" i="36"/>
  <c r="A5" i="36"/>
  <c r="H49" i="34"/>
  <c r="I49" i="34"/>
  <c r="I198" i="34"/>
  <c r="H198" i="34"/>
  <c r="G198" i="34"/>
  <c r="F198" i="34"/>
  <c r="AB5" i="36" l="1"/>
  <c r="AJ5" i="36"/>
  <c r="AV5" i="36"/>
  <c r="T5" i="36"/>
  <c r="AF5" i="36"/>
  <c r="AR5" i="36"/>
  <c r="S5" i="36"/>
  <c r="W5" i="36"/>
  <c r="AA5" i="36"/>
  <c r="AE5" i="36"/>
  <c r="AI5" i="36"/>
  <c r="AM5" i="36"/>
  <c r="AQ5" i="36"/>
  <c r="AU5" i="36"/>
  <c r="X5" i="36"/>
  <c r="AN5" i="36"/>
  <c r="T4" i="36"/>
  <c r="AJ4" i="36"/>
  <c r="AV4" i="36"/>
  <c r="X7" i="36"/>
  <c r="AJ7" i="36"/>
  <c r="AV7" i="36"/>
  <c r="X4" i="36"/>
  <c r="AN4" i="36"/>
  <c r="AB7" i="36"/>
  <c r="AN7" i="36"/>
  <c r="S4" i="36"/>
  <c r="W4" i="36"/>
  <c r="AA4" i="36"/>
  <c r="AE4" i="36"/>
  <c r="AI4" i="36"/>
  <c r="AM4" i="36"/>
  <c r="AQ4" i="36"/>
  <c r="AU4" i="36"/>
  <c r="S7" i="36"/>
  <c r="W7" i="36"/>
  <c r="AA7" i="36"/>
  <c r="AE7" i="36"/>
  <c r="AI7" i="36"/>
  <c r="AM7" i="36"/>
  <c r="AQ7" i="36"/>
  <c r="AU7" i="36"/>
  <c r="AB4" i="36"/>
  <c r="AF4" i="36"/>
  <c r="AR4" i="36"/>
  <c r="T7" i="36"/>
  <c r="AF7" i="36"/>
  <c r="AR7" i="36"/>
  <c r="F62" i="36"/>
  <c r="F108" i="36"/>
  <c r="F139" i="36"/>
  <c r="F151" i="36"/>
  <c r="F188" i="36"/>
  <c r="F197" i="36"/>
  <c r="F204" i="36"/>
  <c r="F259" i="36"/>
  <c r="G62" i="36"/>
  <c r="G108" i="36"/>
  <c r="G139" i="36"/>
  <c r="G151" i="36"/>
  <c r="G188" i="36"/>
  <c r="G197" i="36"/>
  <c r="G204" i="36"/>
  <c r="G259" i="36"/>
  <c r="H151" i="36"/>
  <c r="H204" i="36"/>
  <c r="H62" i="36"/>
  <c r="H5" i="36" s="1"/>
  <c r="H6" i="36" s="1"/>
  <c r="H188" i="36"/>
  <c r="H197" i="36"/>
  <c r="H259" i="36"/>
  <c r="I62" i="36"/>
  <c r="I151" i="36"/>
  <c r="I188" i="36"/>
  <c r="I197" i="36"/>
  <c r="I204" i="36"/>
  <c r="I259" i="36"/>
  <c r="F23" i="36"/>
  <c r="F24" i="36" s="1"/>
  <c r="AF6" i="36"/>
  <c r="AR6" i="36"/>
  <c r="G23" i="36"/>
  <c r="G24" i="36" s="1"/>
  <c r="X6" i="36"/>
  <c r="AJ6" i="36"/>
  <c r="AV6" i="36"/>
  <c r="S6" i="36"/>
  <c r="W6" i="36"/>
  <c r="AA6" i="36"/>
  <c r="AE6" i="36"/>
  <c r="AI6" i="36"/>
  <c r="AM6" i="36"/>
  <c r="AQ6" i="36"/>
  <c r="AU6" i="36"/>
  <c r="H23" i="36"/>
  <c r="H24" i="36" s="1"/>
  <c r="T6" i="36"/>
  <c r="AB6" i="36"/>
  <c r="AN6" i="36"/>
  <c r="I23" i="36"/>
  <c r="I24" i="36" s="1"/>
  <c r="G13" i="36"/>
  <c r="G16" i="36" s="1"/>
  <c r="F20" i="36"/>
  <c r="H97" i="36"/>
  <c r="H13" i="36" s="1"/>
  <c r="H16" i="36" s="1"/>
  <c r="G90" i="36"/>
  <c r="H90" i="36" s="1"/>
  <c r="I90" i="36" s="1"/>
  <c r="F264" i="36"/>
  <c r="F266" i="36" s="1"/>
  <c r="H264" i="36"/>
  <c r="H266" i="36" s="1"/>
  <c r="L114" i="36"/>
  <c r="L115" i="36" s="1"/>
  <c r="G264" i="36"/>
  <c r="G266" i="36" s="1"/>
  <c r="B158" i="36"/>
  <c r="B160" i="36"/>
  <c r="L161" i="36"/>
  <c r="R15" i="36"/>
  <c r="L30" i="36"/>
  <c r="B30" i="36" s="1"/>
  <c r="G82" i="36"/>
  <c r="H82" i="36" s="1"/>
  <c r="I82" i="36" s="1"/>
  <c r="R16" i="36"/>
  <c r="R14" i="36"/>
  <c r="Q14" i="36"/>
  <c r="B159" i="36"/>
  <c r="L212" i="36"/>
  <c r="B212" i="36" s="1"/>
  <c r="Q13" i="36"/>
  <c r="R8" i="36"/>
  <c r="R17" i="36" s="1"/>
  <c r="R13" i="36"/>
  <c r="Q17" i="36"/>
  <c r="G111" i="36"/>
  <c r="H111" i="36" s="1"/>
  <c r="I111" i="36" s="1"/>
  <c r="F116" i="36"/>
  <c r="H124" i="36"/>
  <c r="H139" i="36" s="1"/>
  <c r="Q16" i="36"/>
  <c r="Q15" i="36"/>
  <c r="I102" i="36"/>
  <c r="B201" i="36"/>
  <c r="H8" i="36" l="1"/>
  <c r="H108" i="36"/>
  <c r="I97" i="36"/>
  <c r="B161" i="36"/>
  <c r="B114" i="36"/>
  <c r="H64" i="36"/>
  <c r="T16" i="36"/>
  <c r="L213" i="36"/>
  <c r="B213" i="36" s="1"/>
  <c r="S13" i="36"/>
  <c r="T13" i="36"/>
  <c r="S16" i="36"/>
  <c r="AM8" i="36"/>
  <c r="W8" i="36"/>
  <c r="AJ8" i="36"/>
  <c r="L31" i="36"/>
  <c r="B31" i="36" s="1"/>
  <c r="AI8" i="36"/>
  <c r="AV8" i="36"/>
  <c r="AF8" i="36"/>
  <c r="AN8" i="36"/>
  <c r="X8" i="36"/>
  <c r="AQ8" i="36"/>
  <c r="AA8" i="36"/>
  <c r="B72" i="36"/>
  <c r="I124" i="36"/>
  <c r="T14" i="36"/>
  <c r="T8" i="36"/>
  <c r="S14" i="36"/>
  <c r="S8" i="36"/>
  <c r="G5" i="36"/>
  <c r="G6" i="36" s="1"/>
  <c r="G64" i="36"/>
  <c r="F64" i="36"/>
  <c r="F5" i="36"/>
  <c r="F6" i="36" s="1"/>
  <c r="G116" i="36"/>
  <c r="H116" i="36" s="1"/>
  <c r="I116" i="36" s="1"/>
  <c r="F120" i="36"/>
  <c r="AU8" i="36"/>
  <c r="AE8" i="36"/>
  <c r="T15" i="36"/>
  <c r="G20" i="36"/>
  <c r="I64" i="36"/>
  <c r="I5" i="36"/>
  <c r="I6" i="36" s="1"/>
  <c r="AR8" i="36"/>
  <c r="AB8" i="36"/>
  <c r="S15" i="36"/>
  <c r="I8" i="36" l="1"/>
  <c r="I139" i="36"/>
  <c r="I13" i="36"/>
  <c r="I16" i="36" s="1"/>
  <c r="I108" i="36"/>
  <c r="L214" i="36"/>
  <c r="B214" i="36" s="1"/>
  <c r="B75" i="36"/>
  <c r="B74" i="36"/>
  <c r="L32" i="36"/>
  <c r="B32" i="36" s="1"/>
  <c r="H20" i="36"/>
  <c r="B192" i="36"/>
  <c r="L193" i="36"/>
  <c r="L194" i="36" s="1"/>
  <c r="L195" i="36" s="1"/>
  <c r="L117" i="36"/>
  <c r="B115" i="36"/>
  <c r="G14" i="36"/>
  <c r="G10" i="36"/>
  <c r="S17" i="36"/>
  <c r="H10" i="36"/>
  <c r="G120" i="36"/>
  <c r="H120" i="36" s="1"/>
  <c r="I120" i="36" s="1"/>
  <c r="F125" i="36"/>
  <c r="B165" i="36"/>
  <c r="L168" i="36"/>
  <c r="H14" i="36"/>
  <c r="F14" i="36"/>
  <c r="F10" i="36"/>
  <c r="T17" i="36"/>
  <c r="B73" i="36"/>
  <c r="L215" i="36" l="1"/>
  <c r="L33" i="36"/>
  <c r="B33" i="36" s="1"/>
  <c r="I20" i="36"/>
  <c r="I14" i="36"/>
  <c r="B193" i="36"/>
  <c r="L169" i="36"/>
  <c r="B168" i="36"/>
  <c r="B215" i="36"/>
  <c r="L216" i="36"/>
  <c r="G125" i="36"/>
  <c r="H125" i="36" s="1"/>
  <c r="I125" i="36" s="1"/>
  <c r="F130" i="36"/>
  <c r="I10" i="36"/>
  <c r="L118" i="36"/>
  <c r="B117" i="36"/>
  <c r="B76" i="36"/>
  <c r="L34" i="36" l="1"/>
  <c r="L35" i="36" s="1"/>
  <c r="B79" i="36"/>
  <c r="L119" i="36"/>
  <c r="B118" i="36"/>
  <c r="G130" i="36"/>
  <c r="H130" i="36" s="1"/>
  <c r="I130" i="36" s="1"/>
  <c r="F135" i="36"/>
  <c r="B169" i="36"/>
  <c r="L170" i="36"/>
  <c r="B202" i="36"/>
  <c r="L203" i="36"/>
  <c r="B203" i="36" s="1"/>
  <c r="B216" i="36"/>
  <c r="L217" i="36"/>
  <c r="B34" i="36" l="1"/>
  <c r="B217" i="36"/>
  <c r="L218" i="36"/>
  <c r="L171" i="36"/>
  <c r="B170" i="36"/>
  <c r="B119" i="36"/>
  <c r="L121" i="36"/>
  <c r="L123" i="36" s="1"/>
  <c r="F142" i="36"/>
  <c r="G135" i="36"/>
  <c r="H135" i="36" s="1"/>
  <c r="I135" i="36" s="1"/>
  <c r="B77" i="36"/>
  <c r="L36" i="36"/>
  <c r="B35" i="36"/>
  <c r="G142" i="36" l="1"/>
  <c r="H142" i="36" s="1"/>
  <c r="I142" i="36" s="1"/>
  <c r="F153" i="36"/>
  <c r="B171" i="36"/>
  <c r="L172" i="36"/>
  <c r="L173" i="36" s="1"/>
  <c r="B121" i="36"/>
  <c r="B194" i="36"/>
  <c r="B218" i="36"/>
  <c r="B36" i="36"/>
  <c r="L37" i="36"/>
  <c r="L38" i="36" l="1"/>
  <c r="B37" i="36"/>
  <c r="B172" i="36"/>
  <c r="B219" i="36"/>
  <c r="B122" i="36"/>
  <c r="L83" i="36"/>
  <c r="B83" i="36" s="1"/>
  <c r="G153" i="36"/>
  <c r="H153" i="36" s="1"/>
  <c r="I153" i="36" s="1"/>
  <c r="F157" i="36"/>
  <c r="B144" i="36" l="1"/>
  <c r="G157" i="36"/>
  <c r="H157" i="36" s="1"/>
  <c r="I157" i="36" s="1"/>
  <c r="F164" i="36"/>
  <c r="B80" i="36"/>
  <c r="B220" i="36"/>
  <c r="L221" i="36"/>
  <c r="B38" i="36"/>
  <c r="L39" i="36"/>
  <c r="B221" i="36" l="1"/>
  <c r="L222" i="36"/>
  <c r="L124" i="36"/>
  <c r="B123" i="36"/>
  <c r="B173" i="36"/>
  <c r="L174" i="36"/>
  <c r="G164" i="36"/>
  <c r="H164" i="36" s="1"/>
  <c r="I164" i="36" s="1"/>
  <c r="F167" i="36"/>
  <c r="F190" i="36" s="1"/>
  <c r="B39" i="36"/>
  <c r="L40" i="36"/>
  <c r="B146" i="36" l="1"/>
  <c r="B40" i="36"/>
  <c r="L41" i="36"/>
  <c r="B222" i="36"/>
  <c r="L223" i="36"/>
  <c r="G167" i="36"/>
  <c r="H167" i="36" s="1"/>
  <c r="I167" i="36" s="1"/>
  <c r="B174" i="36"/>
  <c r="L175" i="36"/>
  <c r="B124" i="36"/>
  <c r="L126" i="36"/>
  <c r="L148" i="36" l="1"/>
  <c r="B147" i="36"/>
  <c r="L127" i="36"/>
  <c r="B126" i="36"/>
  <c r="B175" i="36"/>
  <c r="L176" i="36"/>
  <c r="B223" i="36"/>
  <c r="L224" i="36"/>
  <c r="B41" i="36"/>
  <c r="L42" i="36"/>
  <c r="L177" i="36" l="1"/>
  <c r="L149" i="36"/>
  <c r="B148" i="36"/>
  <c r="B176" i="36"/>
  <c r="B42" i="36"/>
  <c r="L43" i="36"/>
  <c r="B224" i="36"/>
  <c r="L225" i="36"/>
  <c r="L128" i="36"/>
  <c r="L129" i="36" s="1"/>
  <c r="L131" i="36" s="1"/>
  <c r="B127" i="36"/>
  <c r="L178" i="36" l="1"/>
  <c r="L181" i="36" s="1"/>
  <c r="L184" i="36" s="1"/>
  <c r="B177" i="36"/>
  <c r="L150" i="36"/>
  <c r="B149" i="36"/>
  <c r="L44" i="36"/>
  <c r="B43" i="36"/>
  <c r="B128" i="36"/>
  <c r="B195" i="36"/>
  <c r="B225" i="36"/>
  <c r="B184" i="36" l="1"/>
  <c r="L186" i="36"/>
  <c r="B178" i="36"/>
  <c r="B226" i="36"/>
  <c r="G190" i="36"/>
  <c r="H190" i="36" s="1"/>
  <c r="I190" i="36" s="1"/>
  <c r="F199" i="36"/>
  <c r="B44" i="36"/>
  <c r="L45" i="36"/>
  <c r="B186" i="36" l="1"/>
  <c r="L187" i="36"/>
  <c r="B187" i="36" s="1"/>
  <c r="L46" i="36"/>
  <c r="B45" i="36"/>
  <c r="F207" i="36"/>
  <c r="G199" i="36"/>
  <c r="H199" i="36" s="1"/>
  <c r="I199" i="36" s="1"/>
  <c r="B227" i="36"/>
  <c r="L228" i="36"/>
  <c r="B46" i="36" l="1"/>
  <c r="L47" i="36"/>
  <c r="B228" i="36"/>
  <c r="L229" i="36"/>
  <c r="F210" i="36"/>
  <c r="G207" i="36"/>
  <c r="H207" i="36" s="1"/>
  <c r="I207" i="36" s="1"/>
  <c r="B129" i="36"/>
  <c r="B47" i="36" l="1"/>
  <c r="L48" i="36"/>
  <c r="B229" i="36"/>
  <c r="L230" i="36"/>
  <c r="G210" i="36"/>
  <c r="H210" i="36" s="1"/>
  <c r="I210" i="36" s="1"/>
  <c r="F235" i="36"/>
  <c r="G235" i="36" s="1"/>
  <c r="H235" i="36" s="1"/>
  <c r="I235" i="36" s="1"/>
  <c r="L132" i="36" l="1"/>
  <c r="B131" i="36"/>
  <c r="B230" i="36"/>
  <c r="L231" i="36"/>
  <c r="B48" i="36"/>
  <c r="L49" i="36"/>
  <c r="L133" i="36" l="1"/>
  <c r="B132" i="36"/>
  <c r="B49" i="36"/>
  <c r="L50" i="36"/>
  <c r="B231" i="36"/>
  <c r="L232" i="36"/>
  <c r="B50" i="36" l="1"/>
  <c r="L51" i="36"/>
  <c r="B232" i="36"/>
  <c r="L233" i="36"/>
  <c r="B181" i="36"/>
  <c r="L134" i="36"/>
  <c r="L136" i="36" s="1"/>
  <c r="B133" i="36"/>
  <c r="L84" i="36" l="1"/>
  <c r="B233" i="36"/>
  <c r="L234" i="36"/>
  <c r="B51" i="36"/>
  <c r="L52" i="36"/>
  <c r="B182" i="36"/>
  <c r="B134" i="36"/>
  <c r="L236" i="36" l="1"/>
  <c r="B234" i="36"/>
  <c r="L53" i="36"/>
  <c r="B52" i="36"/>
  <c r="L85" i="36"/>
  <c r="B84" i="36"/>
  <c r="B53" i="36" l="1"/>
  <c r="L54" i="36"/>
  <c r="B136" i="36"/>
  <c r="L137" i="36"/>
  <c r="B85" i="36"/>
  <c r="L86" i="36"/>
  <c r="L237" i="36"/>
  <c r="B236" i="36"/>
  <c r="B86" i="36" l="1"/>
  <c r="L87" i="36"/>
  <c r="L88" i="36" s="1"/>
  <c r="B137" i="36"/>
  <c r="L138" i="36"/>
  <c r="L55" i="36"/>
  <c r="B54" i="36"/>
  <c r="L238" i="36"/>
  <c r="B237" i="36"/>
  <c r="L91" i="36" l="1"/>
  <c r="B88" i="36"/>
  <c r="B138" i="36"/>
  <c r="L239" i="36"/>
  <c r="B238" i="36"/>
  <c r="B87" i="36"/>
  <c r="B55" i="36"/>
  <c r="L56" i="36"/>
  <c r="L240" i="36" l="1"/>
  <c r="B239" i="36"/>
  <c r="B56" i="36"/>
  <c r="L57" i="36"/>
  <c r="B57" i="36" l="1"/>
  <c r="L58" i="36"/>
  <c r="L241" i="36"/>
  <c r="B240" i="36"/>
  <c r="B58" i="36" l="1"/>
  <c r="L59" i="36"/>
  <c r="L242" i="36"/>
  <c r="B241" i="36"/>
  <c r="L243" i="36" l="1"/>
  <c r="B242" i="36"/>
  <c r="B59" i="36"/>
  <c r="L60" i="36"/>
  <c r="L61" i="36" l="1"/>
  <c r="B60" i="36"/>
  <c r="B243" i="36"/>
  <c r="L244" i="36"/>
  <c r="B244" i="36" l="1"/>
  <c r="L245" i="36"/>
  <c r="B91" i="36"/>
  <c r="L92" i="36"/>
  <c r="B92" i="36" l="1"/>
  <c r="L93" i="36"/>
  <c r="L246" i="36"/>
  <c r="B245" i="36"/>
  <c r="B93" i="36" l="1"/>
  <c r="L94" i="36"/>
  <c r="B246" i="36"/>
  <c r="L248" i="36"/>
  <c r="L249" i="36" l="1"/>
  <c r="B248" i="36"/>
  <c r="B94" i="36"/>
  <c r="L95" i="36"/>
  <c r="B95" i="36" l="1"/>
  <c r="L96" i="36"/>
  <c r="L97" i="36" s="1"/>
  <c r="L250" i="36"/>
  <c r="B249" i="36"/>
  <c r="L251" i="36" l="1"/>
  <c r="B250" i="36"/>
  <c r="B96" i="36"/>
  <c r="L252" i="36" l="1"/>
  <c r="B251" i="36"/>
  <c r="L253" i="36" l="1"/>
  <c r="B252" i="36"/>
  <c r="B97" i="36" l="1"/>
  <c r="L98" i="36"/>
  <c r="L254" i="36"/>
  <c r="B253" i="36"/>
  <c r="L255" i="36" l="1"/>
  <c r="L256" i="36" s="1"/>
  <c r="B254" i="36"/>
  <c r="L99" i="36"/>
  <c r="L100" i="36" s="1"/>
  <c r="L101" i="36" s="1"/>
  <c r="B98" i="36"/>
  <c r="L257" i="36" l="1"/>
  <c r="L102" i="36"/>
  <c r="B101" i="36"/>
  <c r="B99" i="36"/>
  <c r="B255" i="36"/>
  <c r="B100" i="36" l="1"/>
  <c r="L103" i="36" l="1"/>
  <c r="B103" i="36" s="1"/>
  <c r="B102" i="36" l="1"/>
  <c r="F18" i="36" l="1"/>
  <c r="H18" i="36"/>
  <c r="G18" i="36"/>
  <c r="I18" i="36"/>
  <c r="H25" i="36"/>
  <c r="F25" i="36"/>
  <c r="I25" i="36"/>
  <c r="G25" i="36"/>
  <c r="W250" i="35" l="1"/>
  <c r="V250" i="35"/>
  <c r="S250" i="35"/>
  <c r="P250" i="35"/>
  <c r="M250" i="35"/>
  <c r="L250" i="35"/>
  <c r="J250" i="35"/>
  <c r="H250" i="35"/>
  <c r="P249" i="35"/>
  <c r="O249" i="35"/>
  <c r="N249" i="35"/>
  <c r="M249" i="35"/>
  <c r="Z23" i="35" s="1"/>
  <c r="L249" i="35"/>
  <c r="P248" i="35"/>
  <c r="O248" i="35"/>
  <c r="N248" i="35"/>
  <c r="M248" i="35"/>
  <c r="L248" i="35"/>
  <c r="K248" i="35"/>
  <c r="B248" i="35"/>
  <c r="W247" i="35"/>
  <c r="V247" i="35"/>
  <c r="S247" i="35"/>
  <c r="W245" i="35"/>
  <c r="V245" i="35"/>
  <c r="S245" i="35"/>
  <c r="W244" i="35"/>
  <c r="V244" i="35"/>
  <c r="S244" i="35"/>
  <c r="K244" i="35"/>
  <c r="K250" i="35" s="1"/>
  <c r="W243" i="35"/>
  <c r="V243" i="35"/>
  <c r="S243" i="35"/>
  <c r="I243" i="35"/>
  <c r="W242" i="35"/>
  <c r="V242" i="35"/>
  <c r="S242" i="35"/>
  <c r="W241" i="35"/>
  <c r="V241" i="35"/>
  <c r="S241" i="35"/>
  <c r="W240" i="35"/>
  <c r="V240" i="35"/>
  <c r="S240" i="35"/>
  <c r="B240" i="35"/>
  <c r="W239" i="35"/>
  <c r="V239" i="35"/>
  <c r="S239" i="35"/>
  <c r="B239" i="35"/>
  <c r="P238" i="35"/>
  <c r="M238" i="35"/>
  <c r="L238" i="35"/>
  <c r="K238" i="35"/>
  <c r="P237" i="35"/>
  <c r="O237" i="35"/>
  <c r="N237" i="35"/>
  <c r="L237" i="35"/>
  <c r="K237" i="35"/>
  <c r="B237" i="35"/>
  <c r="W236" i="35"/>
  <c r="V236" i="35"/>
  <c r="S236" i="35"/>
  <c r="S235" i="35"/>
  <c r="P235" i="35"/>
  <c r="O235" i="35"/>
  <c r="O250" i="35" s="1"/>
  <c r="N235" i="35"/>
  <c r="N250" i="35" s="1"/>
  <c r="I235" i="35"/>
  <c r="I250" i="35" s="1"/>
  <c r="W234" i="35"/>
  <c r="V234" i="35"/>
  <c r="S234" i="35"/>
  <c r="I234" i="35"/>
  <c r="S233" i="35"/>
  <c r="M233" i="35"/>
  <c r="U232" i="35"/>
  <c r="B232" i="35" s="1"/>
  <c r="S232" i="35"/>
  <c r="M232" i="35"/>
  <c r="M237" i="35" s="1"/>
  <c r="W231" i="35"/>
  <c r="V231" i="35"/>
  <c r="U231" i="35"/>
  <c r="S231" i="35"/>
  <c r="B231" i="35"/>
  <c r="W230" i="35"/>
  <c r="V230" i="35"/>
  <c r="U230" i="35"/>
  <c r="S230" i="35"/>
  <c r="B230" i="35"/>
  <c r="W229" i="35"/>
  <c r="V229" i="35"/>
  <c r="S229" i="35"/>
  <c r="B229" i="35"/>
  <c r="W228" i="35"/>
  <c r="V228" i="35"/>
  <c r="S228" i="35"/>
  <c r="B228" i="35"/>
  <c r="W227" i="35"/>
  <c r="V227" i="35"/>
  <c r="S227" i="35"/>
  <c r="W226" i="35"/>
  <c r="V226" i="35"/>
  <c r="S226" i="35"/>
  <c r="W225" i="35"/>
  <c r="V225" i="35"/>
  <c r="S225" i="35"/>
  <c r="O225" i="35"/>
  <c r="N225" i="35"/>
  <c r="M225" i="35"/>
  <c r="L225" i="35"/>
  <c r="K225" i="35"/>
  <c r="J225" i="35"/>
  <c r="I225" i="35"/>
  <c r="W224" i="35"/>
  <c r="V224" i="35"/>
  <c r="S224" i="35"/>
  <c r="W223" i="35"/>
  <c r="V223" i="35"/>
  <c r="S223" i="35"/>
  <c r="O223" i="35"/>
  <c r="N223" i="35"/>
  <c r="M223" i="35"/>
  <c r="L223" i="35"/>
  <c r="K223" i="35"/>
  <c r="J223" i="35"/>
  <c r="I223" i="35"/>
  <c r="H223" i="35"/>
  <c r="W220" i="35"/>
  <c r="V220" i="35"/>
  <c r="S220" i="35"/>
  <c r="W219" i="35"/>
  <c r="V219" i="35"/>
  <c r="S219" i="35"/>
  <c r="O219" i="35"/>
  <c r="N219" i="35"/>
  <c r="M219" i="35"/>
  <c r="L219" i="35"/>
  <c r="J219" i="35"/>
  <c r="I219" i="35"/>
  <c r="W218" i="35"/>
  <c r="V218" i="35"/>
  <c r="S218" i="35"/>
  <c r="P217" i="35"/>
  <c r="O217" i="35"/>
  <c r="N217" i="35"/>
  <c r="M217" i="35"/>
  <c r="L217" i="35"/>
  <c r="K217" i="35"/>
  <c r="P216" i="35"/>
  <c r="O216" i="35"/>
  <c r="N216" i="35"/>
  <c r="M216" i="35"/>
  <c r="L216" i="35"/>
  <c r="B216" i="35"/>
  <c r="W215" i="35"/>
  <c r="V215" i="35"/>
  <c r="S215" i="35"/>
  <c r="W214" i="35"/>
  <c r="V214" i="35"/>
  <c r="S214" i="35"/>
  <c r="W213" i="35"/>
  <c r="V213" i="35"/>
  <c r="S213" i="35"/>
  <c r="W212" i="35"/>
  <c r="V212" i="35"/>
  <c r="S212" i="35"/>
  <c r="K212" i="35"/>
  <c r="W211" i="35"/>
  <c r="V211" i="35"/>
  <c r="S211" i="35"/>
  <c r="K211" i="35"/>
  <c r="K219" i="35" s="1"/>
  <c r="W210" i="35"/>
  <c r="V210" i="35"/>
  <c r="S210" i="35"/>
  <c r="W209" i="35"/>
  <c r="V209" i="35"/>
  <c r="S209" i="35"/>
  <c r="W208" i="35"/>
  <c r="V208" i="35"/>
  <c r="U208" i="35"/>
  <c r="B208" i="35" s="1"/>
  <c r="S208" i="35"/>
  <c r="W207" i="35"/>
  <c r="V207" i="35"/>
  <c r="S207" i="35"/>
  <c r="B207" i="35"/>
  <c r="W206" i="35"/>
  <c r="V206" i="35"/>
  <c r="S206" i="35"/>
  <c r="W205" i="35"/>
  <c r="V205" i="35"/>
  <c r="S205" i="35"/>
  <c r="P205" i="35"/>
  <c r="O205" i="35"/>
  <c r="N205" i="35"/>
  <c r="M205" i="35"/>
  <c r="L205" i="35"/>
  <c r="K205" i="35"/>
  <c r="J205" i="35"/>
  <c r="I205" i="35"/>
  <c r="H205" i="35"/>
  <c r="P204" i="35"/>
  <c r="O204" i="35"/>
  <c r="N204" i="35"/>
  <c r="M204" i="35"/>
  <c r="L204" i="35"/>
  <c r="K204" i="35"/>
  <c r="P203" i="35"/>
  <c r="O203" i="35"/>
  <c r="N203" i="35"/>
  <c r="M203" i="35"/>
  <c r="L203" i="35"/>
  <c r="K203" i="35"/>
  <c r="B203" i="35"/>
  <c r="S202" i="35"/>
  <c r="S201" i="35"/>
  <c r="S200" i="35"/>
  <c r="S199" i="35"/>
  <c r="S198" i="35"/>
  <c r="S197" i="35"/>
  <c r="W196" i="35"/>
  <c r="V196" i="35"/>
  <c r="S196" i="35"/>
  <c r="W195" i="35"/>
  <c r="V195" i="35"/>
  <c r="U195" i="35"/>
  <c r="B195" i="35" s="1"/>
  <c r="S195" i="35"/>
  <c r="W194" i="35"/>
  <c r="V194" i="35"/>
  <c r="S194" i="35"/>
  <c r="B194" i="35"/>
  <c r="W193" i="35"/>
  <c r="V193" i="35"/>
  <c r="S193" i="35"/>
  <c r="W192" i="35"/>
  <c r="V192" i="35"/>
  <c r="S192" i="35"/>
  <c r="W191" i="35"/>
  <c r="V191" i="35"/>
  <c r="S191" i="35"/>
  <c r="W190" i="35"/>
  <c r="V190" i="35"/>
  <c r="S190" i="35"/>
  <c r="W189" i="35"/>
  <c r="V189" i="35"/>
  <c r="S189" i="35"/>
  <c r="W188" i="35"/>
  <c r="V188" i="35"/>
  <c r="S188" i="35"/>
  <c r="O188" i="35"/>
  <c r="N188" i="35"/>
  <c r="M188" i="35"/>
  <c r="L188" i="35"/>
  <c r="J188" i="35"/>
  <c r="I188" i="35"/>
  <c r="H188" i="35"/>
  <c r="P187" i="35"/>
  <c r="O187" i="35"/>
  <c r="N187" i="35"/>
  <c r="AA19" i="35" s="1"/>
  <c r="M187" i="35"/>
  <c r="L187" i="35"/>
  <c r="K187" i="35"/>
  <c r="P186" i="35"/>
  <c r="O186" i="35"/>
  <c r="N186" i="35"/>
  <c r="M186" i="35"/>
  <c r="L186" i="35"/>
  <c r="K186" i="35"/>
  <c r="X19" i="35" s="1"/>
  <c r="B186" i="35"/>
  <c r="W185" i="35"/>
  <c r="V185" i="35"/>
  <c r="S185" i="35"/>
  <c r="W184" i="35"/>
  <c r="V184" i="35"/>
  <c r="S184" i="35"/>
  <c r="W183" i="35"/>
  <c r="V183" i="35"/>
  <c r="S183" i="35"/>
  <c r="W182" i="35"/>
  <c r="V182" i="35"/>
  <c r="S182" i="35"/>
  <c r="W181" i="35"/>
  <c r="V181" i="35"/>
  <c r="S181" i="35"/>
  <c r="W180" i="35"/>
  <c r="V180" i="35"/>
  <c r="S180" i="35"/>
  <c r="W179" i="35"/>
  <c r="V179" i="35"/>
  <c r="S179" i="35"/>
  <c r="W178" i="35"/>
  <c r="V178" i="35"/>
  <c r="S178" i="35"/>
  <c r="W177" i="35"/>
  <c r="V177" i="35"/>
  <c r="S177" i="35"/>
  <c r="W176" i="35"/>
  <c r="V176" i="35"/>
  <c r="S176" i="35"/>
  <c r="W174" i="35"/>
  <c r="V174" i="35"/>
  <c r="S174" i="35"/>
  <c r="W173" i="35"/>
  <c r="V173" i="35"/>
  <c r="S173" i="35"/>
  <c r="W172" i="35"/>
  <c r="V172" i="35"/>
  <c r="S172" i="35"/>
  <c r="W171" i="35"/>
  <c r="V171" i="35"/>
  <c r="S171" i="35"/>
  <c r="W170" i="35"/>
  <c r="V170" i="35"/>
  <c r="S170" i="35"/>
  <c r="W169" i="35"/>
  <c r="V169" i="35"/>
  <c r="S169" i="35"/>
  <c r="W167" i="35"/>
  <c r="V167" i="35"/>
  <c r="S167" i="35"/>
  <c r="W166" i="35"/>
  <c r="V166" i="35"/>
  <c r="S166" i="35"/>
  <c r="W163" i="35"/>
  <c r="V163" i="35"/>
  <c r="S163" i="35"/>
  <c r="W162" i="35"/>
  <c r="V162" i="35"/>
  <c r="S162" i="35"/>
  <c r="W161" i="35"/>
  <c r="V161" i="35"/>
  <c r="S161" i="35"/>
  <c r="P160" i="35"/>
  <c r="O160" i="35"/>
  <c r="N160" i="35"/>
  <c r="M160" i="35"/>
  <c r="L160" i="35"/>
  <c r="K160" i="35"/>
  <c r="P159" i="35"/>
  <c r="O159" i="35"/>
  <c r="N159" i="35"/>
  <c r="M159" i="35"/>
  <c r="Z18" i="35" s="1"/>
  <c r="L159" i="35"/>
  <c r="Y18" i="35" s="1"/>
  <c r="K159" i="35"/>
  <c r="B159" i="35"/>
  <c r="W157" i="35"/>
  <c r="V157" i="35"/>
  <c r="S157" i="35"/>
  <c r="W156" i="35"/>
  <c r="V156" i="35"/>
  <c r="S156" i="35"/>
  <c r="W152" i="35"/>
  <c r="V152" i="35"/>
  <c r="S152" i="35"/>
  <c r="W151" i="35"/>
  <c r="V151" i="35"/>
  <c r="S151" i="35"/>
  <c r="W150" i="35"/>
  <c r="V150" i="35"/>
  <c r="S150" i="35"/>
  <c r="W149" i="35"/>
  <c r="V149" i="35"/>
  <c r="S149" i="35"/>
  <c r="AA148" i="35"/>
  <c r="Z148" i="35"/>
  <c r="Z150" i="35" s="1"/>
  <c r="W148" i="35"/>
  <c r="V148" i="35"/>
  <c r="S148" i="35"/>
  <c r="P147" i="35"/>
  <c r="O147" i="35"/>
  <c r="N147" i="35"/>
  <c r="M147" i="35"/>
  <c r="L147" i="35"/>
  <c r="K147" i="35"/>
  <c r="P146" i="35"/>
  <c r="O146" i="35"/>
  <c r="N146" i="35"/>
  <c r="AA17" i="35" s="1"/>
  <c r="M146" i="35"/>
  <c r="Z17" i="35" s="1"/>
  <c r="L146" i="35"/>
  <c r="Y17" i="35" s="1"/>
  <c r="B146" i="35"/>
  <c r="W145" i="35"/>
  <c r="V145" i="35"/>
  <c r="S145" i="35"/>
  <c r="AA144" i="35"/>
  <c r="AA150" i="35" s="1"/>
  <c r="Z144" i="35"/>
  <c r="W144" i="35"/>
  <c r="V144" i="35"/>
  <c r="S144" i="35"/>
  <c r="W142" i="35"/>
  <c r="V142" i="35"/>
  <c r="S142" i="35"/>
  <c r="W141" i="35"/>
  <c r="V141" i="35"/>
  <c r="S141" i="35"/>
  <c r="W140" i="35"/>
  <c r="V140" i="35"/>
  <c r="W139" i="35"/>
  <c r="V139" i="35"/>
  <c r="S138" i="35"/>
  <c r="W136" i="35"/>
  <c r="V136" i="35"/>
  <c r="S136" i="35"/>
  <c r="W135" i="35"/>
  <c r="V135" i="35"/>
  <c r="S135" i="35"/>
  <c r="W134" i="35"/>
  <c r="V134" i="35"/>
  <c r="S134" i="35"/>
  <c r="W133" i="35"/>
  <c r="V133" i="35"/>
  <c r="S133" i="35"/>
  <c r="W132" i="35"/>
  <c r="V132" i="35"/>
  <c r="S132" i="35"/>
  <c r="W131" i="35"/>
  <c r="V131" i="35"/>
  <c r="S131" i="35"/>
  <c r="K131" i="35"/>
  <c r="K188" i="35" s="1"/>
  <c r="W130" i="35"/>
  <c r="V130" i="35"/>
  <c r="S130" i="35"/>
  <c r="W129" i="35"/>
  <c r="V129" i="35"/>
  <c r="S129" i="35"/>
  <c r="W128" i="35"/>
  <c r="V128" i="35"/>
  <c r="S128" i="35"/>
  <c r="W127" i="35"/>
  <c r="V127" i="35"/>
  <c r="S127" i="35"/>
  <c r="W126" i="35"/>
  <c r="V126" i="35"/>
  <c r="S126" i="35"/>
  <c r="W125" i="35"/>
  <c r="V125" i="35"/>
  <c r="S125" i="35"/>
  <c r="P124" i="35"/>
  <c r="O124" i="35"/>
  <c r="N124" i="35"/>
  <c r="M124" i="35"/>
  <c r="L124" i="35"/>
  <c r="K124" i="35"/>
  <c r="O123" i="35"/>
  <c r="N123" i="35"/>
  <c r="AA16" i="35" s="1"/>
  <c r="M123" i="35"/>
  <c r="Z16" i="35" s="1"/>
  <c r="L123" i="35"/>
  <c r="Y16" i="35" s="1"/>
  <c r="K123" i="35"/>
  <c r="S119" i="35"/>
  <c r="P119" i="35"/>
  <c r="P123" i="35" s="1"/>
  <c r="S118" i="35"/>
  <c r="W117" i="35"/>
  <c r="V117" i="35"/>
  <c r="U117" i="35"/>
  <c r="S117" i="35"/>
  <c r="W116" i="35"/>
  <c r="V116" i="35"/>
  <c r="S116" i="35"/>
  <c r="B116" i="35"/>
  <c r="W115" i="35"/>
  <c r="V115" i="35"/>
  <c r="S115" i="35"/>
  <c r="B115" i="35"/>
  <c r="W114" i="35"/>
  <c r="V114" i="35"/>
  <c r="S114" i="35"/>
  <c r="W113" i="35"/>
  <c r="V113" i="35"/>
  <c r="S113" i="35"/>
  <c r="W112" i="35"/>
  <c r="V112" i="35"/>
  <c r="S112" i="35"/>
  <c r="P112" i="35"/>
  <c r="O112" i="35"/>
  <c r="N112" i="35"/>
  <c r="M112" i="35"/>
  <c r="L112" i="35"/>
  <c r="K112" i="35"/>
  <c r="J112" i="35"/>
  <c r="I112" i="35"/>
  <c r="H112" i="35"/>
  <c r="P111" i="35"/>
  <c r="O111" i="35"/>
  <c r="N111" i="35"/>
  <c r="M111" i="35"/>
  <c r="L111" i="35"/>
  <c r="K111" i="35"/>
  <c r="P110" i="35"/>
  <c r="O110" i="35"/>
  <c r="N110" i="35"/>
  <c r="AA15" i="35" s="1"/>
  <c r="M110" i="35"/>
  <c r="Z15" i="35" s="1"/>
  <c r="L110" i="35"/>
  <c r="Y15" i="35" s="1"/>
  <c r="K110" i="35"/>
  <c r="B110" i="35"/>
  <c r="W109" i="35"/>
  <c r="V109" i="35"/>
  <c r="W105" i="35"/>
  <c r="V105" i="35"/>
  <c r="U105" i="35"/>
  <c r="U106" i="35" s="1"/>
  <c r="S105" i="35"/>
  <c r="B105" i="35"/>
  <c r="W104" i="35"/>
  <c r="V104" i="35"/>
  <c r="S104" i="35"/>
  <c r="B104" i="35"/>
  <c r="W103" i="35"/>
  <c r="V103" i="35"/>
  <c r="U103" i="35"/>
  <c r="U104" i="35" s="1"/>
  <c r="S103" i="35"/>
  <c r="B103" i="35"/>
  <c r="W102" i="35"/>
  <c r="V102" i="35"/>
  <c r="S102" i="35"/>
  <c r="B102" i="35"/>
  <c r="P101" i="35"/>
  <c r="O101" i="35"/>
  <c r="N101" i="35"/>
  <c r="M101" i="35"/>
  <c r="L101" i="35"/>
  <c r="K101" i="35"/>
  <c r="W100" i="35"/>
  <c r="V100" i="35"/>
  <c r="S100" i="35"/>
  <c r="O100" i="35"/>
  <c r="N100" i="35"/>
  <c r="AA14" i="35" s="1"/>
  <c r="M100" i="35"/>
  <c r="Z14" i="35" s="1"/>
  <c r="L100" i="35"/>
  <c r="Y14" i="35" s="1"/>
  <c r="K100" i="35"/>
  <c r="B100" i="35"/>
  <c r="W99" i="35"/>
  <c r="V99" i="35"/>
  <c r="S99" i="35"/>
  <c r="B99" i="35"/>
  <c r="W98" i="35"/>
  <c r="V98" i="35"/>
  <c r="S98" i="35"/>
  <c r="W97" i="35"/>
  <c r="V97" i="35"/>
  <c r="S97" i="35"/>
  <c r="W96" i="35"/>
  <c r="V96" i="35"/>
  <c r="S96" i="35"/>
  <c r="K96" i="35"/>
  <c r="J96" i="35"/>
  <c r="I96" i="35"/>
  <c r="H96" i="35"/>
  <c r="P95" i="35"/>
  <c r="O95" i="35"/>
  <c r="N95" i="35"/>
  <c r="M95" i="35"/>
  <c r="L95" i="35"/>
  <c r="K95" i="35"/>
  <c r="K94" i="35"/>
  <c r="B94" i="35"/>
  <c r="P88" i="35"/>
  <c r="P87" i="35"/>
  <c r="P86" i="35"/>
  <c r="P85" i="35"/>
  <c r="P84" i="35"/>
  <c r="P83" i="35"/>
  <c r="P82" i="35"/>
  <c r="P81" i="35"/>
  <c r="P80" i="35"/>
  <c r="P79" i="35"/>
  <c r="P78" i="35"/>
  <c r="P77" i="35"/>
  <c r="P76" i="35"/>
  <c r="P75" i="35"/>
  <c r="P74" i="35"/>
  <c r="P73" i="35"/>
  <c r="P72" i="35"/>
  <c r="P71" i="35"/>
  <c r="P70" i="35"/>
  <c r="W69" i="35"/>
  <c r="V69" i="35"/>
  <c r="S69" i="35"/>
  <c r="P69" i="35"/>
  <c r="W68" i="35"/>
  <c r="V68" i="35"/>
  <c r="S68" i="35"/>
  <c r="P68" i="35"/>
  <c r="W67" i="35"/>
  <c r="V67" i="35"/>
  <c r="S67" i="35"/>
  <c r="P67" i="35"/>
  <c r="S66" i="35"/>
  <c r="P66" i="35"/>
  <c r="S65" i="35"/>
  <c r="P65" i="35"/>
  <c r="S63" i="35"/>
  <c r="W62" i="35"/>
  <c r="V62" i="35"/>
  <c r="S62" i="35"/>
  <c r="W61" i="35"/>
  <c r="V61" i="35"/>
  <c r="S61" i="35"/>
  <c r="W60" i="35"/>
  <c r="V60" i="35"/>
  <c r="S60" i="35"/>
  <c r="W59" i="35"/>
  <c r="V59" i="35"/>
  <c r="S59" i="35"/>
  <c r="W58" i="35"/>
  <c r="V58" i="35"/>
  <c r="S58" i="35"/>
  <c r="P58" i="35"/>
  <c r="W57" i="35"/>
  <c r="V57" i="35"/>
  <c r="S57" i="35"/>
  <c r="P57" i="35"/>
  <c r="W56" i="35"/>
  <c r="V56" i="35"/>
  <c r="S56" i="35"/>
  <c r="P56" i="35"/>
  <c r="W55" i="35"/>
  <c r="V55" i="35"/>
  <c r="S55" i="35"/>
  <c r="W54" i="35"/>
  <c r="V54" i="35"/>
  <c r="S54" i="35"/>
  <c r="W53" i="35"/>
  <c r="V53" i="35"/>
  <c r="S53" i="35"/>
  <c r="W52" i="35"/>
  <c r="V52" i="35"/>
  <c r="S52" i="35"/>
  <c r="P52" i="35"/>
  <c r="M52" i="35"/>
  <c r="W51" i="35"/>
  <c r="V51" i="35"/>
  <c r="S51" i="35"/>
  <c r="P51" i="35"/>
  <c r="M51" i="35"/>
  <c r="L51" i="35"/>
  <c r="L96" i="35" s="1"/>
  <c r="S50" i="35"/>
  <c r="P50" i="35"/>
  <c r="M50" i="35"/>
  <c r="S49" i="35"/>
  <c r="P49" i="35"/>
  <c r="N49" i="35"/>
  <c r="O49" i="35" s="1"/>
  <c r="M49" i="35"/>
  <c r="S48" i="35"/>
  <c r="M48" i="35"/>
  <c r="S47" i="35"/>
  <c r="P47" i="35"/>
  <c r="O47" i="35"/>
  <c r="N47" i="35"/>
  <c r="M47" i="35"/>
  <c r="U46" i="35"/>
  <c r="B46" i="35" s="1"/>
  <c r="S46" i="35"/>
  <c r="N46" i="35"/>
  <c r="M46" i="35"/>
  <c r="U45" i="35"/>
  <c r="B45" i="35" s="1"/>
  <c r="S45" i="35"/>
  <c r="P45" i="35"/>
  <c r="N45" i="35"/>
  <c r="O45" i="35" s="1"/>
  <c r="M45" i="35"/>
  <c r="S44" i="35"/>
  <c r="P44" i="35"/>
  <c r="O44" i="35"/>
  <c r="N44" i="35"/>
  <c r="M44" i="35"/>
  <c r="B44" i="35"/>
  <c r="P41" i="35"/>
  <c r="O41" i="35"/>
  <c r="N41" i="35"/>
  <c r="M41" i="35"/>
  <c r="L41" i="35"/>
  <c r="K41" i="35"/>
  <c r="J41" i="35"/>
  <c r="I41" i="35"/>
  <c r="H41" i="35"/>
  <c r="J32" i="35"/>
  <c r="H32" i="35"/>
  <c r="L31" i="35"/>
  <c r="K31" i="35"/>
  <c r="J31" i="35"/>
  <c r="I31" i="35"/>
  <c r="I32" i="35" s="1"/>
  <c r="H31" i="35"/>
  <c r="L30" i="35"/>
  <c r="K30" i="35"/>
  <c r="AA24" i="35"/>
  <c r="Z24" i="35"/>
  <c r="Y24" i="35"/>
  <c r="X24" i="35"/>
  <c r="L24" i="35"/>
  <c r="AA23" i="35"/>
  <c r="Y23" i="35"/>
  <c r="O23" i="35"/>
  <c r="N23" i="35"/>
  <c r="M23" i="35"/>
  <c r="L23" i="35"/>
  <c r="K23" i="35"/>
  <c r="Z22" i="35"/>
  <c r="Y22" i="35"/>
  <c r="X22" i="35"/>
  <c r="O22" i="35"/>
  <c r="N22" i="35"/>
  <c r="M22" i="35"/>
  <c r="L22" i="35"/>
  <c r="K22" i="35"/>
  <c r="AA21" i="35"/>
  <c r="Z21" i="35"/>
  <c r="Y21" i="35"/>
  <c r="AA20" i="35"/>
  <c r="Z20" i="35"/>
  <c r="Y20" i="35"/>
  <c r="X20" i="35"/>
  <c r="O20" i="35"/>
  <c r="N20" i="35"/>
  <c r="M20" i="35"/>
  <c r="L20" i="35"/>
  <c r="L21" i="35" s="1"/>
  <c r="K20" i="35"/>
  <c r="Z19" i="35"/>
  <c r="Y19" i="35"/>
  <c r="X18" i="35"/>
  <c r="O18" i="35"/>
  <c r="N18" i="35"/>
  <c r="M18" i="35"/>
  <c r="L18" i="35"/>
  <c r="K18" i="35"/>
  <c r="X16" i="35"/>
  <c r="X15" i="35"/>
  <c r="X14" i="35"/>
  <c r="H14" i="35"/>
  <c r="X13" i="35"/>
  <c r="M13" i="35"/>
  <c r="L13" i="35"/>
  <c r="K13" i="35"/>
  <c r="J13" i="35"/>
  <c r="I13" i="35"/>
  <c r="H13" i="35"/>
  <c r="L12" i="35"/>
  <c r="L16" i="35" s="1"/>
  <c r="K12" i="35"/>
  <c r="K16" i="35" s="1"/>
  <c r="O11" i="35"/>
  <c r="O32" i="35" s="1"/>
  <c r="N11" i="35"/>
  <c r="N32" i="35" s="1"/>
  <c r="M11" i="35"/>
  <c r="L11" i="35"/>
  <c r="K11" i="35"/>
  <c r="K32" i="35" s="1"/>
  <c r="J11" i="35"/>
  <c r="J8" i="35"/>
  <c r="J14" i="35" s="1"/>
  <c r="I8" i="35"/>
  <c r="I14" i="35" s="1"/>
  <c r="H8" i="35"/>
  <c r="O7" i="35"/>
  <c r="N7" i="35"/>
  <c r="M7" i="35"/>
  <c r="F7" i="35"/>
  <c r="K7" i="35" s="1"/>
  <c r="M6" i="35"/>
  <c r="K6" i="35"/>
  <c r="K24" i="35" s="1"/>
  <c r="M5" i="35"/>
  <c r="K5" i="35"/>
  <c r="K21" i="35" s="1"/>
  <c r="F5" i="35"/>
  <c r="L4" i="35"/>
  <c r="M4" i="35" s="1"/>
  <c r="F4" i="35"/>
  <c r="K4" i="35" s="1"/>
  <c r="L32" i="35" l="1"/>
  <c r="L14" i="35"/>
  <c r="AA18" i="35"/>
  <c r="M26" i="35"/>
  <c r="M19" i="35"/>
  <c r="M8" i="35"/>
  <c r="M27" i="35" s="1"/>
  <c r="N4" i="35"/>
  <c r="M21" i="35"/>
  <c r="N5" i="35"/>
  <c r="N13" i="35"/>
  <c r="O46" i="35"/>
  <c r="N94" i="35"/>
  <c r="AA13" i="35" s="1"/>
  <c r="M94" i="35"/>
  <c r="Z13" i="35" s="1"/>
  <c r="Z25" i="35" s="1"/>
  <c r="M96" i="35"/>
  <c r="N48" i="35"/>
  <c r="M12" i="35"/>
  <c r="M16" i="35" s="1"/>
  <c r="L19" i="35"/>
  <c r="L26" i="35"/>
  <c r="L8" i="35"/>
  <c r="L27" i="35" s="1"/>
  <c r="M24" i="35"/>
  <c r="N6" i="35"/>
  <c r="M32" i="35"/>
  <c r="K19" i="35"/>
  <c r="K26" i="35" s="1"/>
  <c r="F8" i="35"/>
  <c r="K8" i="35"/>
  <c r="K27" i="35" s="1"/>
  <c r="K14" i="35"/>
  <c r="N96" i="35"/>
  <c r="B106" i="35"/>
  <c r="U107" i="35"/>
  <c r="B117" i="35"/>
  <c r="U118" i="35"/>
  <c r="U47" i="35"/>
  <c r="L94" i="35"/>
  <c r="Y13" i="35" s="1"/>
  <c r="Y25" i="35" s="1"/>
  <c r="P188" i="35"/>
  <c r="U233" i="35"/>
  <c r="K146" i="35"/>
  <c r="X17" i="35" s="1"/>
  <c r="U196" i="35"/>
  <c r="U209" i="35"/>
  <c r="K216" i="35"/>
  <c r="X21" i="35" s="1"/>
  <c r="N238" i="35"/>
  <c r="AA22" i="35" s="1"/>
  <c r="K249" i="35"/>
  <c r="X23" i="35" s="1"/>
  <c r="O238" i="35"/>
  <c r="X25" i="35" l="1"/>
  <c r="B233" i="35"/>
  <c r="U234" i="35"/>
  <c r="M14" i="35"/>
  <c r="O48" i="35"/>
  <c r="N12" i="35"/>
  <c r="P46" i="35"/>
  <c r="O13" i="35"/>
  <c r="N21" i="35"/>
  <c r="O5" i="35"/>
  <c r="O21" i="35" s="1"/>
  <c r="U119" i="35"/>
  <c r="B118" i="35"/>
  <c r="AA25" i="35"/>
  <c r="U210" i="35"/>
  <c r="B209" i="35"/>
  <c r="U48" i="35"/>
  <c r="B47" i="35"/>
  <c r="B107" i="35"/>
  <c r="U108" i="35"/>
  <c r="U197" i="35"/>
  <c r="B196" i="35"/>
  <c r="N24" i="35"/>
  <c r="O6" i="35"/>
  <c r="O24" i="35" s="1"/>
  <c r="N26" i="35"/>
  <c r="N19" i="35"/>
  <c r="O4" i="35"/>
  <c r="N8" i="35"/>
  <c r="N27" i="35" s="1"/>
  <c r="N14" i="35" l="1"/>
  <c r="N16" i="35"/>
  <c r="U235" i="35"/>
  <c r="B234" i="35"/>
  <c r="U198" i="35"/>
  <c r="B197" i="35"/>
  <c r="B48" i="35"/>
  <c r="U49" i="35"/>
  <c r="O19" i="35"/>
  <c r="O26" i="35"/>
  <c r="O8" i="35"/>
  <c r="O27" i="35" s="1"/>
  <c r="B108" i="35"/>
  <c r="U109" i="35"/>
  <c r="B109" i="35" s="1"/>
  <c r="B119" i="35"/>
  <c r="U120" i="35"/>
  <c r="P94" i="35"/>
  <c r="P96" i="35"/>
  <c r="U211" i="35"/>
  <c r="B210" i="35"/>
  <c r="AA29" i="35"/>
  <c r="P48" i="35"/>
  <c r="O12" i="35"/>
  <c r="O94" i="35"/>
  <c r="O96" i="35"/>
  <c r="O16" i="35" l="1"/>
  <c r="O14" i="35"/>
  <c r="B120" i="35"/>
  <c r="U121" i="35"/>
  <c r="U236" i="35"/>
  <c r="B235" i="35"/>
  <c r="U212" i="35"/>
  <c r="B211" i="35"/>
  <c r="U199" i="35"/>
  <c r="B198" i="35"/>
  <c r="U50" i="35"/>
  <c r="B49" i="35"/>
  <c r="B50" i="35" l="1"/>
  <c r="U51" i="35"/>
  <c r="U213" i="35"/>
  <c r="B212" i="35"/>
  <c r="U122" i="35"/>
  <c r="B121" i="35"/>
  <c r="B199" i="35"/>
  <c r="U200" i="35"/>
  <c r="U241" i="35"/>
  <c r="B236" i="35"/>
  <c r="U52" i="35" l="1"/>
  <c r="B51" i="35"/>
  <c r="B241" i="35"/>
  <c r="U242" i="35"/>
  <c r="B122" i="35"/>
  <c r="U126" i="35"/>
  <c r="U201" i="35"/>
  <c r="B200" i="35"/>
  <c r="B213" i="35"/>
  <c r="U214" i="35"/>
  <c r="U202" i="35" l="1"/>
  <c r="B202" i="35" s="1"/>
  <c r="B201" i="35"/>
  <c r="B214" i="35"/>
  <c r="U215" i="35"/>
  <c r="B215" i="35" s="1"/>
  <c r="U127" i="35"/>
  <c r="B126" i="35"/>
  <c r="U243" i="35"/>
  <c r="B242" i="35"/>
  <c r="U53" i="35"/>
  <c r="B52" i="35"/>
  <c r="B53" i="35" l="1"/>
  <c r="U54" i="35"/>
  <c r="B243" i="35"/>
  <c r="U244" i="35"/>
  <c r="U128" i="35"/>
  <c r="B127" i="35"/>
  <c r="U245" i="35" l="1"/>
  <c r="B244" i="35"/>
  <c r="B128" i="35"/>
  <c r="U129" i="35"/>
  <c r="U55" i="35"/>
  <c r="B54" i="35"/>
  <c r="B129" i="35" l="1"/>
  <c r="U130" i="35"/>
  <c r="B55" i="35"/>
  <c r="U56" i="35"/>
  <c r="B245" i="35"/>
  <c r="U246" i="35"/>
  <c r="U57" i="35" l="1"/>
  <c r="B56" i="35"/>
  <c r="B246" i="35"/>
  <c r="U247" i="35"/>
  <c r="B247" i="35" s="1"/>
  <c r="B130" i="35"/>
  <c r="U131" i="35"/>
  <c r="B131" i="35" l="1"/>
  <c r="U132" i="35"/>
  <c r="U58" i="35"/>
  <c r="B57" i="35"/>
  <c r="B58" i="35" l="1"/>
  <c r="U59" i="35"/>
  <c r="B132" i="35"/>
  <c r="U133" i="35"/>
  <c r="U134" i="35" l="1"/>
  <c r="B133" i="35"/>
  <c r="U60" i="35"/>
  <c r="B59" i="35"/>
  <c r="B60" i="35" l="1"/>
  <c r="U61" i="35"/>
  <c r="B134" i="35"/>
  <c r="U135" i="35"/>
  <c r="B135" i="35" l="1"/>
  <c r="U136" i="35"/>
  <c r="B61" i="35"/>
  <c r="U62" i="35"/>
  <c r="B62" i="35" l="1"/>
  <c r="U63" i="35"/>
  <c r="B136" i="35"/>
  <c r="U137" i="35"/>
  <c r="B137" i="35" l="1"/>
  <c r="U138" i="35"/>
  <c r="U64" i="35"/>
  <c r="B63" i="35"/>
  <c r="B64" i="35" l="1"/>
  <c r="U65" i="35"/>
  <c r="U139" i="35"/>
  <c r="B138" i="35"/>
  <c r="U140" i="35" l="1"/>
  <c r="B139" i="35"/>
  <c r="U66" i="35"/>
  <c r="B65" i="35"/>
  <c r="U67" i="35" l="1"/>
  <c r="B66" i="35"/>
  <c r="U141" i="35"/>
  <c r="B140" i="35"/>
  <c r="U142" i="35" l="1"/>
  <c r="B141" i="35"/>
  <c r="U68" i="35"/>
  <c r="B67" i="35"/>
  <c r="B68" i="35" l="1"/>
  <c r="U69" i="35"/>
  <c r="B142" i="35"/>
  <c r="U143" i="35"/>
  <c r="B69" i="35" l="1"/>
  <c r="U70" i="35"/>
  <c r="U144" i="35"/>
  <c r="B143" i="35"/>
  <c r="U145" i="35" l="1"/>
  <c r="B144" i="35"/>
  <c r="B70" i="35"/>
  <c r="U71" i="35"/>
  <c r="U72" i="35" l="1"/>
  <c r="B71" i="35"/>
  <c r="U149" i="35"/>
  <c r="B145" i="35"/>
  <c r="B149" i="35" l="1"/>
  <c r="U150" i="35"/>
  <c r="U73" i="35"/>
  <c r="B72" i="35"/>
  <c r="U74" i="35" l="1"/>
  <c r="B73" i="35"/>
  <c r="U151" i="35"/>
  <c r="B150" i="35"/>
  <c r="B151" i="35" l="1"/>
  <c r="U152" i="35"/>
  <c r="B74" i="35"/>
  <c r="U75" i="35"/>
  <c r="U76" i="35" l="1"/>
  <c r="B75" i="35"/>
  <c r="U153" i="35"/>
  <c r="B152" i="35"/>
  <c r="U154" i="35" l="1"/>
  <c r="B153" i="35"/>
  <c r="B76" i="35"/>
  <c r="U77" i="35"/>
  <c r="U78" i="35" l="1"/>
  <c r="B77" i="35"/>
  <c r="B154" i="35"/>
  <c r="U155" i="35"/>
  <c r="U156" i="35" l="1"/>
  <c r="B155" i="35"/>
  <c r="B78" i="35"/>
  <c r="U79" i="35"/>
  <c r="U80" i="35" l="1"/>
  <c r="B79" i="35"/>
  <c r="B156" i="35"/>
  <c r="U157" i="35"/>
  <c r="U158" i="35" l="1"/>
  <c r="B157" i="35"/>
  <c r="U81" i="35"/>
  <c r="B80" i="35"/>
  <c r="U82" i="35" l="1"/>
  <c r="B81" i="35"/>
  <c r="U162" i="35"/>
  <c r="B158" i="35"/>
  <c r="B162" i="35" l="1"/>
  <c r="U163" i="35"/>
  <c r="B82" i="35"/>
  <c r="U83" i="35"/>
  <c r="U164" i="35" l="1"/>
  <c r="B163" i="35"/>
  <c r="U84" i="35"/>
  <c r="B83" i="35"/>
  <c r="B84" i="35" l="1"/>
  <c r="U85" i="35"/>
  <c r="U165" i="35"/>
  <c r="B164" i="35"/>
  <c r="U166" i="35" l="1"/>
  <c r="B165" i="35"/>
  <c r="U86" i="35"/>
  <c r="B85" i="35"/>
  <c r="B86" i="35" l="1"/>
  <c r="U87" i="35"/>
  <c r="U167" i="35"/>
  <c r="B166" i="35"/>
  <c r="B167" i="35" l="1"/>
  <c r="U168" i="35"/>
  <c r="U88" i="35"/>
  <c r="B87" i="35"/>
  <c r="B88" i="35" l="1"/>
  <c r="U89" i="35"/>
  <c r="U169" i="35"/>
  <c r="B168" i="35"/>
  <c r="U170" i="35" l="1"/>
  <c r="B169" i="35"/>
  <c r="U90" i="35"/>
  <c r="B89" i="35"/>
  <c r="B90" i="35" l="1"/>
  <c r="U91" i="35"/>
  <c r="B170" i="35"/>
  <c r="U171" i="35"/>
  <c r="B171" i="35" l="1"/>
  <c r="U172" i="35"/>
  <c r="U92" i="35"/>
  <c r="B91" i="35"/>
  <c r="U93" i="35" l="1"/>
  <c r="B93" i="35" s="1"/>
  <c r="B92" i="35"/>
  <c r="U173" i="35"/>
  <c r="B172" i="35"/>
  <c r="U174" i="35" l="1"/>
  <c r="B173" i="35"/>
  <c r="B174" i="35" l="1"/>
  <c r="U175" i="35"/>
  <c r="U176" i="35" l="1"/>
  <c r="B175" i="35"/>
  <c r="U177" i="35" l="1"/>
  <c r="B176" i="35"/>
  <c r="B177" i="35" l="1"/>
  <c r="U178" i="35"/>
  <c r="B178" i="35" l="1"/>
  <c r="U179" i="35"/>
  <c r="U180" i="35" l="1"/>
  <c r="B179" i="35"/>
  <c r="U181" i="35" l="1"/>
  <c r="B180" i="35"/>
  <c r="B181" i="35" l="1"/>
  <c r="U182" i="35"/>
  <c r="B182" i="35" l="1"/>
  <c r="U183" i="35"/>
  <c r="U184" i="35" l="1"/>
  <c r="B183" i="35"/>
  <c r="U185" i="35" l="1"/>
  <c r="B185" i="35" s="1"/>
  <c r="B184" i="35"/>
  <c r="X27" i="35" l="1"/>
  <c r="Z27" i="35"/>
  <c r="AA27" i="35"/>
  <c r="Y27" i="35"/>
  <c r="G141" i="34" l="1"/>
  <c r="H141" i="34" s="1"/>
  <c r="I141" i="34" s="1"/>
  <c r="H157" i="33" l="1"/>
  <c r="I157" i="33"/>
  <c r="G157" i="33"/>
  <c r="F343" i="33" l="1"/>
  <c r="L173" i="34"/>
  <c r="B173" i="34" s="1"/>
  <c r="U365" i="34"/>
  <c r="T365" i="34"/>
  <c r="S365" i="34"/>
  <c r="R365" i="34"/>
  <c r="U364" i="34"/>
  <c r="T364" i="34"/>
  <c r="S364" i="34"/>
  <c r="R364" i="34"/>
  <c r="U363" i="34"/>
  <c r="T363" i="34"/>
  <c r="S363" i="34"/>
  <c r="R363" i="34"/>
  <c r="U362" i="34"/>
  <c r="T362" i="34"/>
  <c r="S362" i="34"/>
  <c r="R362" i="34"/>
  <c r="U361" i="34"/>
  <c r="T361" i="34"/>
  <c r="S361" i="34"/>
  <c r="R361" i="34"/>
  <c r="U360" i="34"/>
  <c r="T360" i="34"/>
  <c r="S360" i="34"/>
  <c r="R360" i="34"/>
  <c r="U359" i="34"/>
  <c r="T359" i="34"/>
  <c r="S359" i="34"/>
  <c r="R359" i="34"/>
  <c r="U358" i="34"/>
  <c r="U366" i="34" s="1"/>
  <c r="T358" i="34"/>
  <c r="T366" i="34" s="1"/>
  <c r="S358" i="34"/>
  <c r="S366" i="34" s="1"/>
  <c r="R358" i="34"/>
  <c r="R366" i="34" s="1"/>
  <c r="H351" i="34"/>
  <c r="G351" i="34"/>
  <c r="F351" i="34"/>
  <c r="H348" i="34"/>
  <c r="G348" i="34"/>
  <c r="F348" i="34"/>
  <c r="H346" i="34"/>
  <c r="G346" i="34"/>
  <c r="F346" i="34"/>
  <c r="H345" i="34"/>
  <c r="G345" i="34"/>
  <c r="F345" i="34"/>
  <c r="B341" i="34"/>
  <c r="N340" i="34"/>
  <c r="M340" i="34"/>
  <c r="G338" i="34"/>
  <c r="H338" i="34" s="1"/>
  <c r="I338" i="34" s="1"/>
  <c r="Q333" i="34"/>
  <c r="N332" i="34"/>
  <c r="M332" i="34"/>
  <c r="N331" i="34"/>
  <c r="M331" i="34"/>
  <c r="N330" i="34"/>
  <c r="M330" i="34"/>
  <c r="N329" i="34"/>
  <c r="M329" i="34"/>
  <c r="B328" i="34"/>
  <c r="N325" i="34"/>
  <c r="M325" i="34"/>
  <c r="N321" i="34"/>
  <c r="M321" i="34"/>
  <c r="N320" i="34"/>
  <c r="M320" i="34"/>
  <c r="N319" i="34"/>
  <c r="M319" i="34"/>
  <c r="N318" i="34"/>
  <c r="M318" i="34"/>
  <c r="N317" i="34"/>
  <c r="M317" i="34"/>
  <c r="B316" i="34"/>
  <c r="N315" i="34"/>
  <c r="M315" i="34"/>
  <c r="N311" i="34"/>
  <c r="M311" i="34"/>
  <c r="N310" i="34"/>
  <c r="M310" i="34"/>
  <c r="N309" i="34"/>
  <c r="M309" i="34"/>
  <c r="N308" i="34"/>
  <c r="M308" i="34"/>
  <c r="N307" i="34"/>
  <c r="M307" i="34"/>
  <c r="N306" i="34"/>
  <c r="M306" i="34"/>
  <c r="N305" i="34"/>
  <c r="M305" i="34"/>
  <c r="N304" i="34"/>
  <c r="M304" i="34"/>
  <c r="N303" i="34"/>
  <c r="M303" i="34"/>
  <c r="N302" i="34"/>
  <c r="M302" i="34"/>
  <c r="N301" i="34"/>
  <c r="M301" i="34"/>
  <c r="N300" i="34"/>
  <c r="M300" i="34"/>
  <c r="N299" i="34"/>
  <c r="M299" i="34"/>
  <c r="N298" i="34"/>
  <c r="M298" i="34"/>
  <c r="N297" i="34"/>
  <c r="M297" i="34"/>
  <c r="N296" i="34"/>
  <c r="M296" i="34"/>
  <c r="N295" i="34"/>
  <c r="M295" i="34"/>
  <c r="N294" i="34"/>
  <c r="M294" i="34"/>
  <c r="N293" i="34"/>
  <c r="M293" i="34"/>
  <c r="N292" i="34"/>
  <c r="M292" i="34"/>
  <c r="B291" i="34"/>
  <c r="N290" i="34"/>
  <c r="M290" i="34"/>
  <c r="L290" i="34"/>
  <c r="L292" i="34" s="1"/>
  <c r="N289" i="34"/>
  <c r="M289" i="34"/>
  <c r="B289" i="34"/>
  <c r="N284" i="34"/>
  <c r="M284" i="34"/>
  <c r="N283" i="34"/>
  <c r="M283" i="34"/>
  <c r="N282" i="34"/>
  <c r="M282" i="34"/>
  <c r="N279" i="34"/>
  <c r="M279" i="34"/>
  <c r="L279" i="34"/>
  <c r="L280" i="34" s="1"/>
  <c r="N278" i="34"/>
  <c r="M278" i="34"/>
  <c r="B278" i="34"/>
  <c r="N261" i="34"/>
  <c r="M261" i="34"/>
  <c r="N260" i="34"/>
  <c r="M260" i="34"/>
  <c r="L260" i="34"/>
  <c r="B260" i="34" s="1"/>
  <c r="N259" i="34"/>
  <c r="M259" i="34"/>
  <c r="B259" i="34"/>
  <c r="B252" i="34"/>
  <c r="N248" i="34"/>
  <c r="M248" i="34"/>
  <c r="B248" i="34"/>
  <c r="N247" i="34"/>
  <c r="M247" i="34"/>
  <c r="B247" i="34"/>
  <c r="N246" i="34"/>
  <c r="M246" i="34"/>
  <c r="B246" i="34"/>
  <c r="N245" i="34"/>
  <c r="M245" i="34"/>
  <c r="B245" i="34"/>
  <c r="N241" i="34"/>
  <c r="M241" i="34"/>
  <c r="N240" i="34"/>
  <c r="M240" i="34"/>
  <c r="N239" i="34"/>
  <c r="M239" i="34"/>
  <c r="B238" i="34"/>
  <c r="N237" i="34"/>
  <c r="M237" i="34"/>
  <c r="B237" i="34"/>
  <c r="N236" i="34"/>
  <c r="M236" i="34"/>
  <c r="N235" i="34"/>
  <c r="M235" i="34"/>
  <c r="N234" i="34"/>
  <c r="M234" i="34"/>
  <c r="N233" i="34"/>
  <c r="M233" i="34"/>
  <c r="B233" i="34"/>
  <c r="N232" i="34"/>
  <c r="M232" i="34"/>
  <c r="B232" i="34"/>
  <c r="N231" i="34"/>
  <c r="M231" i="34"/>
  <c r="N230" i="34"/>
  <c r="M230" i="34"/>
  <c r="B230" i="34"/>
  <c r="N229" i="34"/>
  <c r="M229" i="34"/>
  <c r="B229" i="34"/>
  <c r="N228" i="34"/>
  <c r="M228" i="34"/>
  <c r="N227" i="34"/>
  <c r="M227" i="34"/>
  <c r="N226" i="34"/>
  <c r="M226" i="34"/>
  <c r="B226" i="34"/>
  <c r="N225" i="34"/>
  <c r="M225" i="34"/>
  <c r="B225" i="34"/>
  <c r="N224" i="34"/>
  <c r="M224" i="34"/>
  <c r="N223" i="34"/>
  <c r="M223" i="34"/>
  <c r="N222" i="34"/>
  <c r="M222" i="34"/>
  <c r="B222" i="34"/>
  <c r="N221" i="34"/>
  <c r="M221" i="34"/>
  <c r="B221" i="34"/>
  <c r="N220" i="34"/>
  <c r="M220" i="34"/>
  <c r="N219" i="34"/>
  <c r="M219" i="34"/>
  <c r="N218" i="34"/>
  <c r="M218" i="34"/>
  <c r="B218" i="34"/>
  <c r="N217" i="34"/>
  <c r="M217" i="34"/>
  <c r="N216" i="34"/>
  <c r="M216" i="34"/>
  <c r="N215" i="34"/>
  <c r="M215" i="34"/>
  <c r="N214" i="34"/>
  <c r="M214" i="34"/>
  <c r="N213" i="34"/>
  <c r="M213" i="34"/>
  <c r="N212" i="34"/>
  <c r="M212" i="34"/>
  <c r="N211" i="34"/>
  <c r="M211" i="34"/>
  <c r="N210" i="34"/>
  <c r="M210" i="34"/>
  <c r="N209" i="34"/>
  <c r="M209" i="34"/>
  <c r="M208" i="34"/>
  <c r="M207" i="34"/>
  <c r="B206" i="34"/>
  <c r="B205" i="34"/>
  <c r="N204" i="34"/>
  <c r="M204" i="34"/>
  <c r="B203" i="34"/>
  <c r="B202" i="34"/>
  <c r="L196" i="34"/>
  <c r="B195" i="34"/>
  <c r="B194" i="34"/>
  <c r="N185" i="34"/>
  <c r="M185" i="34"/>
  <c r="N184" i="34"/>
  <c r="M184" i="34"/>
  <c r="N183" i="34"/>
  <c r="M183" i="34"/>
  <c r="N182" i="34"/>
  <c r="M182" i="34"/>
  <c r="N181" i="34"/>
  <c r="M181" i="34"/>
  <c r="N180" i="34"/>
  <c r="M180" i="34"/>
  <c r="N178" i="34"/>
  <c r="M178" i="34"/>
  <c r="N176" i="34"/>
  <c r="M176" i="34"/>
  <c r="N172" i="34"/>
  <c r="M172" i="34"/>
  <c r="B172" i="34"/>
  <c r="N167" i="34"/>
  <c r="M167" i="34"/>
  <c r="N166" i="34"/>
  <c r="M166" i="34"/>
  <c r="G166" i="34"/>
  <c r="H166" i="34" s="1"/>
  <c r="I166" i="34" s="1"/>
  <c r="N165" i="34"/>
  <c r="M165" i="34"/>
  <c r="G165" i="34"/>
  <c r="H165" i="34" s="1"/>
  <c r="I165" i="34" s="1"/>
  <c r="H164" i="34"/>
  <c r="I164" i="34" s="1"/>
  <c r="N163" i="34"/>
  <c r="M163" i="34"/>
  <c r="B162" i="34"/>
  <c r="N161" i="34"/>
  <c r="M161" i="34"/>
  <c r="N160" i="34"/>
  <c r="M160" i="34"/>
  <c r="N159" i="34"/>
  <c r="M159" i="34"/>
  <c r="N158" i="34"/>
  <c r="M158" i="34"/>
  <c r="N157" i="34"/>
  <c r="M157" i="34"/>
  <c r="N156" i="34"/>
  <c r="M156" i="34"/>
  <c r="N154" i="34"/>
  <c r="M154" i="34"/>
  <c r="N153" i="34"/>
  <c r="M153" i="34"/>
  <c r="N152" i="34"/>
  <c r="M152" i="34"/>
  <c r="N151" i="34"/>
  <c r="M151" i="34"/>
  <c r="N150" i="34"/>
  <c r="M150" i="34"/>
  <c r="B148" i="34"/>
  <c r="N147" i="34"/>
  <c r="M147" i="34"/>
  <c r="G147" i="34"/>
  <c r="H147" i="34" s="1"/>
  <c r="I147" i="34" s="1"/>
  <c r="F147" i="34"/>
  <c r="F8" i="34" s="1"/>
  <c r="N144" i="34"/>
  <c r="M144" i="34"/>
  <c r="N143" i="34"/>
  <c r="M143" i="34"/>
  <c r="N141" i="34"/>
  <c r="M141" i="34"/>
  <c r="N139" i="34"/>
  <c r="M139" i="34"/>
  <c r="B138" i="34"/>
  <c r="N137" i="34"/>
  <c r="M137" i="34"/>
  <c r="H136" i="34"/>
  <c r="I136" i="34" s="1"/>
  <c r="G136" i="34"/>
  <c r="F136" i="34"/>
  <c r="N134" i="34"/>
  <c r="M134" i="34"/>
  <c r="L134" i="34"/>
  <c r="L135" i="34" s="1"/>
  <c r="B135" i="34" s="1"/>
  <c r="N133" i="34"/>
  <c r="M133" i="34"/>
  <c r="B133" i="34"/>
  <c r="B132" i="34"/>
  <c r="G121" i="34"/>
  <c r="H121" i="34" s="1"/>
  <c r="I121" i="34" s="1"/>
  <c r="G119" i="34"/>
  <c r="H119" i="34" s="1"/>
  <c r="I119" i="34" s="1"/>
  <c r="G118" i="34"/>
  <c r="H118" i="34" s="1"/>
  <c r="I118" i="34" s="1"/>
  <c r="G117" i="34"/>
  <c r="H117" i="34" s="1"/>
  <c r="I117" i="34" s="1"/>
  <c r="G116" i="34"/>
  <c r="H116" i="34" s="1"/>
  <c r="I116" i="34" s="1"/>
  <c r="G115" i="34"/>
  <c r="H115" i="34" s="1"/>
  <c r="I115" i="34" s="1"/>
  <c r="G114" i="34"/>
  <c r="H114" i="34" s="1"/>
  <c r="I114" i="34" s="1"/>
  <c r="G113" i="34"/>
  <c r="H113" i="34" s="1"/>
  <c r="I113" i="34" s="1"/>
  <c r="G112" i="34"/>
  <c r="H112" i="34" s="1"/>
  <c r="I112" i="34" s="1"/>
  <c r="G111" i="34"/>
  <c r="H111" i="34" s="1"/>
  <c r="I111" i="34" s="1"/>
  <c r="N109" i="34"/>
  <c r="M109" i="34"/>
  <c r="N108" i="34"/>
  <c r="M108" i="34"/>
  <c r="N107" i="34"/>
  <c r="M107" i="34"/>
  <c r="N106" i="34"/>
  <c r="M106" i="34"/>
  <c r="N105" i="34"/>
  <c r="M105" i="34"/>
  <c r="N103" i="34"/>
  <c r="M103" i="34"/>
  <c r="B103" i="34"/>
  <c r="N102" i="34"/>
  <c r="M102" i="34"/>
  <c r="N96" i="34"/>
  <c r="M96" i="34"/>
  <c r="N95" i="34"/>
  <c r="M95" i="34"/>
  <c r="N94" i="34"/>
  <c r="M94" i="34"/>
  <c r="H94" i="34"/>
  <c r="N93" i="34"/>
  <c r="M93" i="34"/>
  <c r="H93" i="34"/>
  <c r="F92" i="34"/>
  <c r="F104" i="34" s="1"/>
  <c r="N89" i="34"/>
  <c r="M89" i="34"/>
  <c r="N88" i="34"/>
  <c r="M88" i="34"/>
  <c r="N82" i="34"/>
  <c r="M82" i="34"/>
  <c r="N75" i="34"/>
  <c r="M75" i="34"/>
  <c r="N70" i="34"/>
  <c r="M70" i="34"/>
  <c r="N69" i="34"/>
  <c r="M69" i="34"/>
  <c r="L69" i="34"/>
  <c r="N68" i="34"/>
  <c r="M68" i="34"/>
  <c r="B68" i="34"/>
  <c r="H67" i="34"/>
  <c r="I67" i="34" s="1"/>
  <c r="I63" i="34"/>
  <c r="H63" i="34"/>
  <c r="G63" i="34"/>
  <c r="F63" i="34"/>
  <c r="P34" i="34"/>
  <c r="O34" i="34"/>
  <c r="AV7" i="34" s="1"/>
  <c r="N34" i="34"/>
  <c r="N31" i="34"/>
  <c r="I30" i="34"/>
  <c r="H30" i="34"/>
  <c r="G30" i="34"/>
  <c r="F30" i="34"/>
  <c r="L29" i="34"/>
  <c r="F17" i="34"/>
  <c r="F13" i="34"/>
  <c r="I12" i="34"/>
  <c r="H12" i="34"/>
  <c r="G12" i="34"/>
  <c r="F12" i="34"/>
  <c r="AT7" i="34"/>
  <c r="AS7" i="34"/>
  <c r="AP7" i="34"/>
  <c r="AO7" i="34"/>
  <c r="AL7" i="34"/>
  <c r="AK7" i="34"/>
  <c r="AH7" i="34"/>
  <c r="AG7" i="34"/>
  <c r="AD7" i="34"/>
  <c r="AC7" i="34"/>
  <c r="Z7" i="34"/>
  <c r="Y7" i="34"/>
  <c r="V7" i="34"/>
  <c r="U7" i="34"/>
  <c r="R7" i="34"/>
  <c r="Q7" i="34"/>
  <c r="AT6" i="34"/>
  <c r="AS6" i="34"/>
  <c r="AP6" i="34"/>
  <c r="AO6" i="34"/>
  <c r="AL6" i="34"/>
  <c r="AK6" i="34"/>
  <c r="AH6" i="34"/>
  <c r="AG6" i="34"/>
  <c r="AD6" i="34"/>
  <c r="AC6" i="34"/>
  <c r="Z6" i="34"/>
  <c r="Y6" i="34"/>
  <c r="V6" i="34"/>
  <c r="U6" i="34"/>
  <c r="R6" i="34"/>
  <c r="Q6" i="34"/>
  <c r="AT5" i="34"/>
  <c r="AS5" i="34"/>
  <c r="AP5" i="34"/>
  <c r="AO5" i="34"/>
  <c r="AL5" i="34"/>
  <c r="AK5" i="34"/>
  <c r="AH5" i="34"/>
  <c r="AG5" i="34"/>
  <c r="AD5" i="34"/>
  <c r="AC5" i="34"/>
  <c r="Z5" i="34"/>
  <c r="Y5" i="34"/>
  <c r="V5" i="34"/>
  <c r="U5" i="34"/>
  <c r="R5" i="34"/>
  <c r="Q5" i="34"/>
  <c r="A5" i="34"/>
  <c r="AT4" i="34"/>
  <c r="AT8" i="34" s="1"/>
  <c r="AS4" i="34"/>
  <c r="AS8" i="34" s="1"/>
  <c r="AP4" i="34"/>
  <c r="AP8" i="34" s="1"/>
  <c r="AO4" i="34"/>
  <c r="AO8" i="34" s="1"/>
  <c r="AM4" i="34"/>
  <c r="AL4" i="34"/>
  <c r="AL8" i="34" s="1"/>
  <c r="AK4" i="34"/>
  <c r="AK8" i="34" s="1"/>
  <c r="AH4" i="34"/>
  <c r="AH8" i="34" s="1"/>
  <c r="AG4" i="34"/>
  <c r="AG8" i="34" s="1"/>
  <c r="AD4" i="34"/>
  <c r="AD8" i="34" s="1"/>
  <c r="AC4" i="34"/>
  <c r="AC8" i="34" s="1"/>
  <c r="Z4" i="34"/>
  <c r="Z8" i="34" s="1"/>
  <c r="Y4" i="34"/>
  <c r="Y8" i="34" s="1"/>
  <c r="V4" i="34"/>
  <c r="V8" i="34" s="1"/>
  <c r="U4" i="34"/>
  <c r="U8" i="34" s="1"/>
  <c r="R4" i="34"/>
  <c r="Q4" i="34"/>
  <c r="N223" i="33"/>
  <c r="N224" i="33"/>
  <c r="N225" i="33"/>
  <c r="N226" i="33"/>
  <c r="N227" i="33"/>
  <c r="N228" i="33"/>
  <c r="N229" i="33"/>
  <c r="N230" i="33"/>
  <c r="N231" i="33"/>
  <c r="N232" i="33"/>
  <c r="N233" i="33"/>
  <c r="N234" i="33"/>
  <c r="N235" i="33"/>
  <c r="N236" i="33"/>
  <c r="N237" i="33"/>
  <c r="N238" i="33"/>
  <c r="N239" i="33"/>
  <c r="N240" i="33"/>
  <c r="N241" i="33"/>
  <c r="N242" i="33"/>
  <c r="N243" i="33"/>
  <c r="N244" i="33"/>
  <c r="N245" i="33"/>
  <c r="N246" i="33"/>
  <c r="N247" i="33"/>
  <c r="N248" i="33"/>
  <c r="N249" i="33"/>
  <c r="M223" i="33"/>
  <c r="M224" i="33"/>
  <c r="M225" i="33"/>
  <c r="M226" i="33"/>
  <c r="M227" i="33"/>
  <c r="M228" i="33"/>
  <c r="M229" i="33"/>
  <c r="M230" i="33"/>
  <c r="M231" i="33"/>
  <c r="M232" i="33"/>
  <c r="M233" i="33"/>
  <c r="M234" i="33"/>
  <c r="M235" i="33"/>
  <c r="M236" i="33"/>
  <c r="M237" i="33"/>
  <c r="M238" i="33"/>
  <c r="M239" i="33"/>
  <c r="M240" i="33"/>
  <c r="M241" i="33"/>
  <c r="M242" i="33"/>
  <c r="M243" i="33"/>
  <c r="M244" i="33"/>
  <c r="M245" i="33"/>
  <c r="M246" i="33"/>
  <c r="M247" i="33"/>
  <c r="M248" i="33"/>
  <c r="M249" i="33"/>
  <c r="H93" i="33"/>
  <c r="H92" i="33"/>
  <c r="L208" i="33"/>
  <c r="U377" i="33"/>
  <c r="T377" i="33"/>
  <c r="S377" i="33"/>
  <c r="F17" i="33"/>
  <c r="F13" i="33"/>
  <c r="I12" i="33"/>
  <c r="H12" i="33"/>
  <c r="G12" i="33"/>
  <c r="F12" i="33"/>
  <c r="AT7" i="33"/>
  <c r="AS7" i="33"/>
  <c r="AP7" i="33"/>
  <c r="AO7" i="33"/>
  <c r="AL7" i="33"/>
  <c r="AK7" i="33"/>
  <c r="AH7" i="33"/>
  <c r="AG7" i="33"/>
  <c r="AD7" i="33"/>
  <c r="AC7" i="33"/>
  <c r="Z7" i="33"/>
  <c r="Y7" i="33"/>
  <c r="V7" i="33"/>
  <c r="U7" i="33"/>
  <c r="R7" i="33"/>
  <c r="Q7" i="33"/>
  <c r="AT6" i="33"/>
  <c r="AS6" i="33"/>
  <c r="AP6" i="33"/>
  <c r="AO6" i="33"/>
  <c r="AL6" i="33"/>
  <c r="AK6" i="33"/>
  <c r="AH6" i="33"/>
  <c r="AG6" i="33"/>
  <c r="AD6" i="33"/>
  <c r="AC6" i="33"/>
  <c r="Z6" i="33"/>
  <c r="Y6" i="33"/>
  <c r="V6" i="33"/>
  <c r="U6" i="33"/>
  <c r="R6" i="33"/>
  <c r="Q6" i="33"/>
  <c r="AT5" i="33"/>
  <c r="AS5" i="33"/>
  <c r="AP5" i="33"/>
  <c r="AO5" i="33"/>
  <c r="AL5" i="33"/>
  <c r="AK5" i="33"/>
  <c r="AH5" i="33"/>
  <c r="AG5" i="33"/>
  <c r="AD5" i="33"/>
  <c r="AC5" i="33"/>
  <c r="Z5" i="33"/>
  <c r="Y5" i="33"/>
  <c r="V5" i="33"/>
  <c r="U5" i="33"/>
  <c r="R5" i="33"/>
  <c r="Q5" i="33"/>
  <c r="AT4" i="33"/>
  <c r="AS4" i="33"/>
  <c r="AP4" i="33"/>
  <c r="AO4" i="33"/>
  <c r="AL4" i="33"/>
  <c r="AK4" i="33"/>
  <c r="AH4" i="33"/>
  <c r="AG4" i="33"/>
  <c r="AD4" i="33"/>
  <c r="AC4" i="33"/>
  <c r="Z4" i="33"/>
  <c r="Y4" i="33"/>
  <c r="V4" i="33"/>
  <c r="U4" i="33"/>
  <c r="R4" i="33"/>
  <c r="Q4" i="33"/>
  <c r="N34" i="33"/>
  <c r="N31" i="33"/>
  <c r="N198" i="33"/>
  <c r="N197" i="33"/>
  <c r="N196" i="33"/>
  <c r="N195" i="33"/>
  <c r="N194" i="33"/>
  <c r="N193" i="33"/>
  <c r="N192" i="33"/>
  <c r="N191" i="33"/>
  <c r="N190" i="33"/>
  <c r="N189" i="33"/>
  <c r="N188" i="33"/>
  <c r="M188" i="33"/>
  <c r="M189" i="33"/>
  <c r="M190" i="33"/>
  <c r="M191" i="33"/>
  <c r="M192" i="33"/>
  <c r="M193" i="33"/>
  <c r="M194" i="33"/>
  <c r="M195" i="33"/>
  <c r="M196" i="33"/>
  <c r="N187" i="33"/>
  <c r="M187" i="33"/>
  <c r="N168" i="33"/>
  <c r="M168" i="33"/>
  <c r="N322" i="33"/>
  <c r="N321" i="33"/>
  <c r="N320" i="33"/>
  <c r="N319" i="33"/>
  <c r="N318" i="33"/>
  <c r="N317" i="33"/>
  <c r="N316" i="33"/>
  <c r="N315" i="33"/>
  <c r="N314" i="33"/>
  <c r="M322" i="33"/>
  <c r="M321" i="33"/>
  <c r="M320" i="33"/>
  <c r="M319" i="33"/>
  <c r="M318" i="33"/>
  <c r="M317" i="33"/>
  <c r="M316" i="33"/>
  <c r="M315" i="33"/>
  <c r="M314" i="33"/>
  <c r="N313" i="33"/>
  <c r="M313" i="33"/>
  <c r="F9" i="34" l="1"/>
  <c r="F20" i="34" s="1"/>
  <c r="B280" i="34"/>
  <c r="L281" i="34"/>
  <c r="L282" i="34" s="1"/>
  <c r="L283" i="34" s="1"/>
  <c r="L284" i="34" s="1"/>
  <c r="W4" i="34"/>
  <c r="AI4" i="34"/>
  <c r="S4" i="34"/>
  <c r="L174" i="34"/>
  <c r="L175" i="34" s="1"/>
  <c r="W6" i="34"/>
  <c r="W5" i="34"/>
  <c r="G92" i="34"/>
  <c r="H92" i="34" s="1"/>
  <c r="I92" i="34" s="1"/>
  <c r="I8" i="34"/>
  <c r="R13" i="34"/>
  <c r="F347" i="34"/>
  <c r="F349" i="34" s="1"/>
  <c r="AE4" i="34"/>
  <c r="AU4" i="34"/>
  <c r="G8" i="34"/>
  <c r="G347" i="34"/>
  <c r="G349" i="34" s="1"/>
  <c r="AA4" i="34"/>
  <c r="AQ4" i="34"/>
  <c r="R16" i="34"/>
  <c r="AI6" i="34"/>
  <c r="AU5" i="34"/>
  <c r="B290" i="34"/>
  <c r="R14" i="34"/>
  <c r="AE5" i="34"/>
  <c r="R15" i="34"/>
  <c r="AE6" i="34"/>
  <c r="H347" i="34"/>
  <c r="H349" i="34" s="1"/>
  <c r="AQ5" i="34"/>
  <c r="AQ6" i="34"/>
  <c r="AM5" i="34"/>
  <c r="AM6" i="34"/>
  <c r="Q13" i="34"/>
  <c r="Q16" i="34"/>
  <c r="I9" i="34"/>
  <c r="H9" i="34"/>
  <c r="T4" i="34"/>
  <c r="X4" i="34"/>
  <c r="AB4" i="34"/>
  <c r="AF4" i="34"/>
  <c r="AJ4" i="34"/>
  <c r="AN4" i="34"/>
  <c r="AR4" i="34"/>
  <c r="AV4" i="34"/>
  <c r="S5" i="34"/>
  <c r="AI5" i="34"/>
  <c r="S6" i="34"/>
  <c r="S7" i="34"/>
  <c r="W7" i="34"/>
  <c r="AA7" i="34"/>
  <c r="AE7" i="34"/>
  <c r="AI7" i="34"/>
  <c r="AM7" i="34"/>
  <c r="AQ7" i="34"/>
  <c r="AU7" i="34"/>
  <c r="G9" i="34"/>
  <c r="H8" i="34"/>
  <c r="AV5" i="34"/>
  <c r="AV6" i="34"/>
  <c r="L261" i="34"/>
  <c r="L262" i="34" s="1"/>
  <c r="AU6" i="34"/>
  <c r="T7" i="34"/>
  <c r="X7" i="34"/>
  <c r="AB7" i="34"/>
  <c r="AF7" i="34"/>
  <c r="AJ7" i="34"/>
  <c r="AN7" i="34"/>
  <c r="AR7" i="34"/>
  <c r="Q14" i="34"/>
  <c r="AA5" i="34"/>
  <c r="Q15" i="34"/>
  <c r="AA6" i="34"/>
  <c r="F16" i="34"/>
  <c r="G13" i="34"/>
  <c r="B134" i="34"/>
  <c r="G23" i="34"/>
  <c r="G24" i="34" s="1"/>
  <c r="T5" i="34"/>
  <c r="X5" i="34"/>
  <c r="AB5" i="34"/>
  <c r="AF5" i="34"/>
  <c r="AJ5" i="34"/>
  <c r="AN5" i="34"/>
  <c r="AR5" i="34"/>
  <c r="T6" i="34"/>
  <c r="X6" i="34"/>
  <c r="AB6" i="34"/>
  <c r="AF6" i="34"/>
  <c r="AJ6" i="34"/>
  <c r="AN6" i="34"/>
  <c r="AR6" i="34"/>
  <c r="R8" i="34"/>
  <c r="R17" i="34" s="1"/>
  <c r="G342" i="34"/>
  <c r="F342" i="34"/>
  <c r="I342" i="34"/>
  <c r="H285" i="34"/>
  <c r="I275" i="34"/>
  <c r="H189" i="34"/>
  <c r="F168" i="34"/>
  <c r="G129" i="34"/>
  <c r="H342" i="34"/>
  <c r="G285" i="34"/>
  <c r="H275" i="34"/>
  <c r="H256" i="34"/>
  <c r="G189" i="34"/>
  <c r="I168" i="34"/>
  <c r="G256" i="34"/>
  <c r="I285" i="34"/>
  <c r="G275" i="34"/>
  <c r="F256" i="34"/>
  <c r="F285" i="34"/>
  <c r="F275" i="34"/>
  <c r="I189" i="34"/>
  <c r="G62" i="34"/>
  <c r="G168" i="34"/>
  <c r="F129" i="34"/>
  <c r="H62" i="34"/>
  <c r="F62" i="34"/>
  <c r="B69" i="34"/>
  <c r="L70" i="34"/>
  <c r="H168" i="34"/>
  <c r="Q8" i="34"/>
  <c r="Q17" i="34" s="1"/>
  <c r="B29" i="34"/>
  <c r="L30" i="34"/>
  <c r="F23" i="34"/>
  <c r="F24" i="34" s="1"/>
  <c r="I23" i="34"/>
  <c r="I24" i="34" s="1"/>
  <c r="H23" i="34"/>
  <c r="H24" i="34" s="1"/>
  <c r="G17" i="34"/>
  <c r="I17" i="34"/>
  <c r="H17" i="34"/>
  <c r="H129" i="34"/>
  <c r="I62" i="34"/>
  <c r="F132" i="34"/>
  <c r="G104" i="34"/>
  <c r="H104" i="34" s="1"/>
  <c r="I104" i="34" s="1"/>
  <c r="I13" i="34"/>
  <c r="H13" i="34"/>
  <c r="L136" i="34"/>
  <c r="F189" i="34"/>
  <c r="B279" i="34"/>
  <c r="B196" i="34"/>
  <c r="L197" i="34"/>
  <c r="B292" i="34"/>
  <c r="L293" i="34"/>
  <c r="B16" i="21"/>
  <c r="I30" i="33"/>
  <c r="H30" i="33"/>
  <c r="G30" i="33"/>
  <c r="F30" i="33"/>
  <c r="L176" i="34" l="1"/>
  <c r="L177" i="34" s="1"/>
  <c r="L178" i="34" s="1"/>
  <c r="L179" i="34" s="1"/>
  <c r="L180" i="34" s="1"/>
  <c r="L181" i="34" s="1"/>
  <c r="L182" i="34" s="1"/>
  <c r="L183" i="34" s="1"/>
  <c r="L184" i="34" s="1"/>
  <c r="L185" i="34" s="1"/>
  <c r="L186" i="34" s="1"/>
  <c r="L187" i="34" s="1"/>
  <c r="B187" i="34" s="1"/>
  <c r="B175" i="34"/>
  <c r="G16" i="34"/>
  <c r="B261" i="34"/>
  <c r="W8" i="34"/>
  <c r="B174" i="34"/>
  <c r="I256" i="34"/>
  <c r="AI8" i="34"/>
  <c r="T8" i="34"/>
  <c r="S13" i="34"/>
  <c r="AE8" i="34"/>
  <c r="S8" i="34"/>
  <c r="AF8" i="34"/>
  <c r="AM8" i="34"/>
  <c r="AQ8" i="34"/>
  <c r="AN8" i="34"/>
  <c r="G20" i="34"/>
  <c r="AA8" i="34"/>
  <c r="AV8" i="34"/>
  <c r="AU8" i="34"/>
  <c r="AR8" i="34"/>
  <c r="AB8" i="34"/>
  <c r="S15" i="34"/>
  <c r="T16" i="34"/>
  <c r="X8" i="34"/>
  <c r="S14" i="34"/>
  <c r="T13" i="34"/>
  <c r="AJ8" i="34"/>
  <c r="S16" i="34"/>
  <c r="I16" i="34"/>
  <c r="T14" i="34"/>
  <c r="T15" i="34"/>
  <c r="F64" i="34"/>
  <c r="F5" i="34"/>
  <c r="F6" i="34" s="1"/>
  <c r="G64" i="34"/>
  <c r="G5" i="34"/>
  <c r="G6" i="34" s="1"/>
  <c r="B30" i="34"/>
  <c r="L31" i="34"/>
  <c r="B70" i="34"/>
  <c r="L71" i="34"/>
  <c r="H64" i="34"/>
  <c r="H5" i="34"/>
  <c r="H6" i="34" s="1"/>
  <c r="I129" i="34"/>
  <c r="L137" i="34"/>
  <c r="B136" i="34"/>
  <c r="F138" i="34"/>
  <c r="G132" i="34"/>
  <c r="H132" i="34" s="1"/>
  <c r="I132" i="34" s="1"/>
  <c r="H20" i="34"/>
  <c r="B262" i="34"/>
  <c r="L263" i="34"/>
  <c r="B281" i="34"/>
  <c r="I64" i="34"/>
  <c r="I5" i="34"/>
  <c r="I6" i="34" s="1"/>
  <c r="B293" i="34"/>
  <c r="L294" i="34"/>
  <c r="L198" i="34"/>
  <c r="L199" i="34" s="1"/>
  <c r="B197" i="34"/>
  <c r="H16" i="34"/>
  <c r="I20" i="34"/>
  <c r="G343" i="33"/>
  <c r="H343" i="33"/>
  <c r="I343" i="33"/>
  <c r="B177" i="34" l="1"/>
  <c r="B176" i="34"/>
  <c r="S17" i="34"/>
  <c r="T17" i="34"/>
  <c r="B198" i="34"/>
  <c r="I14" i="34"/>
  <c r="I10" i="34"/>
  <c r="L264" i="34"/>
  <c r="B263" i="34"/>
  <c r="F142" i="34"/>
  <c r="G138" i="34"/>
  <c r="H138" i="34" s="1"/>
  <c r="I138" i="34" s="1"/>
  <c r="H14" i="34"/>
  <c r="H10" i="34"/>
  <c r="G10" i="34"/>
  <c r="G14" i="34"/>
  <c r="B282" i="34"/>
  <c r="L139" i="34"/>
  <c r="L140" i="34" s="1"/>
  <c r="B137" i="34"/>
  <c r="B294" i="34"/>
  <c r="L295" i="34"/>
  <c r="L32" i="34"/>
  <c r="B31" i="34"/>
  <c r="F14" i="34"/>
  <c r="F10" i="34"/>
  <c r="B71" i="34"/>
  <c r="F9" i="33"/>
  <c r="F347" i="33"/>
  <c r="G353" i="33"/>
  <c r="H353" i="33" s="1"/>
  <c r="I353" i="33" s="1"/>
  <c r="B140" i="34" l="1"/>
  <c r="L141" i="34"/>
  <c r="L143" i="34" s="1"/>
  <c r="L144" i="34" s="1"/>
  <c r="L145" i="34" s="1"/>
  <c r="B178" i="34"/>
  <c r="B32" i="34"/>
  <c r="L33" i="34"/>
  <c r="B264" i="34"/>
  <c r="L265" i="34"/>
  <c r="B73" i="34"/>
  <c r="L74" i="34"/>
  <c r="B295" i="34"/>
  <c r="L296" i="34"/>
  <c r="B139" i="34"/>
  <c r="G142" i="34"/>
  <c r="H142" i="34" s="1"/>
  <c r="I142" i="34" s="1"/>
  <c r="F148" i="34"/>
  <c r="B284" i="34"/>
  <c r="B283" i="34"/>
  <c r="M219" i="33"/>
  <c r="M220" i="33"/>
  <c r="G222" i="33"/>
  <c r="B179" i="34" l="1"/>
  <c r="L146" i="34"/>
  <c r="L147" i="34" s="1"/>
  <c r="L149" i="34" s="1"/>
  <c r="B141" i="34"/>
  <c r="B74" i="34"/>
  <c r="L75" i="34"/>
  <c r="L34" i="34"/>
  <c r="B33" i="34"/>
  <c r="B199" i="34"/>
  <c r="L200" i="34"/>
  <c r="G148" i="34"/>
  <c r="H148" i="34" s="1"/>
  <c r="I148" i="34" s="1"/>
  <c r="F155" i="34"/>
  <c r="B296" i="34"/>
  <c r="L297" i="34"/>
  <c r="L266" i="34"/>
  <c r="L267" i="34" s="1"/>
  <c r="L268" i="34" s="1"/>
  <c r="L269" i="34" s="1"/>
  <c r="L270" i="34" s="1"/>
  <c r="L271" i="34" s="1"/>
  <c r="L272" i="34" s="1"/>
  <c r="L273" i="34" s="1"/>
  <c r="L274" i="34" s="1"/>
  <c r="B265" i="34"/>
  <c r="H222" i="33"/>
  <c r="G9" i="33"/>
  <c r="M164" i="33"/>
  <c r="N164" i="33"/>
  <c r="M163" i="33"/>
  <c r="N163" i="33"/>
  <c r="B180" i="34" l="1"/>
  <c r="B268" i="34"/>
  <c r="L76" i="34"/>
  <c r="B75" i="34"/>
  <c r="F162" i="34"/>
  <c r="G155" i="34"/>
  <c r="H155" i="34" s="1"/>
  <c r="I155" i="34" s="1"/>
  <c r="B266" i="34"/>
  <c r="B297" i="34"/>
  <c r="L298" i="34"/>
  <c r="L204" i="34"/>
  <c r="B200" i="34"/>
  <c r="B34" i="34"/>
  <c r="L35" i="34"/>
  <c r="I222" i="33"/>
  <c r="I9" i="33" s="1"/>
  <c r="H9" i="33"/>
  <c r="G120" i="33"/>
  <c r="H120" i="33" s="1"/>
  <c r="I120" i="33" s="1"/>
  <c r="G121" i="33"/>
  <c r="H121" i="33" s="1"/>
  <c r="I121" i="33" s="1"/>
  <c r="B181" i="34" l="1"/>
  <c r="B298" i="34"/>
  <c r="L299" i="34"/>
  <c r="F171" i="34"/>
  <c r="G162" i="34"/>
  <c r="H162" i="34" s="1"/>
  <c r="I162" i="34" s="1"/>
  <c r="B35" i="34"/>
  <c r="L36" i="34"/>
  <c r="B204" i="34"/>
  <c r="L207" i="34"/>
  <c r="B76" i="34"/>
  <c r="L77" i="34"/>
  <c r="G118" i="33"/>
  <c r="H118" i="33" s="1"/>
  <c r="I118" i="33" s="1"/>
  <c r="G119" i="33"/>
  <c r="G110" i="33"/>
  <c r="G111" i="33"/>
  <c r="H111" i="33" s="1"/>
  <c r="I111" i="33" s="1"/>
  <c r="G115" i="33"/>
  <c r="H115" i="33" s="1"/>
  <c r="I115" i="33" s="1"/>
  <c r="G116" i="33"/>
  <c r="H116" i="33" s="1"/>
  <c r="I116" i="33" s="1"/>
  <c r="G117" i="33"/>
  <c r="H117" i="33" s="1"/>
  <c r="I117" i="33" s="1"/>
  <c r="G113" i="33"/>
  <c r="H113" i="33" s="1"/>
  <c r="I113" i="33" s="1"/>
  <c r="G114" i="33"/>
  <c r="H114" i="33" s="1"/>
  <c r="I114" i="33" s="1"/>
  <c r="G112" i="33"/>
  <c r="H112" i="33" s="1"/>
  <c r="I112" i="33" s="1"/>
  <c r="G122" i="33"/>
  <c r="H122" i="33" s="1"/>
  <c r="I122" i="33" s="1"/>
  <c r="M177" i="33"/>
  <c r="N177" i="33"/>
  <c r="L69" i="33"/>
  <c r="B69" i="33" s="1"/>
  <c r="L208" i="34" l="1"/>
  <c r="B207" i="34"/>
  <c r="B143" i="34"/>
  <c r="F191" i="34"/>
  <c r="G171" i="34"/>
  <c r="H171" i="34" s="1"/>
  <c r="I171" i="34" s="1"/>
  <c r="B77" i="34"/>
  <c r="L78" i="34"/>
  <c r="B36" i="34"/>
  <c r="L37" i="34"/>
  <c r="B299" i="34"/>
  <c r="L300" i="34"/>
  <c r="H110" i="33"/>
  <c r="G13" i="33"/>
  <c r="H119" i="33"/>
  <c r="G17" i="33"/>
  <c r="L70" i="33"/>
  <c r="B182" i="34" l="1"/>
  <c r="B300" i="34"/>
  <c r="L301" i="34"/>
  <c r="L79" i="34"/>
  <c r="B78" i="34"/>
  <c r="B144" i="34"/>
  <c r="B37" i="34"/>
  <c r="L38" i="34"/>
  <c r="F195" i="34"/>
  <c r="G191" i="34"/>
  <c r="H191" i="34" s="1"/>
  <c r="I191" i="34" s="1"/>
  <c r="L209" i="34"/>
  <c r="B208" i="34"/>
  <c r="I119" i="33"/>
  <c r="I17" i="33" s="1"/>
  <c r="H17" i="33"/>
  <c r="I110" i="33"/>
  <c r="I13" i="33" s="1"/>
  <c r="H13" i="33"/>
  <c r="L71" i="33"/>
  <c r="B70" i="33"/>
  <c r="B183" i="34" l="1"/>
  <c r="G195" i="34"/>
  <c r="H195" i="34" s="1"/>
  <c r="I195" i="34" s="1"/>
  <c r="F203" i="34"/>
  <c r="B79" i="34"/>
  <c r="L80" i="34"/>
  <c r="B145" i="34"/>
  <c r="B301" i="34"/>
  <c r="L302" i="34"/>
  <c r="B38" i="34"/>
  <c r="L39" i="34"/>
  <c r="L210" i="34"/>
  <c r="B209" i="34"/>
  <c r="B267" i="34"/>
  <c r="L72" i="33"/>
  <c r="B71" i="33"/>
  <c r="B184" i="34" l="1"/>
  <c r="L81" i="34"/>
  <c r="B80" i="34"/>
  <c r="B302" i="34"/>
  <c r="L303" i="34"/>
  <c r="L211" i="34"/>
  <c r="B210" i="34"/>
  <c r="B269" i="34"/>
  <c r="B39" i="34"/>
  <c r="L40" i="34"/>
  <c r="F206" i="34"/>
  <c r="G203" i="34"/>
  <c r="H203" i="34" s="1"/>
  <c r="I203" i="34" s="1"/>
  <c r="B72" i="33"/>
  <c r="L73" i="33"/>
  <c r="B185" i="34" l="1"/>
  <c r="B146" i="34"/>
  <c r="B303" i="34"/>
  <c r="L304" i="34"/>
  <c r="B270" i="34"/>
  <c r="B40" i="34"/>
  <c r="L41" i="34"/>
  <c r="F218" i="34"/>
  <c r="G206" i="34"/>
  <c r="H206" i="34" s="1"/>
  <c r="I206" i="34" s="1"/>
  <c r="L212" i="34"/>
  <c r="B211" i="34"/>
  <c r="B81" i="34"/>
  <c r="L82" i="34"/>
  <c r="L74" i="33"/>
  <c r="B73" i="33"/>
  <c r="L188" i="34" l="1"/>
  <c r="B186" i="34"/>
  <c r="B41" i="34"/>
  <c r="L42" i="34"/>
  <c r="L213" i="34"/>
  <c r="B212" i="34"/>
  <c r="B82" i="34"/>
  <c r="L83" i="34"/>
  <c r="B271" i="34"/>
  <c r="B147" i="34"/>
  <c r="B304" i="34"/>
  <c r="L305" i="34"/>
  <c r="F226" i="34"/>
  <c r="F222" i="34"/>
  <c r="G222" i="34" s="1"/>
  <c r="H222" i="34" s="1"/>
  <c r="I222" i="34" s="1"/>
  <c r="G218" i="34"/>
  <c r="H218" i="34" s="1"/>
  <c r="I218" i="34" s="1"/>
  <c r="L75" i="33"/>
  <c r="B74" i="33"/>
  <c r="B185" i="33"/>
  <c r="B272" i="34" l="1"/>
  <c r="L214" i="34"/>
  <c r="B213" i="34"/>
  <c r="B305" i="34"/>
  <c r="L306" i="34"/>
  <c r="B83" i="34"/>
  <c r="L84" i="34"/>
  <c r="B42" i="34"/>
  <c r="L43" i="34"/>
  <c r="F230" i="34"/>
  <c r="G230" i="34" s="1"/>
  <c r="H230" i="34" s="1"/>
  <c r="I230" i="34" s="1"/>
  <c r="F238" i="34"/>
  <c r="G226" i="34"/>
  <c r="H226" i="34" s="1"/>
  <c r="I226" i="34" s="1"/>
  <c r="L76" i="33"/>
  <c r="B75" i="33"/>
  <c r="G175" i="33"/>
  <c r="H175" i="33" s="1"/>
  <c r="I175" i="33" s="1"/>
  <c r="H174" i="33"/>
  <c r="I174" i="33" s="1"/>
  <c r="G176" i="33"/>
  <c r="H176" i="33" s="1"/>
  <c r="I176" i="33" s="1"/>
  <c r="B183" i="33"/>
  <c r="G238" i="34" l="1"/>
  <c r="H238" i="34" s="1"/>
  <c r="I238" i="34" s="1"/>
  <c r="F258" i="34"/>
  <c r="B84" i="34"/>
  <c r="L85" i="34"/>
  <c r="L215" i="34"/>
  <c r="B214" i="34"/>
  <c r="B43" i="34"/>
  <c r="L44" i="34"/>
  <c r="B306" i="34"/>
  <c r="L307" i="34"/>
  <c r="B273" i="34"/>
  <c r="B149" i="34"/>
  <c r="L150" i="34"/>
  <c r="L77" i="33"/>
  <c r="B76" i="33"/>
  <c r="F361" i="33"/>
  <c r="F360" i="33"/>
  <c r="F141" i="33"/>
  <c r="F16" i="33" s="1"/>
  <c r="H141" i="33"/>
  <c r="G141" i="33"/>
  <c r="G16" i="33" s="1"/>
  <c r="B44" i="34" l="1"/>
  <c r="L45" i="34"/>
  <c r="B85" i="34"/>
  <c r="L86" i="34"/>
  <c r="B150" i="34"/>
  <c r="L151" i="34"/>
  <c r="F277" i="34"/>
  <c r="G258" i="34"/>
  <c r="H258" i="34" s="1"/>
  <c r="I258" i="34" s="1"/>
  <c r="B307" i="34"/>
  <c r="L308" i="34"/>
  <c r="L216" i="34"/>
  <c r="B215" i="34"/>
  <c r="I141" i="33"/>
  <c r="I16" i="33" s="1"/>
  <c r="H16" i="33"/>
  <c r="L78" i="33"/>
  <c r="B77" i="33"/>
  <c r="F154" i="33"/>
  <c r="F8" i="33" s="1"/>
  <c r="B86" i="34" l="1"/>
  <c r="L87" i="34"/>
  <c r="L219" i="34"/>
  <c r="B216" i="34"/>
  <c r="F288" i="34"/>
  <c r="G277" i="34"/>
  <c r="H277" i="34" s="1"/>
  <c r="I277" i="34" s="1"/>
  <c r="B308" i="34"/>
  <c r="L309" i="34"/>
  <c r="B151" i="34"/>
  <c r="L152" i="34"/>
  <c r="L46" i="34"/>
  <c r="B45" i="34"/>
  <c r="L79" i="33"/>
  <c r="B78" i="33"/>
  <c r="B46" i="34" l="1"/>
  <c r="L47" i="34"/>
  <c r="L220" i="34"/>
  <c r="B219" i="34"/>
  <c r="B309" i="34"/>
  <c r="L310" i="34"/>
  <c r="L88" i="34"/>
  <c r="B87" i="34"/>
  <c r="B152" i="34"/>
  <c r="L153" i="34"/>
  <c r="L154" i="34" s="1"/>
  <c r="L156" i="34" s="1"/>
  <c r="F291" i="34"/>
  <c r="G288" i="34"/>
  <c r="H288" i="34" s="1"/>
  <c r="I288" i="34" s="1"/>
  <c r="L80" i="33"/>
  <c r="B79" i="33"/>
  <c r="G154" i="33"/>
  <c r="G8" i="33" s="1"/>
  <c r="N108" i="33"/>
  <c r="M108" i="33"/>
  <c r="F316" i="34" l="1"/>
  <c r="G316" i="34" s="1"/>
  <c r="H316" i="34" s="1"/>
  <c r="I316" i="34" s="1"/>
  <c r="G291" i="34"/>
  <c r="H291" i="34" s="1"/>
  <c r="I291" i="34" s="1"/>
  <c r="L223" i="34"/>
  <c r="B220" i="34"/>
  <c r="B88" i="34"/>
  <c r="L89" i="34"/>
  <c r="B153" i="34"/>
  <c r="B310" i="34"/>
  <c r="L311" i="34"/>
  <c r="L48" i="34"/>
  <c r="B47" i="34"/>
  <c r="B208" i="33"/>
  <c r="L209" i="33"/>
  <c r="L81" i="33"/>
  <c r="B80" i="33"/>
  <c r="B293" i="33"/>
  <c r="M293" i="33"/>
  <c r="N293" i="33"/>
  <c r="L294" i="33"/>
  <c r="M294" i="33"/>
  <c r="N294" i="33"/>
  <c r="M296" i="33"/>
  <c r="N296" i="33"/>
  <c r="M297" i="33"/>
  <c r="N297" i="33"/>
  <c r="M298" i="33"/>
  <c r="N298" i="33"/>
  <c r="B303" i="33"/>
  <c r="M303" i="33"/>
  <c r="N303" i="33"/>
  <c r="S380" i="33"/>
  <c r="T380" i="33"/>
  <c r="U380" i="33"/>
  <c r="L304" i="33"/>
  <c r="M304" i="33"/>
  <c r="N304" i="33"/>
  <c r="B305" i="33"/>
  <c r="M306" i="33"/>
  <c r="N306" i="33"/>
  <c r="M307" i="33"/>
  <c r="N307" i="33"/>
  <c r="M308" i="33"/>
  <c r="N308" i="33"/>
  <c r="M309" i="33"/>
  <c r="N309" i="33"/>
  <c r="M310" i="33"/>
  <c r="N310" i="33"/>
  <c r="M311" i="33"/>
  <c r="N311" i="33"/>
  <c r="M312" i="33"/>
  <c r="N312" i="33"/>
  <c r="M323" i="33"/>
  <c r="N323" i="33"/>
  <c r="M324" i="33"/>
  <c r="N324" i="33"/>
  <c r="M325" i="33"/>
  <c r="N325" i="33"/>
  <c r="M329" i="33"/>
  <c r="N329" i="33"/>
  <c r="B330" i="33"/>
  <c r="M331" i="33"/>
  <c r="N331" i="33"/>
  <c r="M332" i="33"/>
  <c r="N332" i="33"/>
  <c r="M333" i="33"/>
  <c r="N333" i="33"/>
  <c r="M334" i="33"/>
  <c r="N334" i="33"/>
  <c r="M335" i="33"/>
  <c r="N335" i="33"/>
  <c r="M339" i="33"/>
  <c r="N339" i="33"/>
  <c r="B342" i="33"/>
  <c r="M343" i="33"/>
  <c r="N343" i="33"/>
  <c r="M344" i="33"/>
  <c r="N344" i="33"/>
  <c r="M345" i="33"/>
  <c r="N345" i="33"/>
  <c r="M346" i="33"/>
  <c r="N346" i="33"/>
  <c r="M355" i="33"/>
  <c r="N355" i="33"/>
  <c r="B356" i="33"/>
  <c r="G360" i="33"/>
  <c r="H360" i="33"/>
  <c r="G361" i="33"/>
  <c r="H361" i="33"/>
  <c r="F362" i="33"/>
  <c r="F363" i="33"/>
  <c r="G363" i="33"/>
  <c r="H363" i="33"/>
  <c r="F366" i="33"/>
  <c r="G366" i="33"/>
  <c r="H366" i="33"/>
  <c r="R373" i="33"/>
  <c r="R381" i="33" s="1"/>
  <c r="S373" i="33"/>
  <c r="S381" i="33" s="1"/>
  <c r="T373" i="33"/>
  <c r="T381" i="33" s="1"/>
  <c r="U373" i="33"/>
  <c r="U381" i="33" s="1"/>
  <c r="R374" i="33"/>
  <c r="S374" i="33"/>
  <c r="T374" i="33"/>
  <c r="U374" i="33"/>
  <c r="R375" i="33"/>
  <c r="S375" i="33"/>
  <c r="T375" i="33"/>
  <c r="U375" i="33"/>
  <c r="R376" i="33"/>
  <c r="S376" i="33"/>
  <c r="T376" i="33"/>
  <c r="U376" i="33"/>
  <c r="R377" i="33"/>
  <c r="R378" i="33"/>
  <c r="S378" i="33"/>
  <c r="T378" i="33"/>
  <c r="U378" i="33"/>
  <c r="R379" i="33"/>
  <c r="S379" i="33"/>
  <c r="T379" i="33"/>
  <c r="U379" i="33"/>
  <c r="R380" i="33"/>
  <c r="B272" i="33"/>
  <c r="M272" i="33"/>
  <c r="N272" i="33"/>
  <c r="L273" i="33"/>
  <c r="B273" i="33" s="1"/>
  <c r="M273" i="33"/>
  <c r="N273" i="33"/>
  <c r="M274" i="33"/>
  <c r="N274" i="33"/>
  <c r="B207" i="33"/>
  <c r="B214" i="33"/>
  <c r="B215" i="33"/>
  <c r="M216" i="33"/>
  <c r="N216" i="33"/>
  <c r="B217" i="33"/>
  <c r="B218" i="33"/>
  <c r="M221" i="33"/>
  <c r="N221" i="33"/>
  <c r="M222" i="33"/>
  <c r="N222" i="33"/>
  <c r="B230" i="33"/>
  <c r="B233" i="33"/>
  <c r="B234" i="33"/>
  <c r="B237" i="33"/>
  <c r="B238" i="33"/>
  <c r="B241" i="33"/>
  <c r="B242" i="33"/>
  <c r="B244" i="33"/>
  <c r="B245" i="33"/>
  <c r="B249" i="33"/>
  <c r="B250" i="33"/>
  <c r="M251" i="33"/>
  <c r="N251" i="33"/>
  <c r="M252" i="33"/>
  <c r="N252" i="33"/>
  <c r="M254" i="33"/>
  <c r="N254" i="33"/>
  <c r="M258" i="33"/>
  <c r="N258" i="33"/>
  <c r="M259" i="33"/>
  <c r="N259" i="33"/>
  <c r="M260" i="33"/>
  <c r="N260" i="33"/>
  <c r="M261" i="33"/>
  <c r="N261" i="33"/>
  <c r="M197" i="33"/>
  <c r="M198" i="33"/>
  <c r="B182" i="33"/>
  <c r="M182" i="33"/>
  <c r="N182" i="33"/>
  <c r="M186" i="33"/>
  <c r="N186" i="33"/>
  <c r="B137" i="33"/>
  <c r="B138" i="33"/>
  <c r="M138" i="33"/>
  <c r="N138" i="33"/>
  <c r="L139" i="33"/>
  <c r="M139" i="33"/>
  <c r="N139" i="33"/>
  <c r="M142" i="33"/>
  <c r="N142" i="33"/>
  <c r="B143" i="33"/>
  <c r="M144" i="33"/>
  <c r="N144" i="33"/>
  <c r="M145" i="33"/>
  <c r="N145" i="33"/>
  <c r="M147" i="33"/>
  <c r="N147" i="33"/>
  <c r="M149" i="33"/>
  <c r="N149" i="33"/>
  <c r="M150" i="33"/>
  <c r="N150" i="33"/>
  <c r="M152" i="33"/>
  <c r="N152" i="33"/>
  <c r="H154" i="33"/>
  <c r="H8" i="33" s="1"/>
  <c r="M154" i="33"/>
  <c r="N154" i="33"/>
  <c r="B155" i="33"/>
  <c r="M156" i="33"/>
  <c r="N156" i="33"/>
  <c r="M158" i="33"/>
  <c r="N158" i="33"/>
  <c r="M159" i="33"/>
  <c r="N159" i="33"/>
  <c r="M160" i="33"/>
  <c r="N160" i="33"/>
  <c r="M161" i="33"/>
  <c r="N161" i="33"/>
  <c r="M162" i="33"/>
  <c r="N162" i="33"/>
  <c r="M166" i="33"/>
  <c r="N166" i="33"/>
  <c r="M167" i="33"/>
  <c r="N167" i="33"/>
  <c r="M169" i="33"/>
  <c r="N169" i="33"/>
  <c r="M170" i="33"/>
  <c r="N170" i="33"/>
  <c r="M171" i="33"/>
  <c r="N171" i="33"/>
  <c r="B172" i="33"/>
  <c r="M173" i="33"/>
  <c r="N173" i="33"/>
  <c r="M175" i="33"/>
  <c r="N175" i="33"/>
  <c r="M176" i="33"/>
  <c r="N176" i="33"/>
  <c r="F91" i="33"/>
  <c r="M92" i="33"/>
  <c r="N92" i="33"/>
  <c r="M93" i="33"/>
  <c r="N93" i="33"/>
  <c r="M94" i="33"/>
  <c r="N94" i="33"/>
  <c r="M95" i="33"/>
  <c r="N95" i="33"/>
  <c r="M101" i="33"/>
  <c r="N101" i="33"/>
  <c r="M102" i="33"/>
  <c r="N102" i="33"/>
  <c r="M104" i="33"/>
  <c r="N104" i="33"/>
  <c r="M105" i="33"/>
  <c r="N105" i="33"/>
  <c r="M106" i="33"/>
  <c r="N106" i="33"/>
  <c r="M107" i="33"/>
  <c r="N107" i="33"/>
  <c r="H67" i="33"/>
  <c r="I67" i="33" s="1"/>
  <c r="B68" i="33"/>
  <c r="M68" i="33"/>
  <c r="N68" i="33"/>
  <c r="M69" i="33"/>
  <c r="N69" i="33"/>
  <c r="M70" i="33"/>
  <c r="N70" i="33"/>
  <c r="M81" i="33"/>
  <c r="N81" i="33"/>
  <c r="M74" i="33"/>
  <c r="N74" i="33"/>
  <c r="M87" i="33"/>
  <c r="N87" i="33"/>
  <c r="M88" i="33"/>
  <c r="N88" i="33"/>
  <c r="L29" i="33"/>
  <c r="L30" i="33" s="1"/>
  <c r="L31" i="33" s="1"/>
  <c r="O34" i="33"/>
  <c r="P34" i="33"/>
  <c r="F63" i="33"/>
  <c r="G63" i="33"/>
  <c r="Q8" i="33"/>
  <c r="U8" i="33"/>
  <c r="Y8" i="33"/>
  <c r="AC8" i="33"/>
  <c r="AG8" i="33"/>
  <c r="AK8" i="33"/>
  <c r="AO8" i="33"/>
  <c r="AS8" i="33"/>
  <c r="A5" i="33"/>
  <c r="B48" i="34" l="1"/>
  <c r="L49" i="34"/>
  <c r="B223" i="34"/>
  <c r="L224" i="34"/>
  <c r="B311" i="34"/>
  <c r="L312" i="34"/>
  <c r="B89" i="34"/>
  <c r="L90" i="34"/>
  <c r="AQ5" i="33"/>
  <c r="AI5" i="33"/>
  <c r="AA5" i="33"/>
  <c r="S5" i="33"/>
  <c r="AV5" i="33"/>
  <c r="AN5" i="33"/>
  <c r="AF5" i="33"/>
  <c r="X5" i="33"/>
  <c r="AU5" i="33"/>
  <c r="AM5" i="33"/>
  <c r="AE5" i="33"/>
  <c r="W5" i="33"/>
  <c r="AR5" i="33"/>
  <c r="AJ5" i="33"/>
  <c r="AB5" i="33"/>
  <c r="T5" i="33"/>
  <c r="AR6" i="33"/>
  <c r="AM6" i="33"/>
  <c r="AN6" i="33"/>
  <c r="S6" i="33"/>
  <c r="AI6" i="33"/>
  <c r="AE6" i="33"/>
  <c r="G23" i="33"/>
  <c r="AU6" i="33"/>
  <c r="T6" i="33"/>
  <c r="I23" i="33"/>
  <c r="AQ6" i="33"/>
  <c r="AV6" i="33"/>
  <c r="AA6" i="33"/>
  <c r="AB6" i="33"/>
  <c r="W6" i="33"/>
  <c r="X6" i="33"/>
  <c r="F23" i="33"/>
  <c r="H23" i="33"/>
  <c r="H24" i="33" s="1"/>
  <c r="AJ6" i="33"/>
  <c r="AF6" i="33"/>
  <c r="H357" i="33"/>
  <c r="H299" i="33"/>
  <c r="H290" i="33"/>
  <c r="H269" i="33"/>
  <c r="H201" i="33"/>
  <c r="H178" i="33"/>
  <c r="H134" i="33"/>
  <c r="H62" i="33"/>
  <c r="G357" i="33"/>
  <c r="G299" i="33"/>
  <c r="G290" i="33"/>
  <c r="G269" i="33"/>
  <c r="G201" i="33"/>
  <c r="G178" i="33"/>
  <c r="G134" i="33"/>
  <c r="G62" i="33"/>
  <c r="F357" i="33"/>
  <c r="F299" i="33"/>
  <c r="F290" i="33"/>
  <c r="F269" i="33"/>
  <c r="F201" i="33"/>
  <c r="F178" i="33"/>
  <c r="F134" i="33"/>
  <c r="F62" i="33"/>
  <c r="I357" i="33"/>
  <c r="I299" i="33"/>
  <c r="I290" i="33"/>
  <c r="I269" i="33"/>
  <c r="I201" i="33"/>
  <c r="I134" i="33"/>
  <c r="I62" i="33"/>
  <c r="AU7" i="33"/>
  <c r="AQ7" i="33"/>
  <c r="AQ4" i="33"/>
  <c r="AI4" i="33"/>
  <c r="AA4" i="33"/>
  <c r="S4" i="33"/>
  <c r="X7" i="33"/>
  <c r="AV4" i="33"/>
  <c r="AN4" i="33"/>
  <c r="AF4" i="33"/>
  <c r="X4" i="33"/>
  <c r="T4" i="33"/>
  <c r="AM7" i="33"/>
  <c r="AE7" i="33"/>
  <c r="W7" i="33"/>
  <c r="S7" i="33"/>
  <c r="AU4" i="33"/>
  <c r="AM4" i="33"/>
  <c r="AE4" i="33"/>
  <c r="W4" i="33"/>
  <c r="AV7" i="33"/>
  <c r="AR7" i="33"/>
  <c r="AN7" i="33"/>
  <c r="AJ7" i="33"/>
  <c r="AF7" i="33"/>
  <c r="AB7" i="33"/>
  <c r="T7" i="33"/>
  <c r="AR4" i="33"/>
  <c r="AJ4" i="33"/>
  <c r="AB4" i="33"/>
  <c r="AI7" i="33"/>
  <c r="AA7" i="33"/>
  <c r="B294" i="33"/>
  <c r="L295" i="33"/>
  <c r="L210" i="33"/>
  <c r="B209" i="33"/>
  <c r="L82" i="33"/>
  <c r="B81" i="33"/>
  <c r="G362" i="33"/>
  <c r="B139" i="33"/>
  <c r="L140" i="33"/>
  <c r="F24" i="33"/>
  <c r="I24" i="33"/>
  <c r="G24" i="33"/>
  <c r="I154" i="33"/>
  <c r="I8" i="33" s="1"/>
  <c r="B304" i="33"/>
  <c r="L306" i="33"/>
  <c r="H362" i="33"/>
  <c r="H364" i="33" s="1"/>
  <c r="G364" i="33"/>
  <c r="F364" i="33"/>
  <c r="B29" i="33"/>
  <c r="L274" i="33"/>
  <c r="L275" i="33" s="1"/>
  <c r="I63" i="33"/>
  <c r="Q16" i="33"/>
  <c r="Q15" i="33"/>
  <c r="Q14" i="33"/>
  <c r="Q13" i="33"/>
  <c r="Q17" i="33"/>
  <c r="B31" i="33"/>
  <c r="L32" i="33"/>
  <c r="G91" i="33"/>
  <c r="H91" i="33" s="1"/>
  <c r="I91" i="33" s="1"/>
  <c r="F103" i="33"/>
  <c r="B30" i="33"/>
  <c r="B184" i="33"/>
  <c r="L93" i="34" l="1"/>
  <c r="B90" i="34"/>
  <c r="B224" i="34"/>
  <c r="L227" i="34"/>
  <c r="B154" i="34"/>
  <c r="L157" i="34"/>
  <c r="B156" i="34"/>
  <c r="B312" i="34"/>
  <c r="L313" i="34"/>
  <c r="B49" i="34"/>
  <c r="L50" i="34"/>
  <c r="I178" i="33"/>
  <c r="F20" i="33"/>
  <c r="L296" i="33"/>
  <c r="B295" i="33"/>
  <c r="L211" i="33"/>
  <c r="B210" i="33"/>
  <c r="L83" i="33"/>
  <c r="B82" i="33"/>
  <c r="L141" i="33"/>
  <c r="B140" i="33"/>
  <c r="L276" i="33"/>
  <c r="B275" i="33"/>
  <c r="AI8" i="33"/>
  <c r="AU8" i="33"/>
  <c r="G20" i="33"/>
  <c r="AQ8" i="33"/>
  <c r="T8" i="33"/>
  <c r="S8" i="33"/>
  <c r="AJ8" i="33"/>
  <c r="V8" i="33"/>
  <c r="H20" i="33"/>
  <c r="AN8" i="33"/>
  <c r="AB8" i="33"/>
  <c r="AL8" i="33"/>
  <c r="R8" i="33"/>
  <c r="R15" i="33"/>
  <c r="H63" i="33"/>
  <c r="H64" i="33" s="1"/>
  <c r="S16" i="33"/>
  <c r="T16" i="33"/>
  <c r="AV8" i="33"/>
  <c r="T13" i="33"/>
  <c r="AE8" i="33"/>
  <c r="S14" i="33"/>
  <c r="R16" i="33"/>
  <c r="AF8" i="33"/>
  <c r="AR8" i="33"/>
  <c r="T15" i="33"/>
  <c r="W8" i="33"/>
  <c r="R14" i="33"/>
  <c r="X8" i="33"/>
  <c r="Z8" i="33"/>
  <c r="AP8" i="33"/>
  <c r="S13" i="33"/>
  <c r="S15" i="33"/>
  <c r="AD8" i="33"/>
  <c r="AT8" i="33"/>
  <c r="AA8" i="33"/>
  <c r="AM8" i="33"/>
  <c r="AH8" i="33"/>
  <c r="R13" i="33"/>
  <c r="T14" i="33"/>
  <c r="B274" i="33"/>
  <c r="F64" i="33"/>
  <c r="F5" i="33"/>
  <c r="F6" i="33" s="1"/>
  <c r="G5" i="33"/>
  <c r="G6" i="33" s="1"/>
  <c r="G64" i="33"/>
  <c r="H5" i="33"/>
  <c r="H6" i="33" s="1"/>
  <c r="B186" i="33"/>
  <c r="I64" i="33"/>
  <c r="I5" i="33"/>
  <c r="I6" i="33" s="1"/>
  <c r="F137" i="33"/>
  <c r="G103" i="33"/>
  <c r="H103" i="33" s="1"/>
  <c r="I103" i="33" s="1"/>
  <c r="L33" i="33"/>
  <c r="B32" i="33"/>
  <c r="B50" i="34" l="1"/>
  <c r="L51" i="34"/>
  <c r="L228" i="34"/>
  <c r="B227" i="34"/>
  <c r="L158" i="34"/>
  <c r="B157" i="34"/>
  <c r="B313" i="34"/>
  <c r="L314" i="34"/>
  <c r="L94" i="34"/>
  <c r="B93" i="34"/>
  <c r="F14" i="33"/>
  <c r="L297" i="33"/>
  <c r="B296" i="33"/>
  <c r="I20" i="33"/>
  <c r="L212" i="33"/>
  <c r="B211" i="33"/>
  <c r="B83" i="33"/>
  <c r="L84" i="33"/>
  <c r="L142" i="33"/>
  <c r="B141" i="33"/>
  <c r="B276" i="33"/>
  <c r="L277" i="33"/>
  <c r="B306" i="33"/>
  <c r="L307" i="33"/>
  <c r="B307" i="33" s="1"/>
  <c r="T17" i="33"/>
  <c r="S17" i="33"/>
  <c r="R17" i="33"/>
  <c r="G14" i="33"/>
  <c r="G10" i="33"/>
  <c r="G137" i="33"/>
  <c r="H137" i="33" s="1"/>
  <c r="I137" i="33" s="1"/>
  <c r="F143" i="33"/>
  <c r="I14" i="33"/>
  <c r="I10" i="33"/>
  <c r="B187" i="33"/>
  <c r="F10" i="33"/>
  <c r="L34" i="33"/>
  <c r="L35" i="33" s="1"/>
  <c r="B33" i="33"/>
  <c r="H14" i="33"/>
  <c r="H10" i="33"/>
  <c r="L231" i="34" l="1"/>
  <c r="B228" i="34"/>
  <c r="B51" i="34"/>
  <c r="L52" i="34"/>
  <c r="B314" i="34"/>
  <c r="L315" i="34"/>
  <c r="L95" i="34"/>
  <c r="B94" i="34"/>
  <c r="L159" i="34"/>
  <c r="B158" i="34"/>
  <c r="L298" i="33"/>
  <c r="B298" i="33" s="1"/>
  <c r="B297" i="33"/>
  <c r="L213" i="33"/>
  <c r="B212" i="33"/>
  <c r="L85" i="33"/>
  <c r="B84" i="33"/>
  <c r="L144" i="33"/>
  <c r="B142" i="33"/>
  <c r="B277" i="33"/>
  <c r="L278" i="33"/>
  <c r="L279" i="33" s="1"/>
  <c r="L308" i="33"/>
  <c r="B34" i="33"/>
  <c r="B188" i="33"/>
  <c r="G143" i="33"/>
  <c r="H143" i="33" s="1"/>
  <c r="I143" i="33" s="1"/>
  <c r="F148" i="33"/>
  <c r="B52" i="34" l="1"/>
  <c r="L53" i="34"/>
  <c r="B95" i="34"/>
  <c r="L96" i="34"/>
  <c r="L317" i="34"/>
  <c r="B315" i="34"/>
  <c r="L160" i="34"/>
  <c r="B159" i="34"/>
  <c r="B231" i="34"/>
  <c r="L234" i="34"/>
  <c r="B213" i="33"/>
  <c r="L216" i="33"/>
  <c r="L219" i="33" s="1"/>
  <c r="L86" i="33"/>
  <c r="B85" i="33"/>
  <c r="L280" i="33"/>
  <c r="B279" i="33"/>
  <c r="B278" i="33"/>
  <c r="L145" i="33"/>
  <c r="L146" i="33" s="1"/>
  <c r="B144" i="33"/>
  <c r="L309" i="33"/>
  <c r="B308" i="33"/>
  <c r="G148" i="33"/>
  <c r="H148" i="33" s="1"/>
  <c r="I148" i="33" s="1"/>
  <c r="F155" i="33"/>
  <c r="B189" i="33"/>
  <c r="B96" i="34" l="1"/>
  <c r="L97" i="34"/>
  <c r="L235" i="34"/>
  <c r="B234" i="34"/>
  <c r="L54" i="34"/>
  <c r="B53" i="34"/>
  <c r="L161" i="34"/>
  <c r="B160" i="34"/>
  <c r="L318" i="34"/>
  <c r="B317" i="34"/>
  <c r="B219" i="33"/>
  <c r="L220" i="33"/>
  <c r="B146" i="33"/>
  <c r="L147" i="33"/>
  <c r="L87" i="33"/>
  <c r="B86" i="33"/>
  <c r="L281" i="33"/>
  <c r="B280" i="33"/>
  <c r="B145" i="33"/>
  <c r="L310" i="33"/>
  <c r="L311" i="33" s="1"/>
  <c r="B309" i="33"/>
  <c r="B190" i="33"/>
  <c r="B35" i="33"/>
  <c r="L36" i="33"/>
  <c r="F165" i="33"/>
  <c r="G155" i="33"/>
  <c r="H155" i="33" s="1"/>
  <c r="I155" i="33" s="1"/>
  <c r="L163" i="34" l="1"/>
  <c r="B161" i="34"/>
  <c r="L236" i="34"/>
  <c r="B235" i="34"/>
  <c r="B97" i="34"/>
  <c r="L98" i="34"/>
  <c r="L319" i="34"/>
  <c r="B318" i="34"/>
  <c r="B54" i="34"/>
  <c r="L55" i="34"/>
  <c r="B220" i="33"/>
  <c r="L221" i="33"/>
  <c r="L222" i="33" s="1"/>
  <c r="L223" i="33" s="1"/>
  <c r="L88" i="33"/>
  <c r="B87" i="33"/>
  <c r="L282" i="33"/>
  <c r="B281" i="33"/>
  <c r="L149" i="33"/>
  <c r="B147" i="33"/>
  <c r="B310" i="33"/>
  <c r="B36" i="33"/>
  <c r="L37" i="33"/>
  <c r="G165" i="33"/>
  <c r="H165" i="33" s="1"/>
  <c r="I165" i="33" s="1"/>
  <c r="F172" i="33"/>
  <c r="L164" i="34" l="1"/>
  <c r="B163" i="34"/>
  <c r="L320" i="34"/>
  <c r="B319" i="34"/>
  <c r="L239" i="34"/>
  <c r="B236" i="34"/>
  <c r="L56" i="34"/>
  <c r="B55" i="34"/>
  <c r="L99" i="34"/>
  <c r="B98" i="34"/>
  <c r="L224" i="33"/>
  <c r="B223" i="33"/>
  <c r="L89" i="33"/>
  <c r="B88" i="33"/>
  <c r="B282" i="33"/>
  <c r="L283" i="33"/>
  <c r="B191" i="33"/>
  <c r="L150" i="33"/>
  <c r="L151" i="33" s="1"/>
  <c r="B149" i="33"/>
  <c r="F181" i="33"/>
  <c r="G172" i="33"/>
  <c r="H172" i="33" s="1"/>
  <c r="I172" i="33" s="1"/>
  <c r="L38" i="33"/>
  <c r="B37" i="33"/>
  <c r="B102" i="33"/>
  <c r="B56" i="34" l="1"/>
  <c r="L57" i="34"/>
  <c r="L321" i="34"/>
  <c r="B320" i="34"/>
  <c r="B99" i="34"/>
  <c r="L100" i="34"/>
  <c r="L240" i="34"/>
  <c r="L241" i="34" s="1"/>
  <c r="B239" i="34"/>
  <c r="B164" i="34"/>
  <c r="L165" i="34"/>
  <c r="L225" i="33"/>
  <c r="B224" i="33"/>
  <c r="B151" i="33"/>
  <c r="L152" i="33"/>
  <c r="L153" i="33" s="1"/>
  <c r="L92" i="33"/>
  <c r="B89" i="33"/>
  <c r="B192" i="33"/>
  <c r="L284" i="33"/>
  <c r="B283" i="33"/>
  <c r="B150" i="33"/>
  <c r="L39" i="33"/>
  <c r="L40" i="33" s="1"/>
  <c r="B38" i="33"/>
  <c r="F203" i="33"/>
  <c r="G181" i="33"/>
  <c r="H181" i="33" s="1"/>
  <c r="I181" i="33" s="1"/>
  <c r="L322" i="34" l="1"/>
  <c r="B321" i="34"/>
  <c r="L166" i="34"/>
  <c r="B165" i="34"/>
  <c r="L101" i="34"/>
  <c r="B100" i="34"/>
  <c r="B57" i="34"/>
  <c r="L58" i="34"/>
  <c r="B240" i="34"/>
  <c r="L226" i="33"/>
  <c r="L227" i="33" s="1"/>
  <c r="B225" i="33"/>
  <c r="B153" i="33"/>
  <c r="L154" i="33"/>
  <c r="L156" i="33" s="1"/>
  <c r="L93" i="33"/>
  <c r="B92" i="33"/>
  <c r="L285" i="33"/>
  <c r="B284" i="33"/>
  <c r="B152" i="33"/>
  <c r="B311" i="33"/>
  <c r="L312" i="33"/>
  <c r="L313" i="33" s="1"/>
  <c r="B39" i="33"/>
  <c r="G203" i="33"/>
  <c r="H203" i="33" s="1"/>
  <c r="I203" i="33" s="1"/>
  <c r="F207" i="33"/>
  <c r="B58" i="34" l="1"/>
  <c r="L59" i="34"/>
  <c r="B166" i="34"/>
  <c r="L167" i="34"/>
  <c r="B167" i="34" s="1"/>
  <c r="B241" i="34"/>
  <c r="B101" i="34"/>
  <c r="L102" i="34"/>
  <c r="B322" i="34"/>
  <c r="L323" i="34"/>
  <c r="B226" i="33"/>
  <c r="L94" i="33"/>
  <c r="B93" i="33"/>
  <c r="B193" i="33"/>
  <c r="L314" i="33"/>
  <c r="B313" i="33"/>
  <c r="L286" i="33"/>
  <c r="B285" i="33"/>
  <c r="B154" i="33"/>
  <c r="B312" i="33"/>
  <c r="G207" i="33"/>
  <c r="H207" i="33" s="1"/>
  <c r="I207" i="33" s="1"/>
  <c r="F215" i="33"/>
  <c r="B102" i="34" l="1"/>
  <c r="L105" i="34"/>
  <c r="B59" i="34"/>
  <c r="L60" i="34"/>
  <c r="L324" i="34"/>
  <c r="B323" i="34"/>
  <c r="L95" i="33"/>
  <c r="B94" i="33"/>
  <c r="L315" i="33"/>
  <c r="B314" i="33"/>
  <c r="B194" i="33"/>
  <c r="B286" i="33"/>
  <c r="L287" i="33"/>
  <c r="F218" i="33"/>
  <c r="G215" i="33"/>
  <c r="H215" i="33" s="1"/>
  <c r="I215" i="33" s="1"/>
  <c r="L41" i="33"/>
  <c r="B40" i="33"/>
  <c r="B60" i="34" l="1"/>
  <c r="L61" i="34"/>
  <c r="L106" i="34"/>
  <c r="B105" i="34"/>
  <c r="B324" i="34"/>
  <c r="L325" i="34"/>
  <c r="L228" i="33"/>
  <c r="B227" i="33"/>
  <c r="L96" i="33"/>
  <c r="B95" i="33"/>
  <c r="L288" i="33"/>
  <c r="B287" i="33"/>
  <c r="B195" i="33"/>
  <c r="B315" i="33"/>
  <c r="L316" i="33"/>
  <c r="F230" i="33"/>
  <c r="G218" i="33"/>
  <c r="H218" i="33" s="1"/>
  <c r="I218" i="33" s="1"/>
  <c r="L42" i="33"/>
  <c r="B41" i="33"/>
  <c r="L107" i="34" l="1"/>
  <c r="B106" i="34"/>
  <c r="L326" i="34"/>
  <c r="B325" i="34"/>
  <c r="B228" i="33"/>
  <c r="L231" i="33"/>
  <c r="B231" i="33" s="1"/>
  <c r="L97" i="33"/>
  <c r="B96" i="33"/>
  <c r="B196" i="33"/>
  <c r="B316" i="33"/>
  <c r="L317" i="33"/>
  <c r="B288" i="33"/>
  <c r="L289" i="33"/>
  <c r="L43" i="33"/>
  <c r="B42" i="33"/>
  <c r="F238" i="33"/>
  <c r="G230" i="33"/>
  <c r="H230" i="33" s="1"/>
  <c r="I230" i="33" s="1"/>
  <c r="F234" i="33"/>
  <c r="G234" i="33" s="1"/>
  <c r="H234" i="33" s="1"/>
  <c r="I234" i="33" s="1"/>
  <c r="L327" i="34" l="1"/>
  <c r="B326" i="34"/>
  <c r="L108" i="34"/>
  <c r="B107" i="34"/>
  <c r="L98" i="33"/>
  <c r="B97" i="33"/>
  <c r="L318" i="33"/>
  <c r="B317" i="33"/>
  <c r="B197" i="33"/>
  <c r="L157" i="33"/>
  <c r="G238" i="33"/>
  <c r="H238" i="33" s="1"/>
  <c r="I238" i="33" s="1"/>
  <c r="F242" i="33"/>
  <c r="G242" i="33" s="1"/>
  <c r="H242" i="33" s="1"/>
  <c r="I242" i="33" s="1"/>
  <c r="F250" i="33"/>
  <c r="L44" i="33"/>
  <c r="B43" i="33"/>
  <c r="L109" i="34" l="1"/>
  <c r="B108" i="34"/>
  <c r="L329" i="34"/>
  <c r="B327" i="34"/>
  <c r="L99" i="33"/>
  <c r="B98" i="33"/>
  <c r="B198" i="33"/>
  <c r="L319" i="33"/>
  <c r="B318" i="33"/>
  <c r="B156" i="33"/>
  <c r="L45" i="33"/>
  <c r="L46" i="33" s="1"/>
  <c r="B44" i="33"/>
  <c r="F271" i="33"/>
  <c r="G250" i="33"/>
  <c r="H250" i="33" s="1"/>
  <c r="I250" i="33" s="1"/>
  <c r="L330" i="34" l="1"/>
  <c r="B329" i="34"/>
  <c r="L110" i="34"/>
  <c r="B109" i="34"/>
  <c r="L100" i="33"/>
  <c r="B99" i="33"/>
  <c r="B199" i="33"/>
  <c r="B319" i="33"/>
  <c r="L320" i="33"/>
  <c r="B45" i="33"/>
  <c r="F292" i="33"/>
  <c r="G271" i="33"/>
  <c r="H271" i="33" s="1"/>
  <c r="I271" i="33" s="1"/>
  <c r="L111" i="34" l="1"/>
  <c r="B110" i="34"/>
  <c r="L331" i="34"/>
  <c r="B330" i="34"/>
  <c r="L101" i="33"/>
  <c r="B100" i="33"/>
  <c r="B320" i="33"/>
  <c r="L321" i="33"/>
  <c r="L158" i="33"/>
  <c r="B157" i="33"/>
  <c r="F302" i="33"/>
  <c r="G292" i="33"/>
  <c r="H292" i="33" s="1"/>
  <c r="I292" i="33" s="1"/>
  <c r="L332" i="34" l="1"/>
  <c r="B331" i="34"/>
  <c r="L112" i="34"/>
  <c r="B111" i="34"/>
  <c r="B101" i="33"/>
  <c r="L104" i="33"/>
  <c r="L322" i="33"/>
  <c r="B321" i="33"/>
  <c r="B158" i="33"/>
  <c r="L159" i="33"/>
  <c r="F305" i="33"/>
  <c r="G302" i="33"/>
  <c r="H302" i="33" s="1"/>
  <c r="I302" i="33" s="1"/>
  <c r="L47" i="33"/>
  <c r="L48" i="33" s="1"/>
  <c r="B46" i="33"/>
  <c r="B112" i="34" l="1"/>
  <c r="L113" i="34"/>
  <c r="L333" i="34"/>
  <c r="B332" i="34"/>
  <c r="L49" i="33"/>
  <c r="B48" i="33"/>
  <c r="L105" i="33"/>
  <c r="B104" i="33"/>
  <c r="L323" i="33"/>
  <c r="B322" i="33"/>
  <c r="B159" i="33"/>
  <c r="L160" i="33"/>
  <c r="B47" i="33"/>
  <c r="F330" i="33"/>
  <c r="G330" i="33" s="1"/>
  <c r="H330" i="33" s="1"/>
  <c r="I330" i="33" s="1"/>
  <c r="G305" i="33"/>
  <c r="H305" i="33" s="1"/>
  <c r="I305" i="33" s="1"/>
  <c r="L334" i="34" l="1"/>
  <c r="L335" i="34" s="1"/>
  <c r="L336" i="34" s="1"/>
  <c r="B333" i="34"/>
  <c r="B113" i="34"/>
  <c r="L114" i="34"/>
  <c r="L50" i="33"/>
  <c r="B49" i="33"/>
  <c r="B105" i="33"/>
  <c r="L106" i="33"/>
  <c r="L324" i="33"/>
  <c r="B323" i="33"/>
  <c r="B160" i="33"/>
  <c r="L161" i="33"/>
  <c r="L115" i="34" l="1"/>
  <c r="B114" i="34"/>
  <c r="B334" i="34"/>
  <c r="B50" i="33"/>
  <c r="L51" i="33"/>
  <c r="B106" i="33"/>
  <c r="L107" i="33"/>
  <c r="L325" i="33"/>
  <c r="B324" i="33"/>
  <c r="B161" i="33"/>
  <c r="L162" i="33"/>
  <c r="L337" i="34" l="1"/>
  <c r="L338" i="34" s="1"/>
  <c r="L339" i="34" s="1"/>
  <c r="L340" i="34" s="1"/>
  <c r="B336" i="34"/>
  <c r="B335" i="34"/>
  <c r="L116" i="34"/>
  <c r="B115" i="34"/>
  <c r="L52" i="33"/>
  <c r="B51" i="33"/>
  <c r="L166" i="33"/>
  <c r="L163" i="33"/>
  <c r="B107" i="33"/>
  <c r="L108" i="33"/>
  <c r="L326" i="33"/>
  <c r="B325" i="33"/>
  <c r="B162" i="33"/>
  <c r="B116" i="34" l="1"/>
  <c r="L117" i="34"/>
  <c r="B337" i="34"/>
  <c r="L53" i="33"/>
  <c r="B52" i="33"/>
  <c r="B163" i="33"/>
  <c r="L164" i="33"/>
  <c r="B164" i="33" s="1"/>
  <c r="B108" i="33"/>
  <c r="L109" i="33"/>
  <c r="L110" i="33" s="1"/>
  <c r="L327" i="33"/>
  <c r="B326" i="33"/>
  <c r="B117" i="34" l="1"/>
  <c r="L118" i="34"/>
  <c r="L54" i="33"/>
  <c r="B53" i="33"/>
  <c r="B110" i="33"/>
  <c r="L111" i="33"/>
  <c r="B109" i="33"/>
  <c r="L328" i="33"/>
  <c r="B327" i="33"/>
  <c r="B166" i="33"/>
  <c r="L167" i="33"/>
  <c r="M137" i="21"/>
  <c r="N137" i="21"/>
  <c r="O137" i="21"/>
  <c r="L137" i="21"/>
  <c r="M136" i="21"/>
  <c r="N136" i="21"/>
  <c r="O136" i="21"/>
  <c r="L136" i="21"/>
  <c r="M135" i="21"/>
  <c r="N135" i="21"/>
  <c r="O135" i="21"/>
  <c r="L135" i="21"/>
  <c r="O130" i="21"/>
  <c r="N130" i="21"/>
  <c r="M130" i="21"/>
  <c r="L130" i="21"/>
  <c r="K130" i="21"/>
  <c r="O122" i="21"/>
  <c r="N122" i="21"/>
  <c r="M122" i="21"/>
  <c r="L122" i="21"/>
  <c r="K122" i="21"/>
  <c r="O113" i="21"/>
  <c r="O107" i="21"/>
  <c r="N107" i="21"/>
  <c r="M107" i="21"/>
  <c r="L107" i="21"/>
  <c r="O89" i="21"/>
  <c r="N89" i="21"/>
  <c r="M89" i="21"/>
  <c r="L89" i="21"/>
  <c r="O79" i="21"/>
  <c r="N79" i="21"/>
  <c r="M79" i="21"/>
  <c r="L79" i="21"/>
  <c r="O67" i="21"/>
  <c r="N67" i="21"/>
  <c r="M67" i="21"/>
  <c r="L67" i="21"/>
  <c r="K67" i="21"/>
  <c r="O60" i="21"/>
  <c r="N60" i="21"/>
  <c r="M60" i="21"/>
  <c r="L60" i="21"/>
  <c r="K60" i="21"/>
  <c r="O52" i="21"/>
  <c r="N52" i="21"/>
  <c r="M52" i="21"/>
  <c r="K52" i="21"/>
  <c r="L49" i="21"/>
  <c r="L52" i="21" s="1"/>
  <c r="O43" i="21"/>
  <c r="N43" i="21"/>
  <c r="M43" i="21"/>
  <c r="L43" i="21"/>
  <c r="O38" i="21"/>
  <c r="N38" i="21"/>
  <c r="M38" i="21"/>
  <c r="L38" i="21"/>
  <c r="O33" i="21"/>
  <c r="N33" i="21"/>
  <c r="M33" i="21"/>
  <c r="L33" i="21"/>
  <c r="L119" i="34" l="1"/>
  <c r="L120" i="34" s="1"/>
  <c r="B118" i="34"/>
  <c r="B54" i="33"/>
  <c r="L55" i="33"/>
  <c r="B111" i="33"/>
  <c r="L112" i="33"/>
  <c r="L329" i="33"/>
  <c r="B328" i="33"/>
  <c r="B167" i="33"/>
  <c r="L168" i="33"/>
  <c r="L169" i="33" s="1"/>
  <c r="L170" i="33" s="1"/>
  <c r="L121" i="34" l="1"/>
  <c r="B120" i="34"/>
  <c r="B338" i="34"/>
  <c r="B119" i="34"/>
  <c r="L56" i="33"/>
  <c r="B55" i="33"/>
  <c r="B112" i="33"/>
  <c r="L113" i="33"/>
  <c r="B329" i="33"/>
  <c r="L331" i="33"/>
  <c r="B168" i="33"/>
  <c r="L122" i="34" l="1"/>
  <c r="B121" i="34"/>
  <c r="B339" i="34"/>
  <c r="B340" i="34"/>
  <c r="L57" i="33"/>
  <c r="B56" i="33"/>
  <c r="B113" i="33"/>
  <c r="L114" i="33"/>
  <c r="L115" i="33" s="1"/>
  <c r="B331" i="33"/>
  <c r="L332" i="33"/>
  <c r="L123" i="34" l="1"/>
  <c r="B122" i="34"/>
  <c r="L58" i="33"/>
  <c r="B57" i="33"/>
  <c r="L116" i="33"/>
  <c r="B115" i="33"/>
  <c r="B114" i="33"/>
  <c r="B332" i="33"/>
  <c r="L333" i="33"/>
  <c r="B169" i="33"/>
  <c r="L124" i="34" l="1"/>
  <c r="B123" i="34"/>
  <c r="B58" i="33"/>
  <c r="L59" i="33"/>
  <c r="L117" i="33"/>
  <c r="L118" i="33" s="1"/>
  <c r="L119" i="33" s="1"/>
  <c r="L120" i="33" s="1"/>
  <c r="B116" i="33"/>
  <c r="B333" i="33"/>
  <c r="L334" i="33"/>
  <c r="L60" i="33" l="1"/>
  <c r="B59" i="33"/>
  <c r="B117" i="33"/>
  <c r="L121" i="33"/>
  <c r="B120" i="33"/>
  <c r="B119" i="33"/>
  <c r="B118" i="33"/>
  <c r="L335" i="33"/>
  <c r="B334" i="33"/>
  <c r="B170" i="33"/>
  <c r="L171" i="33"/>
  <c r="L173" i="33" s="1"/>
  <c r="L174" i="33" s="1"/>
  <c r="L61" i="33" l="1"/>
  <c r="B60" i="33"/>
  <c r="L122" i="33"/>
  <c r="B121" i="33"/>
  <c r="L175" i="33"/>
  <c r="L176" i="33" s="1"/>
  <c r="L177" i="33" s="1"/>
  <c r="B177" i="33" s="1"/>
  <c r="B174" i="33"/>
  <c r="L336" i="33"/>
  <c r="B335" i="33"/>
  <c r="B171" i="33"/>
  <c r="L123" i="33" l="1"/>
  <c r="B122" i="33"/>
  <c r="B336" i="33"/>
  <c r="L337" i="33"/>
  <c r="F25" i="34" l="1"/>
  <c r="F18" i="34"/>
  <c r="B123" i="33"/>
  <c r="L124" i="33"/>
  <c r="B337" i="33"/>
  <c r="L338" i="33"/>
  <c r="H18" i="34" l="1"/>
  <c r="G25" i="34"/>
  <c r="I18" i="34"/>
  <c r="G18" i="34"/>
  <c r="I25" i="34"/>
  <c r="H25" i="34"/>
  <c r="B124" i="33"/>
  <c r="L125" i="33"/>
  <c r="L339" i="33"/>
  <c r="B338" i="33"/>
  <c r="B173" i="33"/>
  <c r="B125" i="33" l="1"/>
  <c r="L126" i="33"/>
  <c r="L127" i="33" s="1"/>
  <c r="L128" i="33" s="1"/>
  <c r="L129" i="33" s="1"/>
  <c r="L340" i="33"/>
  <c r="B339" i="33"/>
  <c r="B340" i="33" l="1"/>
  <c r="L341" i="33"/>
  <c r="B175" i="33"/>
  <c r="B341" i="33" l="1"/>
  <c r="L343" i="33"/>
  <c r="B343" i="33" l="1"/>
  <c r="L344" i="33"/>
  <c r="B176" i="33"/>
  <c r="B344" i="33" l="1"/>
  <c r="L345" i="33"/>
  <c r="L346" i="33" l="1"/>
  <c r="B345" i="33"/>
  <c r="L347" i="33" l="1"/>
  <c r="B346" i="33"/>
  <c r="B347" i="33" l="1"/>
  <c r="L348" i="33"/>
  <c r="B348" i="33" l="1"/>
  <c r="L349" i="33"/>
  <c r="C16" i="21"/>
  <c r="C15" i="21"/>
  <c r="C14" i="21"/>
  <c r="C13" i="21"/>
  <c r="B349" i="33" l="1"/>
  <c r="L350" i="33"/>
  <c r="B350" i="33" l="1"/>
  <c r="L351" i="33"/>
  <c r="L352" i="33" l="1"/>
  <c r="B351" i="33"/>
  <c r="B352" i="33" l="1"/>
  <c r="L353" i="33"/>
  <c r="F1" i="21"/>
  <c r="F2" i="21"/>
  <c r="F3" i="21"/>
  <c r="F4" i="21"/>
  <c r="F5" i="21"/>
  <c r="F6" i="21"/>
  <c r="F7" i="21"/>
  <c r="F14" i="21"/>
  <c r="F13" i="21"/>
  <c r="D14" i="21"/>
  <c r="E14" i="21"/>
  <c r="B14" i="21"/>
  <c r="B15" i="21"/>
  <c r="E13" i="21"/>
  <c r="B1" i="21"/>
  <c r="C1" i="21"/>
  <c r="D1" i="21"/>
  <c r="E1" i="21"/>
  <c r="D13" i="21"/>
  <c r="D15" i="21"/>
  <c r="D16" i="21"/>
  <c r="E15" i="21"/>
  <c r="F16" i="21"/>
  <c r="F15" i="21"/>
  <c r="E16" i="21"/>
  <c r="C6" i="21"/>
  <c r="B13" i="21"/>
  <c r="C7" i="21"/>
  <c r="C5" i="21"/>
  <c r="B2" i="21" l="1"/>
  <c r="B5" i="21"/>
  <c r="L354" i="33"/>
  <c r="B353" i="33"/>
  <c r="F8" i="21"/>
  <c r="F11" i="21" s="1"/>
  <c r="B3" i="21"/>
  <c r="C3" i="21"/>
  <c r="C2" i="21"/>
  <c r="D5" i="21" l="1"/>
  <c r="D6" i="21"/>
  <c r="B6" i="21"/>
  <c r="E5" i="21"/>
  <c r="E6" i="21"/>
  <c r="D7" i="21"/>
  <c r="B7" i="21"/>
  <c r="E7" i="21"/>
  <c r="D2" i="21"/>
  <c r="E2" i="21"/>
  <c r="L355" i="33"/>
  <c r="B355" i="33" s="1"/>
  <c r="B354" i="33"/>
  <c r="E3" i="21"/>
  <c r="D3" i="21"/>
  <c r="E4" i="21"/>
  <c r="C4" i="21"/>
  <c r="C8" i="21" s="1"/>
  <c r="C11" i="21" s="1"/>
  <c r="D4" i="21"/>
  <c r="B4" i="21"/>
  <c r="B8" i="21" s="1"/>
  <c r="B11" i="21" s="1"/>
  <c r="E8" i="21" l="1"/>
  <c r="E11" i="21" s="1"/>
  <c r="D8" i="21"/>
  <c r="D11" i="21" s="1"/>
  <c r="L138" i="21" l="1"/>
  <c r="O138" i="21"/>
  <c r="N138" i="21"/>
  <c r="M138" i="21"/>
  <c r="B206" i="33" l="1"/>
  <c r="B216" i="33" l="1"/>
  <c r="B221" i="33" l="1"/>
  <c r="B222" i="33" l="1"/>
  <c r="L232" i="33" l="1"/>
  <c r="B232" i="33" l="1"/>
  <c r="L235" i="33"/>
  <c r="L236" i="33" l="1"/>
  <c r="B235" i="33"/>
  <c r="B236" i="33" l="1"/>
  <c r="L239" i="33"/>
  <c r="L240" i="33" l="1"/>
  <c r="B239" i="33"/>
  <c r="B240" i="33" l="1"/>
  <c r="L243" i="33"/>
  <c r="L246" i="33" l="1"/>
  <c r="B243" i="33"/>
  <c r="B246" i="33" l="1"/>
  <c r="L247" i="33"/>
  <c r="L248" i="33" l="1"/>
  <c r="B247" i="33"/>
  <c r="B258" i="33"/>
  <c r="L251" i="33" l="1"/>
  <c r="B248" i="33"/>
  <c r="B259" i="33"/>
  <c r="L252" i="33" l="1"/>
  <c r="B251" i="33"/>
  <c r="B260" i="33"/>
  <c r="L253" i="33" l="1"/>
  <c r="B252" i="33"/>
  <c r="B261" i="33"/>
  <c r="L254" i="33" l="1"/>
  <c r="B254" i="33" s="1"/>
  <c r="B253" i="33"/>
  <c r="B265" i="33"/>
  <c r="H25" i="33" l="1"/>
  <c r="F25" i="33"/>
  <c r="F18" i="33"/>
  <c r="I18" i="33"/>
  <c r="I25" i="33"/>
  <c r="G25" i="33"/>
  <c r="G18" i="33"/>
  <c r="H18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tc={415FB03B-0B31-4CFC-935E-D782934D5ED4}</author>
  </authors>
  <commentList>
    <comment ref="F248" authorId="0" shapeId="0" xr:uid="{415FB03B-0B31-4CFC-935E-D782934D5ED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tc={325C9A48-C7D7-4D66-92EC-9409E87DC0A9}</author>
    <author>tc={9F6D2EC8-0F05-4709-911F-1ADA9B64BF1A}</author>
    <author>tc={928B281F-DEB7-4D6B-9251-50132AC6DE76}</author>
  </authors>
  <commentList>
    <comment ref="F329" authorId="0" shapeId="0" xr:uid="{325C9A48-C7D7-4D66-92EC-9409E87DC0A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
Svar:
    Alle helårsvirkninger + reduksjon pga gamle bygg, Hentet fra internhusleie oppsummert2022 rad 128-129</t>
      </text>
    </comment>
    <comment ref="F333" authorId="1" shapeId="0" xr:uid="{9F6D2EC8-0F05-4709-911F-1ADA9B64BF1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  <comment ref="F334" authorId="2" shapeId="0" xr:uid="{928B281F-DEB7-4D6B-9251-50132AC6DE7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tc={6CC89C8C-5D26-4954-B83E-804F713E4780}</author>
    <author>tc={69371F34-0864-47CD-8E16-0E11306110A9}</author>
    <author>tc={FF298CB5-A7CF-452D-BD78-B361BB91B5DE}</author>
  </authors>
  <commentList>
    <comment ref="F343" authorId="0" shapeId="0" xr:uid="{6CC89C8C-5D26-4954-B83E-804F713E478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
Svar:
    Reduserer internhusleien med 2600 ref F42 og F43; reduksjon i rentekostnad</t>
      </text>
    </comment>
    <comment ref="F347" authorId="1" shapeId="0" xr:uid="{69371F34-0864-47CD-8E16-0E11306110A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  <comment ref="F348" authorId="2" shapeId="0" xr:uid="{FF298CB5-A7CF-452D-BD78-B361BB91B5D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gurartu</author>
  </authors>
  <commentList>
    <comment ref="F4" authorId="0" shapeId="0" xr:uid="{0BD294A3-451F-4C53-8B58-B7185BD3B422}">
      <text>
        <r>
          <rPr>
            <b/>
            <sz val="9"/>
            <color indexed="81"/>
            <rFont val="Tahoma"/>
            <family val="2"/>
          </rPr>
          <t>gurartu:</t>
        </r>
        <r>
          <rPr>
            <sz val="9"/>
            <color indexed="81"/>
            <rFont val="Tahoma"/>
            <family val="2"/>
          </rPr>
          <t xml:space="preserve">
Internhusleie eksisterene bygg, inkl investeringstiltak på disse ferdigstilt 2016. (Kulturhuset sine husleier er tatt ut)
</t>
        </r>
      </text>
    </comment>
    <comment ref="F5" authorId="0" shapeId="0" xr:uid="{7261B219-7E45-4B4A-81BD-26F60C538CDF}">
      <text>
        <r>
          <rPr>
            <b/>
            <sz val="9"/>
            <color indexed="81"/>
            <rFont val="Tahoma"/>
            <family val="2"/>
          </rPr>
          <t>gurartu:</t>
        </r>
        <r>
          <rPr>
            <sz val="9"/>
            <color indexed="81"/>
            <rFont val="Tahoma"/>
            <family val="2"/>
          </rPr>
          <t xml:space="preserve">
Fra internhusleiemodell for 2017: Bygg ferdige etter 01.01.15 (kr 42 mill) og nye bygg i 2017 kr 13 mill)</t>
        </r>
      </text>
    </comment>
  </commentList>
</comments>
</file>

<file path=xl/sharedStrings.xml><?xml version="1.0" encoding="utf-8"?>
<sst xmlns="http://schemas.openxmlformats.org/spreadsheetml/2006/main" count="7287" uniqueCount="986">
  <si>
    <t>DRIFTSTILTAK, ØKONOMIPLAN 2022-2025</t>
  </si>
  <si>
    <t>Skole</t>
  </si>
  <si>
    <t>B/U</t>
  </si>
  <si>
    <t>Levekår</t>
  </si>
  <si>
    <t>KUBY</t>
  </si>
  <si>
    <t>TEKNISK</t>
  </si>
  <si>
    <t>ORG</t>
  </si>
  <si>
    <t>ØK</t>
  </si>
  <si>
    <t>KOM.FELLES</t>
  </si>
  <si>
    <t>Barn og unge</t>
  </si>
  <si>
    <t>Kultur og by</t>
  </si>
  <si>
    <t>Teknisk</t>
  </si>
  <si>
    <t>Organisasjon</t>
  </si>
  <si>
    <t>Økonomi</t>
  </si>
  <si>
    <t>Kommune felles</t>
  </si>
  <si>
    <t>BASISBUDSJETT 2022</t>
  </si>
  <si>
    <t>Egenbetaling</t>
  </si>
  <si>
    <t>Vedtatte tiltak</t>
  </si>
  <si>
    <r>
      <t xml:space="preserve">DISPONIBELT TIL TILTAK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</si>
  <si>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Nye tiltak</t>
  </si>
  <si>
    <t>Innsparing</t>
  </si>
  <si>
    <t>VEDTATTE TILTAK, HØP 2021-2024</t>
  </si>
  <si>
    <t>Sum tiltak</t>
  </si>
  <si>
    <t>VEDTATTE TILTAK, REKALKULERT</t>
  </si>
  <si>
    <r>
      <t xml:space="preserve">BUDSJETTBALANSE INKL VEDTATTE TILTAK 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</si>
  <si>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NYE INNSPARINGER/SALDERINGER ØP 2022-2025</t>
  </si>
  <si>
    <t>NYE TILTAK ØP 2022-2025 - MÅ PRIORITERES</t>
  </si>
  <si>
    <r>
      <t xml:space="preserve">BUDSJETTBALANSE INKL VEDTATTE TILTAK, NYE INNSPARINGER OG MÅ-TILTAK </t>
    </r>
    <r>
      <rPr>
        <sz val="8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</si>
  <si>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ANDRE NYE TILTAK ØP 2022-2025</t>
  </si>
  <si>
    <t>NYE TILTAK ØP 2022-2025 - IKKE PRIORITERT</t>
  </si>
  <si>
    <t>Overføring til investeringsregnskapet - saldering</t>
  </si>
  <si>
    <t>Bruk av fond</t>
  </si>
  <si>
    <t>Netto driftsresultat</t>
  </si>
  <si>
    <t>OMRÅDE</t>
  </si>
  <si>
    <t>NR</t>
  </si>
  <si>
    <t>TILTAKSTEKST</t>
  </si>
  <si>
    <t>TYPE</t>
  </si>
  <si>
    <t>PRIORITET</t>
  </si>
  <si>
    <t>Ansvarleg</t>
  </si>
  <si>
    <t>Prefiks</t>
  </si>
  <si>
    <t>Nr</t>
  </si>
  <si>
    <t>Skatt ØP21</t>
  </si>
  <si>
    <t>Sentrale inntekter og utgifter</t>
  </si>
  <si>
    <t>Rammetilskudd</t>
  </si>
  <si>
    <t>SENT.INNT</t>
  </si>
  <si>
    <t>Formue- og inntektsskatt</t>
  </si>
  <si>
    <t>MÅ</t>
  </si>
  <si>
    <t>Øyvind oppdatert 07.09.2021 - deflator fra 2,5 til 2,9</t>
  </si>
  <si>
    <t>I</t>
  </si>
  <si>
    <t>Statlige rammeoverføringer inkludert inntektsutjevning</t>
  </si>
  <si>
    <t xml:space="preserve">Eiendomsskatt på kraft </t>
  </si>
  <si>
    <t>Odd oppdatert 13.09.2021</t>
  </si>
  <si>
    <t>Konsesjonskraft</t>
  </si>
  <si>
    <t>Jostein oppdatert 13.09.2021</t>
  </si>
  <si>
    <t>Konsesjonsavgift</t>
  </si>
  <si>
    <t>Jostein oppdaterer</t>
  </si>
  <si>
    <t>Konsesjonsavgift  avsettes kraftfond</t>
  </si>
  <si>
    <t>Rentekompensasjon sykehjem, omsorgsboliger og skolebygg  </t>
  </si>
  <si>
    <t>Øyvind oppdatert 28.09.2021</t>
  </si>
  <si>
    <t>Integreringstilskudd flyktninger</t>
  </si>
  <si>
    <t>Hege oppdatert 09.09.2021</t>
  </si>
  <si>
    <t>Renteutgifter ordinære lån</t>
  </si>
  <si>
    <t>Avdrag ordinære lån</t>
  </si>
  <si>
    <t>Renteinntekter av bankinnskudd </t>
  </si>
  <si>
    <t>Renteinntekter startlån </t>
  </si>
  <si>
    <t>Renteutgifter startlån</t>
  </si>
  <si>
    <t>Renter ansvarlig lån Lyse AS</t>
  </si>
  <si>
    <t>Aksjeutbytte Lyse AS </t>
  </si>
  <si>
    <t>Ragnhild oppdatert 14.06.2021 (ny prognose aug/sept)</t>
  </si>
  <si>
    <t>Aksjeutbytte Odeon kino Stavanger/Sandnes AS </t>
  </si>
  <si>
    <t>Uendret Ragnhild 14.06.2021</t>
  </si>
  <si>
    <t>Aksjeutbytte Renovasjonen IKS</t>
  </si>
  <si>
    <t>Renter ansvarlig lån Sandnes tomteselskap KF</t>
  </si>
  <si>
    <t>Aksjeutbytte Forus Næringspark AS</t>
  </si>
  <si>
    <t>Ragnhild oppdatert 14.06.2021</t>
  </si>
  <si>
    <t>Aksjeutbytte Sandnes Parkeringsdrift AS</t>
  </si>
  <si>
    <t>Ragnhild oppdatert 14.06.2021, vedtak i sak 68/21 21.06.2021</t>
  </si>
  <si>
    <t>Overføring til investeringsregnskapet</t>
  </si>
  <si>
    <t>Bruk av disposisjonsfond</t>
  </si>
  <si>
    <t>30.09.21 bruk innsparing mot hv-innsparing</t>
  </si>
  <si>
    <t>Avskrivinger </t>
  </si>
  <si>
    <t>Øyvind oppdatert 08.06.2021</t>
  </si>
  <si>
    <t>Motpost avskrivinger </t>
  </si>
  <si>
    <t>Kalkulatoriske renter og avskrivinger vann</t>
  </si>
  <si>
    <t>Oppdatert 30.08.21 basert på budsjett Momentum-modell</t>
  </si>
  <si>
    <t>Kalkulatoriske renter og avskrivinger avløp</t>
  </si>
  <si>
    <t>Kalkulatoriske renter og avskrivinger renovasjon</t>
  </si>
  <si>
    <t>SUM SENTRALE INNTEKTER OG FINANSPOSTER</t>
  </si>
  <si>
    <t>BASISBUDSJETT TJENESTEOMRÅDENE</t>
  </si>
  <si>
    <t>DISPONIBELT TIL TILTAK</t>
  </si>
  <si>
    <t>Oppvekst</t>
  </si>
  <si>
    <t>Ordinær grunnskoleopplæring inkl fellesutgifter</t>
  </si>
  <si>
    <t>Vedtatt</t>
  </si>
  <si>
    <t>Må</t>
  </si>
  <si>
    <t>Annet</t>
  </si>
  <si>
    <t>OPP</t>
  </si>
  <si>
    <t>Elevtallsvekst i tråd med prognoser</t>
  </si>
  <si>
    <t>ØP 21-24 REKALK</t>
  </si>
  <si>
    <t>VEDTATT</t>
  </si>
  <si>
    <t>Oppdatert 13.09 - Sander</t>
  </si>
  <si>
    <t>OV</t>
  </si>
  <si>
    <t>Korrigering av prognoser, elevtallsvekst</t>
  </si>
  <si>
    <t xml:space="preserve">Ressurser til spesialundervisning </t>
  </si>
  <si>
    <t>Korrigering av prognoser, spesialundervisning</t>
  </si>
  <si>
    <t>Kleivane skole, læremiddelpakke</t>
  </si>
  <si>
    <t>ØP 21-24</t>
  </si>
  <si>
    <t>Pilotprosjekt, utvidet leksehjelp</t>
  </si>
  <si>
    <t>Oppvekstadministrativ system (IST) og timeplansystem, drift og investering</t>
  </si>
  <si>
    <t>NYTT</t>
  </si>
  <si>
    <t xml:space="preserve">Ressurser til styrkning i SFO </t>
  </si>
  <si>
    <t>Korrigering av prognoser, styrking i SFO</t>
  </si>
  <si>
    <t>SFO, økning i driftsutgifter</t>
  </si>
  <si>
    <t>Oppdatert 01.10 - Sander</t>
  </si>
  <si>
    <t>SFO, økning i gebyrinntekter</t>
  </si>
  <si>
    <t>Internhusleie, renholds- og energikostnader, skoler</t>
  </si>
  <si>
    <t>Oppdatert 06.09 - mathilde</t>
  </si>
  <si>
    <t>Internhusleie, renholds- og energikostnader, skoler, nye bygg</t>
  </si>
  <si>
    <t>Internhusleie, renholds- og energikostnader, skoler, innleide bygg</t>
  </si>
  <si>
    <t>Oppdatert 03.09 - mathilde</t>
  </si>
  <si>
    <t>Barnehagetjenester</t>
  </si>
  <si>
    <t xml:space="preserve">Etablering av kommunale barnehageplasser </t>
  </si>
  <si>
    <t>Ny 6 avdeling ferdig til august 2024?, brutto kost 16 mill</t>
  </si>
  <si>
    <t>Økt foreldrebetaling i barnehager</t>
  </si>
  <si>
    <t>Ny 6 avdeling ferdig til august 2024?, 90 nye barn.</t>
  </si>
  <si>
    <t>Generell innsparing oppvekst barn og unge</t>
  </si>
  <si>
    <t>Tilskudd private barnehager</t>
  </si>
  <si>
    <t>Sats har økt noe, men antall barn 1.9. er noe lavere. Tiltak uendret fram til statsbudsjettet</t>
  </si>
  <si>
    <t>Parkering HS-bygget</t>
  </si>
  <si>
    <t>Fra perioderapporten. En andel skal til Mestringsenheten</t>
  </si>
  <si>
    <t>Helsestasjonstjenester, PPT, barne- og familieenheten</t>
  </si>
  <si>
    <t>BFE-Tilskudd, kommunalt rusarbeid  6 stillinger. Opptrappingsplan</t>
  </si>
  <si>
    <t>PPT, selvfinansiering av årsverk</t>
  </si>
  <si>
    <t>Finansierer seg selv gjennom reduksjon i sp.und. fra 2023</t>
  </si>
  <si>
    <t>Videreføring og utvidelse av Familie for første gang</t>
  </si>
  <si>
    <t>Tilskudd Familie for første gang</t>
  </si>
  <si>
    <t>Oppvekstreform BFE, refusjon utgifter til forsterkning av fosterhjem</t>
  </si>
  <si>
    <t>Oppvekstreform BFE, tilskuddsfinansierte årsverk barnevern</t>
  </si>
  <si>
    <t>Oppvekstreform BFE, økte egenandeler på statlige tiltak</t>
  </si>
  <si>
    <t>Oppvekstreform BFE, økt ettervernsalder til 25 år</t>
  </si>
  <si>
    <t>Faktiske utgifter. Bør prioriteres.</t>
  </si>
  <si>
    <t xml:space="preserve">PPT &amp; BFE - Årlig lisensavgift for journalsystem </t>
  </si>
  <si>
    <t xml:space="preserve">1.perioderapport 2021 - 500 PPT og 50 BFE </t>
  </si>
  <si>
    <t>Videreføring av tiltakspakke</t>
  </si>
  <si>
    <t>1.perioderapport 2021</t>
  </si>
  <si>
    <t xml:space="preserve">Prosjekt/pakke rettet mot yngre unge grunnet covid-19 </t>
  </si>
  <si>
    <t>Finanseres av disp.fond. Tekst kommer fra direktør til JVK</t>
  </si>
  <si>
    <t>Bruk av kommunens generelle disposisjonsfond</t>
  </si>
  <si>
    <t>29.09.21 SM finansiering tiltakspakker oppvekst</t>
  </si>
  <si>
    <t>Internhusleie, renholds- og energikostnader, helsestasjoner</t>
  </si>
  <si>
    <t>Oppdatert 02.09 - mathilde</t>
  </si>
  <si>
    <t>Internhusleie, renholds- og energikostnader, helsestasjoner, innleide bygg</t>
  </si>
  <si>
    <t>Oppdatert 06.09 - mathilde (jærveien 34)</t>
  </si>
  <si>
    <t>X</t>
  </si>
  <si>
    <t>TOTALSUM OPPVEKST</t>
  </si>
  <si>
    <t>Helse og velferd</t>
  </si>
  <si>
    <t>Enhet for funksjonshemmede</t>
  </si>
  <si>
    <t>H&amp;V</t>
  </si>
  <si>
    <t>8 boenheter i Olsokveien, for personer med funksjonsnedsettelser</t>
  </si>
  <si>
    <t>H</t>
  </si>
  <si>
    <t>9 plasser i Foreldreinitiativ 3</t>
  </si>
  <si>
    <t>Tilsynstjeneste (SFO)</t>
  </si>
  <si>
    <t>Internhusleie, renholds- og energikostnader, EFF</t>
  </si>
  <si>
    <t>Enhet for hjemmetjenester og rehabilitering</t>
  </si>
  <si>
    <t>Hjemmetjenesten, befolkningsvekst</t>
  </si>
  <si>
    <t>Økt behov hjemmetjeneste grunnet utsettelse av sykehjem</t>
  </si>
  <si>
    <t>Nattvaktssett på Sandnes helsesenter</t>
  </si>
  <si>
    <t>Helse og velferd felles og samordningstjenester</t>
  </si>
  <si>
    <t>Kommunale boliger, indeksregulering</t>
  </si>
  <si>
    <t>Samordning, 1,5 årsverk koordinerende enhet</t>
  </si>
  <si>
    <t xml:space="preserve">Omstilling 2025 </t>
  </si>
  <si>
    <t>Bruk av fond, forskyvning av innsparing</t>
  </si>
  <si>
    <t>30.09.21 TF lagt inn bruk av fond 25701156 til å dekke innsparing 1 år</t>
  </si>
  <si>
    <t>Lisenser fagprogrammer</t>
  </si>
  <si>
    <t>Helse- og rehabiliteringstjenster</t>
  </si>
  <si>
    <t>Økning driftstilskudd fysioterapeuter</t>
  </si>
  <si>
    <t>Tilskudd til fastleger i henhold til befolkningsvekst og endring i takst</t>
  </si>
  <si>
    <t>Internhusleie, renholds- og energikostnader, helse- og rehabiliteringstjenester</t>
  </si>
  <si>
    <t>Oppdatert 02.09 - mathilde (helårsvirkninger)</t>
  </si>
  <si>
    <t>Sosiale tjenester</t>
  </si>
  <si>
    <t xml:space="preserve">Integreringstilskudd enslige mindreårige </t>
  </si>
  <si>
    <t>Introduksjonsprogrammet</t>
  </si>
  <si>
    <t>Internhusleie, renholds- og energikostnader, sosiale tjenester</t>
  </si>
  <si>
    <t>Internhusleie, renholds- og energikostnader, sosiale tjenester, nye bygg</t>
  </si>
  <si>
    <t>Oppdatert 06.09 - mathilde (nye bygg)</t>
  </si>
  <si>
    <t>Sykehjemstjenester</t>
  </si>
  <si>
    <t>Lunde bo- og aktivitetssenter, 14 heldøgnsplasser</t>
  </si>
  <si>
    <t>Oppstart medio 2024</t>
  </si>
  <si>
    <t>Hele stillinger pilotprosjekt</t>
  </si>
  <si>
    <t>Ressurskrevende brukere på sykehjem</t>
  </si>
  <si>
    <t>TOTALSUM HELSE OG VELFERD</t>
  </si>
  <si>
    <t>Kultur og næring</t>
  </si>
  <si>
    <t>Kultur og næring felles</t>
  </si>
  <si>
    <t>KuN</t>
  </si>
  <si>
    <t>Omstilling 2025, økning billettpriser kulturhuset</t>
  </si>
  <si>
    <t>K</t>
  </si>
  <si>
    <t>Internhusleie, innleie nye kontorlokaler kulturavdeling</t>
  </si>
  <si>
    <t>Næring, medlemskapet i New Kaupang</t>
  </si>
  <si>
    <t>Næring, finansiering medlemskapet i New Kaupang</t>
  </si>
  <si>
    <t>Kultur, bibliotek og kulturskole</t>
  </si>
  <si>
    <t>Indeksregulering av tilskudd til private bydelshus</t>
  </si>
  <si>
    <t>budsjett ligger på 1473/5040/3854</t>
  </si>
  <si>
    <t>Internhusleie, renholds- og energikostnader, kultur</t>
  </si>
  <si>
    <t>Oppdatert 02.09 - Mathilde (helårsvirkninger)</t>
  </si>
  <si>
    <t>TOTALSUM KULTUR OG NÆRING</t>
  </si>
  <si>
    <t>Byutvikling og teknisk</t>
  </si>
  <si>
    <t>Park og gravlund</t>
  </si>
  <si>
    <t>BYTE</t>
  </si>
  <si>
    <t>Anlegg og områder overført fra Forsand i 2020</t>
  </si>
  <si>
    <t>T</t>
  </si>
  <si>
    <t>Systematisk rensing av bekkeinntak og sluker på offentlige friarealer og veier</t>
  </si>
  <si>
    <t>Kostnader flyttes fra KVM. Nødvendig for å hindre flom og ras. (MÅ)</t>
  </si>
  <si>
    <t>Overtagelse av nye grøntanlegg/nærmiljøanlegg og lekeplasser</t>
  </si>
  <si>
    <t>Se eget tekstdokument. Store områder er overtatt, 39000 kvm. Delvis må. Innbefatter nye arealer + etterslep. (MÅ)</t>
  </si>
  <si>
    <t>Drift og vedlikehold ved overtakelse av nytt gravplassareal Soma - ny del</t>
  </si>
  <si>
    <t>Ny gravplass. Ferdig vinter 2022, ca 0,5 årsverk</t>
  </si>
  <si>
    <t>Økt stillingsprosent, parker, gravplass og grønt</t>
  </si>
  <si>
    <r>
      <rPr>
        <b/>
        <sz val="8"/>
        <color theme="1"/>
        <rFont val="Calibri"/>
        <family val="2"/>
        <scheme val="minor"/>
      </rPr>
      <t>Meldt inn 30.08.21.</t>
    </r>
    <r>
      <rPr>
        <sz val="8"/>
        <color theme="1"/>
        <rFont val="Calibri"/>
        <family val="2"/>
        <scheme val="minor"/>
      </rPr>
      <t xml:space="preserve"> Kommunen har flere viktige sentrumsprosjekt foran seg der byutvikling og det landskapsfaglige er viktige element som må sikres for å lage gode byrom. Grunnet økende antall planer både på reguleringsplannivå og detaljplanlegging med behov for faglig bistand, bes det om å øke eksisterende 60% stilling til 100%. Stillingen kan også bidra med noe egenplanlegging.</t>
    </r>
  </si>
  <si>
    <t>Vei og trafikksikkerhet</t>
  </si>
  <si>
    <t>Leie av midlertidig bro ved Bråstein</t>
  </si>
  <si>
    <t>Som følge av utsatt investeringstiltak</t>
  </si>
  <si>
    <t>Idrett og friluftsliv</t>
  </si>
  <si>
    <t>Inntektstap ved stenging av Giskehallen for rehabilitering</t>
  </si>
  <si>
    <t>Reversering av sparte utgifter ved stenging av Giskehallen for rehabilitering</t>
  </si>
  <si>
    <t xml:space="preserve">Tilskudd Sandnes Håndballklubb </t>
  </si>
  <si>
    <t>Friluftsrådene og Rogaland Arboret, justering av avtale</t>
  </si>
  <si>
    <t xml:space="preserve">Ligger inne i basis med 160 per år. Økning er reelt 10 per år </t>
  </si>
  <si>
    <t>Isbane på Ruten</t>
  </si>
  <si>
    <t>Idrettshall Kleivane</t>
  </si>
  <si>
    <t>Lavere inntektskrav alle idretts- og svømmehaller, inkl Forsand.</t>
  </si>
  <si>
    <t>Overføring til spillemiddelfond</t>
  </si>
  <si>
    <t>Det vises til Kommunestyresak i møte 21.06.21. Saken heter ny tilskuddsordning for idrettslag som bygger egne anlegg. Det avsettes ektramidler til spillemiddelfondet for å unngå ventelister på utbetaling av kommunalt tilskudd til lagseide idrettsanlegg.</t>
  </si>
  <si>
    <t>Strategi- og handlingsplan mot fremmede invaderende og skadelige arter</t>
  </si>
  <si>
    <t xml:space="preserve">Flyttet fra investeringer etter KLG 31.08
</t>
  </si>
  <si>
    <t>Utarbeidelse av ny kommunedelplan "Aktive Sandnes".</t>
  </si>
  <si>
    <t xml:space="preserve">Flyttet fra investeringer etter KLG 31.08. Tatt ut "Innleie av konsulent for" i prosjektnavnet 
</t>
  </si>
  <si>
    <t>Internhusleie, renholds- og energikostnader, teknisk</t>
  </si>
  <si>
    <t>Geodata (oppmåling)</t>
  </si>
  <si>
    <t>Økte driftskostnader for programsystemer</t>
  </si>
  <si>
    <t>TOTALSUM BYUTVIKLING OG TEKNISK</t>
  </si>
  <si>
    <t>Forsand, reiseutgifter overgangsordning</t>
  </si>
  <si>
    <t>O</t>
  </si>
  <si>
    <t>Lærlingordning, finansiering</t>
  </si>
  <si>
    <t>Opptrappingsplan diskutert i KLG</t>
  </si>
  <si>
    <t>Frikjøp fagforeninger</t>
  </si>
  <si>
    <t>Ny IT-plattform og videre drift</t>
  </si>
  <si>
    <t>HMS, styrking 1 årsverk</t>
  </si>
  <si>
    <t>TOTALSUM ORGANISASJON</t>
  </si>
  <si>
    <t>To årsverk rådgiver lønn</t>
  </si>
  <si>
    <t>Ø</t>
  </si>
  <si>
    <t xml:space="preserve">To årsverk rådgiver lønn dekkes av fond på området </t>
  </si>
  <si>
    <t>Uavhengig finansrådgiver</t>
  </si>
  <si>
    <t>1270-1431-1200</t>
  </si>
  <si>
    <t>Inntektskrav - tilknyttet uavhengig finansrådgiver</t>
  </si>
  <si>
    <t>1906-9000-8700</t>
  </si>
  <si>
    <t>TOTALSUM ØKONOMI</t>
  </si>
  <si>
    <t>Sentrale staber, politisk virksomhet og fellesutgifter</t>
  </si>
  <si>
    <t>Kommunedirektørens staber</t>
  </si>
  <si>
    <t>F</t>
  </si>
  <si>
    <t>Kommunen felles</t>
  </si>
  <si>
    <t>Regionale idrettshaller, rekalkulert tilskudd, jamfør HØP 2018-2021, tiltak F8 og F9</t>
  </si>
  <si>
    <t>Rekalkuleres??</t>
  </si>
  <si>
    <t>Regionale idrettshaller, tiltak P12 handlings og økonomiplan 2021-2024</t>
  </si>
  <si>
    <t>P12 i HØP 2021</t>
  </si>
  <si>
    <t>P13 i HØP 2021</t>
  </si>
  <si>
    <t>Spesialavtaler, utgår F15 fra handlings og økonomiplan 2021-2024</t>
  </si>
  <si>
    <t xml:space="preserve">Lønnsreserven </t>
  </si>
  <si>
    <t>Oppdatert 11.06.2021 Øyvind - økt med kr 35 mill</t>
  </si>
  <si>
    <t>Eiertilskudd Interkommunalt Arkiv i Rogaland IKS</t>
  </si>
  <si>
    <t>Rekalkulert med 2022 stigning. 1.perioderapport 2021</t>
  </si>
  <si>
    <t>Fellesutgifter og brukerstyrte oppgaver, rådhuset</t>
  </si>
  <si>
    <t>Medlemskontingent Stavangerregionens Europakontor</t>
  </si>
  <si>
    <t xml:space="preserve">Reversering av tidligere innsparingskrav </t>
  </si>
  <si>
    <t>Tilleggsbevilgning, Norsk Pasientskade Erstatning Fond</t>
  </si>
  <si>
    <t>Filmkraft Rogaland AS, driftstilskudd</t>
  </si>
  <si>
    <t>Jf. søknad fra Filmkraft. 2021 nivå + 1,1% KPI justert.</t>
  </si>
  <si>
    <t>Filmkraft Rogaland AS, driftstilskudd, vedtatt finansiering med bruk av disposisjonsfond</t>
  </si>
  <si>
    <t>Ihht KST vedtak skal tilskudd 2021 og 2022 fin. ved bruk Utvikling Sandnes (25701157)</t>
  </si>
  <si>
    <t>INNSP</t>
  </si>
  <si>
    <t>Sum økning i 2022 jf styrets forslag er for Sandnes + 3,3 mill. Her eierbrøk oppdatert ihht folketall fra 1.1.2022. Ihht adm. eiermøte 10.9.21 er lagt til grunn foreløpig,at RBR bruker 6 mill av eget disp.fond + kutt/omstilling + 3 mill for å redusere økt tilskudd. Sandnes sin andel er - 1,280 mill. Estimat kutt 2022: 0,800 mill. I 2023 har RBR 6,2 mill i økning pga nye stasjoner. Det utgjør for Sandnes +3,9 mill. RBR forventning om kutt og bruk av fond på 3 mill i 2023 nuller ut netto økn. for Sandnes. I 2024 og 2025 har ikke RBR disp.fond å bruke, tilskuddet øker. For Sandnes betyr det +1,7 mill, men det ligger allerede netto kr 3,1 mill på tiltak F5 og F6 på 3,1 mll, så sum tilskudd reduseres med kr 1,3 mill</t>
  </si>
  <si>
    <t>Pilot 4 år, felles drift Rogaland Arboret/Stavanger botaniske hage</t>
  </si>
  <si>
    <t>Jf. sak i kom.styret 21.juni. 4-årig pilotperiode</t>
  </si>
  <si>
    <t>Folkehallene, drifts- og leieavtale 5 anlegg</t>
  </si>
  <si>
    <t>Beløp kr 1,030 mill ikke endelig. Forhandlinger med Sola og Randaberg om  FSS AS ble ikke ferdige til 2 tertial 2021. Egen sak i høst. Økningen på opprinnelig 1.030 mill. økes som følge av dette + Sola Arena som ikke er avsluttet til + 1,6 mill.</t>
  </si>
  <si>
    <t>Forsikringer, kommune felles</t>
  </si>
  <si>
    <t>Felles forsikringsordninger er økt bl.a. som følge av flere barn og ansatt. Det er ikke rom for å løse økningen innenfor rammen på fellesområdet. Estimert økning er kr 0,550 mill</t>
  </si>
  <si>
    <t>KS kontingenten, kommunefelles</t>
  </si>
  <si>
    <t>Jr. KS sin beregning for 2022 av prisjusterte deler av sum kontingent og rebereging av OU-delen er det nøvendig  øke samlet budsjett med kr 850.000 ift basisbudsjett 2022. Det er ikke rom for å løse økningen innenfor budsjettrammen på kom.fellesområdet.</t>
  </si>
  <si>
    <t>Politisk virksomhet</t>
  </si>
  <si>
    <t>Kommune- og fylkestingsvalg og stortingsvalg</t>
  </si>
  <si>
    <t>Økning av valgbudsjett</t>
  </si>
  <si>
    <t>Avslutningsarrangement for kommunestyret i 2023</t>
  </si>
  <si>
    <t>Opplæring folkevalgte 2023</t>
  </si>
  <si>
    <t>Reduserte utgifter politisk virksomhet</t>
  </si>
  <si>
    <t>P vedtak i HØP 2021 Reverserte F27 og kom med ny tekst</t>
  </si>
  <si>
    <t>Økt godtgjørelse til valgmedarbeidere i 2023 og 2025</t>
  </si>
  <si>
    <t>Mobilt forhåndsstemmemottak</t>
  </si>
  <si>
    <t>Innvandrerrådet, budsjettmidler</t>
  </si>
  <si>
    <t>Studieturer for utvalgene i 2024/Politikeropplæring</t>
  </si>
  <si>
    <t>Eiendom</t>
  </si>
  <si>
    <t xml:space="preserve">Internhusleie, inntekt helårsvirkninger </t>
  </si>
  <si>
    <t>Oppdatert 02.09 - Mathilde</t>
  </si>
  <si>
    <t>Internhusleie, inntekt nye bygg ferdigstilles i planperioden</t>
  </si>
  <si>
    <t>Internhusleie, innleide bygg</t>
  </si>
  <si>
    <t>Oppdatert 06.09 - Mathilde</t>
  </si>
  <si>
    <t>Internhusleie etter diverse tiltak, rehabilitering, miljøtiltak osv</t>
  </si>
  <si>
    <t>Kapitalkostnader, tilbakeføring, nye bygg</t>
  </si>
  <si>
    <t>Oppdatert 10.09 - Mathilde</t>
  </si>
  <si>
    <t>Kapitalinntekt, tilbakeføring, nye bygg</t>
  </si>
  <si>
    <t>Endelig beregning/fordeling kommer i aug/sep</t>
  </si>
  <si>
    <t>Renter på lån som eiendom betjener på bygg som leies ut til eksterne leietakere</t>
  </si>
  <si>
    <t>TOTALSUM SENTRALE STABER, POLITISK VIRKSOMHET OG FELLESUTGIFTER</t>
  </si>
  <si>
    <t>Intern nå</t>
  </si>
  <si>
    <t>Intern før</t>
  </si>
  <si>
    <t>Diff</t>
  </si>
  <si>
    <t>Punsjeliste</t>
  </si>
  <si>
    <t>Oppvekst skole</t>
  </si>
  <si>
    <t>Oppvekst barn og unge</t>
  </si>
  <si>
    <t>Kultur og byutvikling</t>
  </si>
  <si>
    <t>Sentrale staber og kommunens fellesutgifter</t>
  </si>
  <si>
    <t>Sum</t>
  </si>
  <si>
    <t>Øyvind oppdatert 07.09.2021</t>
  </si>
  <si>
    <t>Ragnhild oppdatert 14.06.2021, sak kommunestyret 21.06.2021</t>
  </si>
  <si>
    <t>SM oppdatert 31.08.21</t>
  </si>
  <si>
    <t>SM oppdatert 31.08.21 finansiering av tiltakspakke oppvekst</t>
  </si>
  <si>
    <t>Oppvekstadministrativ system (IST)</t>
  </si>
  <si>
    <t>Sjekk med Bjarte Våge. Gebyrfinansiering?</t>
  </si>
  <si>
    <t>Timeplansystem. Både drift og investering</t>
  </si>
  <si>
    <t>Henger sammen med OV9. Beløpet er samlet for OV9 og OV10.</t>
  </si>
  <si>
    <t>Internhusleie, renholds- og energikostnader, barnehager</t>
  </si>
  <si>
    <t xml:space="preserve">Parkering Hs-bygget </t>
  </si>
  <si>
    <t>PPT - 4 nye stillinger</t>
  </si>
  <si>
    <t>BFE, Husleie Jærveien 34</t>
  </si>
  <si>
    <t>Lagt inn i OPP18</t>
  </si>
  <si>
    <t>Nytt telefonssystem (Kobberlinjer skal byttes ut), hvis ikke IT melder inn</t>
  </si>
  <si>
    <t xml:space="preserve">Beløp? Er dette investering? </t>
  </si>
  <si>
    <t>Legetjenester - behov for kommunalt legekontor/stimuleringsmidler for oppstart av næringsdrift</t>
  </si>
  <si>
    <t>fortsatt usikkert jf. fastlegekrisen, vil medføre inv.utgifter</t>
  </si>
  <si>
    <t xml:space="preserve">Integreringstilskudd enslig mindreårige </t>
  </si>
  <si>
    <t>Husleie nye kontorlokaler kulturavdeling</t>
  </si>
  <si>
    <t>Internhusleie, renholds- og energikostnader, kultur, innleide bygg</t>
  </si>
  <si>
    <t>Oppdatert 02.09 - Mathilde (nye lokaler - kontor husleie)</t>
  </si>
  <si>
    <t>Analyse- og utredningskapasitet knyttet til grunnforhold</t>
  </si>
  <si>
    <t>IKKE PRI</t>
  </si>
  <si>
    <r>
      <rPr>
        <b/>
        <sz val="8"/>
        <color theme="1"/>
        <rFont val="Arial"/>
        <family val="2"/>
      </rPr>
      <t>Meldt inn 08.09.21.</t>
    </r>
    <r>
      <rPr>
        <sz val="8"/>
        <color theme="1"/>
        <rFont val="Arial"/>
        <family val="2"/>
      </rPr>
      <t xml:space="preserve"> Det er identifisert behov for noe analyse og saksbehandlingskapasitet knyttet til grunnforhold i Sandnes kommune. I 2021 utfører en arbeidsgruppen vurderinger av grunnforhold i Sandnes kommune, inkludert identifikasjon av mulige tiltak.</t>
    </r>
  </si>
  <si>
    <t>Øke stilling fra 60 til 100 prosent, parker, gravplass og grønt</t>
  </si>
  <si>
    <t>Sparte utgifter ved stenging av Giskehallen for rehabilitering</t>
  </si>
  <si>
    <t>Isbanen på ruten</t>
  </si>
  <si>
    <t>Mindre inntektskrav alle idretts- og svømmehaller, inkl Forsand.</t>
  </si>
  <si>
    <t>Klima</t>
  </si>
  <si>
    <t>Kapasitet til gjennomføring av tiltak i klima- og miljøplanen</t>
  </si>
  <si>
    <t>0,5 årsverk</t>
  </si>
  <si>
    <t>Samfunn, plan og bygg</t>
  </si>
  <si>
    <t>Kapasitetsøkning Byantikvar-funksjonen</t>
  </si>
  <si>
    <t>Byplansjef, 1 årsverk</t>
  </si>
  <si>
    <t>Finansieringsordning lærlinger</t>
  </si>
  <si>
    <t>Ny IT Platform og videre drift</t>
  </si>
  <si>
    <t>Uavhengig finansrådgiver - tilknyttet inntektskrav Ø4</t>
  </si>
  <si>
    <t>Inntektskrav - tilknyttet til uavhengig finansrådgiver Ø3</t>
  </si>
  <si>
    <t>Regionale idrettshaller, rekalkulert tilskudd, jamfør ØP 2018-2021, tiltak F8 og F9</t>
  </si>
  <si>
    <t>Rogaland brann og redning IKS, Nye Sandnes tilskudd</t>
  </si>
  <si>
    <t>Spesialavtaler, utgår</t>
  </si>
  <si>
    <t>Oppfølging av AV-utstyr i rådhus særskilt</t>
  </si>
  <si>
    <t>Flyttet til investering</t>
  </si>
  <si>
    <t>Tiltak F2, Reversering innsparing på ansv 1000, er kom.felles</t>
  </si>
  <si>
    <t>Del av F2 i HØP 2024, omstilling/kutt kommune felles. Men budsjettet ligger på ansv 1000</t>
  </si>
  <si>
    <t>Tiltakt F2, Reversering innsparing på ansv. 1000, restbeløp er kom.felles</t>
  </si>
  <si>
    <t>Pr. 1. tertial 21 er 0,579 mill løst av totalt 1,395 mill. Restbeløpet på 0,800 mill. søkes reversert</t>
  </si>
  <si>
    <t>Tiltak P10, Reversering innsparing på ansv 1000, er kom.felles</t>
  </si>
  <si>
    <t>Kutt sentrale staber politisk oppdrag HØP 2024. Ligger på ansv 1000, men er kom. felles</t>
  </si>
  <si>
    <t>F31 HØP 2020-23 (basis 2021), Reversering, red. utg. grensejustering</t>
  </si>
  <si>
    <t>Kutt ligger på kom.felles ansv 1099, red.utgifter jf. grensejsuering m/Strand. Ikke reelt grunnlag å foreta kutt i innenfor tjenesteområdene.</t>
  </si>
  <si>
    <t>F33 HØP  2020-23 (basis 2021), Reversering, gen. innsparing kom.felles</t>
  </si>
  <si>
    <t>Kutt ligger på kom.felles ansv 1099, omstilling/kutt ifm ny organisering. Ikke reelt grunnlag å foreta kutt innenfor tjenesteområder, foretak, fellesutgifter som tillegg til egene kutt</t>
  </si>
  <si>
    <t>F11, Reversering gjenstående innsparingskrav, kom.felles</t>
  </si>
  <si>
    <t>Av 1,880 mill er det foreslått løsning på 1,750 mill i 1. tert 2021. Restbeløpet 0,130 mill. løses i 2021 permanent.</t>
  </si>
  <si>
    <t>Filmkraft Rogaland AS, driftstilskudd, vedtatt fin. med bruk av disp.fond</t>
  </si>
  <si>
    <t>Rogaland brann og redning IKS, ytterligere reduksjon (eierbrøk, kutt)</t>
  </si>
  <si>
    <t>Økning av valgbudsjettet for inndekning av økte kostnader i 2021 og i 2023</t>
  </si>
  <si>
    <t>Økning av valgbudsjettet</t>
  </si>
  <si>
    <t>Innvandrerrådet</t>
  </si>
  <si>
    <t>Internhusleie, nye innleide bygg fra 2021</t>
  </si>
  <si>
    <t>Kapitalkostnader, tilbakebetales av eiendom, nye bygg</t>
  </si>
  <si>
    <t>Kapitalinntekt "til kommunen", nye bygg</t>
  </si>
  <si>
    <t>Øyvind oppdatert 09.06.2021</t>
  </si>
  <si>
    <t>Odd oppdaterer</t>
  </si>
  <si>
    <t>Jostein oppdatert 14.06.2021</t>
  </si>
  <si>
    <t>Øyvind oppdaterer</t>
  </si>
  <si>
    <t>Hege oppdaterer høst 2021</t>
  </si>
  <si>
    <t>Øyvind oppdatert 10.06.2021</t>
  </si>
  <si>
    <t>Mathilde - Oppdatert 30.08.21 basert på budsjett Momentum-modell</t>
  </si>
  <si>
    <t>Rekalkuleres i september</t>
  </si>
  <si>
    <t xml:space="preserve">Forsterkede avdelinger </t>
  </si>
  <si>
    <t>Skilt ut i ny modell. Analyse kommer.</t>
  </si>
  <si>
    <t xml:space="preserve">Ny 6 avdeling ferdig til august 2024?, brutto kost 16 mill Reberegnes i september </t>
  </si>
  <si>
    <t xml:space="preserve">Ny 6 avdeling ferdig til august 2024?, 90 nye barn. Reberegnes i september </t>
  </si>
  <si>
    <t xml:space="preserve">Reberegnes i september </t>
  </si>
  <si>
    <t>Oppvekstreform BFE, FACT UNG team</t>
  </si>
  <si>
    <t>Viktig! Mulig å søke tilskudsmidler i 2022. Er vi klar?</t>
  </si>
  <si>
    <t>Oppvekstreform BFE, barneteam 2 årsverk</t>
  </si>
  <si>
    <t>Oppvekstreform BFE, tilsyn under samvær 3 årsverk</t>
  </si>
  <si>
    <t>Mål i barnevernsreform. Opptrapping av årsverk?</t>
  </si>
  <si>
    <t>Oppvekstreform BFE, styrke tiltaksavdelingen 5 årsverk</t>
  </si>
  <si>
    <t>Forhindre kostbare plasseringer utenfor hjemmet. Opptrapping av årsverk eller færre årsverk?</t>
  </si>
  <si>
    <t>Oppvekstreform BFE, faglig ansvar for fosterhjem + oppfølging biologiske foreldre</t>
  </si>
  <si>
    <t>Helsestasjonstjenester, 1 årsverk helsesykepleier Kleivane skole</t>
  </si>
  <si>
    <t>Helsestasjonstjenester, kompensasjon for redusert tilskudd fra helsedirektoratet (benyttes til å finansiere flere eksisterende stillingshjemler)</t>
  </si>
  <si>
    <t>Sjekk budsjettforlik, rammetilskudd?</t>
  </si>
  <si>
    <t>OV52</t>
  </si>
  <si>
    <t>Tilsynstjeneste (SFO) 2,7 årsverk</t>
  </si>
  <si>
    <t>Plasser i dag-/aktivitetssenter, 7,75 årsverk + leie gård Kvål</t>
  </si>
  <si>
    <t>Ett nattvaktssett på SHS grunnet økt behov hos brukerne</t>
  </si>
  <si>
    <t>Tilskudd til fastleger i henhold til befolkningsvekst + innført grunntilskudd og knekkpunkt-tillegg</t>
  </si>
  <si>
    <t>reberegnes august</t>
  </si>
  <si>
    <t>Fysio: reduksjon i fastlønnstilskudd</t>
  </si>
  <si>
    <t>Mestring, Jæren Recovery College: fra prosjekt over i varig drift</t>
  </si>
  <si>
    <t>Husleie nye boenheter</t>
  </si>
  <si>
    <t xml:space="preserve">Netto integreringstilskudd enslig mindreårige </t>
  </si>
  <si>
    <t>Sykesignalanlegg</t>
  </si>
  <si>
    <t>Sandnes matservice, virksomhetsprogram kjøkken</t>
  </si>
  <si>
    <t>Forskyvning av Omstilling 2025, økning billettpriser kulturhuset</t>
  </si>
  <si>
    <t>Oppjustering innkjøp av digitale bøker og andre medier</t>
  </si>
  <si>
    <t>Oppjustering innkjøp av digitale bøker og andre medier, finansiering bruk av fond 2022</t>
  </si>
  <si>
    <t>Inndekning av nye og gamle avtaler - landbruk</t>
  </si>
  <si>
    <t>Inndekning av nye og gamle avtaler - landbruk finansieres av fond i 2022</t>
  </si>
  <si>
    <t xml:space="preserve">Bortfall inntekter jamfør nye retningslinjer for utleie av kommunale bygg </t>
  </si>
  <si>
    <t>Bortfall inntekter jamfør nye retningslinjer for utleie av kommunale bygg , finansieres av fond i 2022</t>
  </si>
  <si>
    <t xml:space="preserve">Tilskudd til inkluderingsarbeid til frivillige lag og foreninger </t>
  </si>
  <si>
    <t>Rådgiver med spesielt ansvar for kommunikasjon 0,5 årsverk -Kulturskolen</t>
  </si>
  <si>
    <t>Reberegnes august</t>
  </si>
  <si>
    <t>ØP 21-25</t>
  </si>
  <si>
    <t>Økt vedlikeholdsstandard gravplasser</t>
  </si>
  <si>
    <t>Utvidelse av 60% stilling til 100%, parker, gravplass og grønt</t>
  </si>
  <si>
    <t>Reberegnes av ma</t>
  </si>
  <si>
    <t>Økning i drift av friluftsområdene</t>
  </si>
  <si>
    <t>Byggdrift</t>
  </si>
  <si>
    <t>Bydrift</t>
  </si>
  <si>
    <t>Samfunnsplan</t>
  </si>
  <si>
    <t>Plan</t>
  </si>
  <si>
    <t>Klima, vann og miljø</t>
  </si>
  <si>
    <t>Vann</t>
  </si>
  <si>
    <t>Avløp</t>
  </si>
  <si>
    <t>Renovasjon</t>
  </si>
  <si>
    <t>Slam</t>
  </si>
  <si>
    <t>Feiing</t>
  </si>
  <si>
    <t>Byggesak</t>
  </si>
  <si>
    <t>Styrke overordnet HMS med en stilling</t>
  </si>
  <si>
    <t>Må diskuteres i KLG</t>
  </si>
  <si>
    <t>Styrke fagopplæring med en stilling</t>
  </si>
  <si>
    <t>Må diskuteres i KLG, opptrappingsplan foreslått, vil ha konsekvenser for andre områder</t>
  </si>
  <si>
    <t>Personvernombud - PVO</t>
  </si>
  <si>
    <t>GAT</t>
  </si>
  <si>
    <t>Må diskuteres i KLG-kontroll av ting som er lagt inn feil</t>
  </si>
  <si>
    <t>Drift av digital medarbeider  (RPA) Botulf</t>
  </si>
  <si>
    <t>Drift av digital medarbeider  (RPA) Botulf, bruk av fond 2022</t>
  </si>
  <si>
    <t>Drift og videreutvikling av skjemakatalog</t>
  </si>
  <si>
    <t>Drift og videreutvikling av skjemakatalog bruk av fond 2022</t>
  </si>
  <si>
    <t>Pårørende telefonen</t>
  </si>
  <si>
    <t>Et årsverk anskaffelser miljørådgiver</t>
  </si>
  <si>
    <t>Økte driftsutgifter lønningsavdelingen</t>
  </si>
  <si>
    <t>Uavhengig finansrådgiver - tilknyttet inntektskrav Ø6</t>
  </si>
  <si>
    <t>Inntektskrav - tilknyttet til uavhengig finansrådgiver Ø5</t>
  </si>
  <si>
    <t>Beløp ikke avklart da modellen ikke er på plass før ila august. Kom.dir møte 18. juni</t>
  </si>
  <si>
    <t>Beløp ikke endelig, skal ferdigstilles innen juni. Avventer avklaringer med Sola for FSS</t>
  </si>
  <si>
    <t>Beløp ikke avklart, gjennomgang av eksisterende pågår</t>
  </si>
  <si>
    <t>Beregnet økning klar ila juni jf vedtak styret</t>
  </si>
  <si>
    <t xml:space="preserve"> Endelig beregning/fordeling kommer i aug/sep </t>
  </si>
  <si>
    <t>Kostnad nye innleide bygg 2022</t>
  </si>
  <si>
    <t xml:space="preserve"> Legges til i F38, sjekk fortegn </t>
  </si>
  <si>
    <t>KPI justering nye og gamle bygg</t>
  </si>
  <si>
    <t>ikke prioritert</t>
  </si>
  <si>
    <t>Økte midler til vedlikehold</t>
  </si>
  <si>
    <t>Fjernes - eiendom trekker tiltaket</t>
  </si>
  <si>
    <t>Økt renholdskostnad som følger av nye bygg</t>
  </si>
  <si>
    <t>Fellesnemnd for kommunesammenslåing</t>
  </si>
  <si>
    <t>Konsesjonsavgift avsettes kraftfond</t>
  </si>
  <si>
    <t>Øyvind oppdatert 18.06.2021</t>
  </si>
  <si>
    <t>Oppdateres august 2021 Mathilde</t>
  </si>
  <si>
    <t>Sjekk med Bjarte Våge</t>
  </si>
  <si>
    <t>BFE, driftsbudsjett tjeneste 2324</t>
  </si>
  <si>
    <t>BFE, Leasing av bil + fagprogram + spesialisering psykologer</t>
  </si>
  <si>
    <t>PPT &amp; BFE - Årlig lisensavgift for nytt journalsystem Visma Flyt</t>
  </si>
  <si>
    <t>1.perioderapport 2021 - 500 PPT og 50 BFE - 11</t>
  </si>
  <si>
    <t>Helsestasjonstjenester, Prevensjon til sårbare kvinner</t>
  </si>
  <si>
    <t>Håndteres innenfor rammen</t>
  </si>
  <si>
    <t>Helsestasjonstjenester, opptrappingsplan??</t>
  </si>
  <si>
    <t>Sjekk budsjettforlik</t>
  </si>
  <si>
    <t>OV55</t>
  </si>
  <si>
    <t>PPT - tjenestebiler</t>
  </si>
  <si>
    <t>OV56</t>
  </si>
  <si>
    <t>PPT - parkeringsplasser</t>
  </si>
  <si>
    <t>OV57</t>
  </si>
  <si>
    <t>PPT - IT utstyr</t>
  </si>
  <si>
    <t>Hjemmetjenester til person</t>
  </si>
  <si>
    <t>1 - Legges inn de årene det er behov. Bør utsettes til perioderapporter</t>
  </si>
  <si>
    <t>Leasing av El-biler</t>
  </si>
  <si>
    <t>Nytt telefonsystem (Kobberlinjer skal byttes ut), hvis ikke IT melder inn</t>
  </si>
  <si>
    <t>Livsgledehjem (1 årsverk + årlig lisens)</t>
  </si>
  <si>
    <t>Bofellesskap psykisk helse, 9 plasser</t>
  </si>
  <si>
    <t>Sjekke investering: utgår, erstattes med boliger øremerkert rus og psykisk helse</t>
  </si>
  <si>
    <t>Mestring, to nye biler til psykisk helse</t>
  </si>
  <si>
    <t>forsøkes løst innenfor rammen, for  høyt estimat</t>
  </si>
  <si>
    <t>Reversering av tiltak P9 i HØP 2021 Økt billettpris kulturhuset</t>
  </si>
  <si>
    <t xml:space="preserve">Åpne ferietilbud til barn og unge i skolens høst/ vinter og sommerferie </t>
  </si>
  <si>
    <t>Økt innsats kommunale ungdomstilbud 1,25 årsverk (utgjør 5 fritidsarbeiderstillinger)</t>
  </si>
  <si>
    <t>Utvidelse av stilling som Prosjektleder i Sandnes kulturskole 0,2 årsverk</t>
  </si>
  <si>
    <t>Koordineringen av det regionale samarbeidet 1 årsverk engasjement- næring</t>
  </si>
  <si>
    <t>Reberegnes september</t>
  </si>
  <si>
    <t>Økt blomsterpryd i byen</t>
  </si>
  <si>
    <t>ikke pri</t>
  </si>
  <si>
    <t>reberegnes av ma</t>
  </si>
  <si>
    <t>Tilskudd til tilknytning av private stikkledninger</t>
  </si>
  <si>
    <t>pol.sak ksak 206/20, endring vedtatt i 2020 regler separering og tilknytning av private stikkledning, helårsbolig. Insentiv til å koble seg på kommunalt selvkost.</t>
  </si>
  <si>
    <t>HR</t>
  </si>
  <si>
    <t>Må diskuteres i KLG, opptrappingsplan?</t>
  </si>
  <si>
    <t>Kommer mer tekst her</t>
  </si>
  <si>
    <t xml:space="preserve">Nye stillinger IT </t>
  </si>
  <si>
    <t>Turistinformasjon Forsand</t>
  </si>
  <si>
    <t>tas av fond hvert år</t>
  </si>
  <si>
    <t>Inntekskrav på utlån av konferanserom</t>
  </si>
  <si>
    <t xml:space="preserve">Bruk av nasjonale felleskomponenter og registre </t>
  </si>
  <si>
    <t>Oppdatert 11.06.2021 Øyvind - økt med 35 mill</t>
  </si>
  <si>
    <t>Pr. 1. tertial 21 er 0,579 mill løst av totalt 1,395 mill. Restbeløpet på 0,800 mill. søkes revert</t>
  </si>
  <si>
    <t>F14, Revering del av innsparing ved kutt seniortilskudd</t>
  </si>
  <si>
    <t>Økonomi/HR må se på denne. Ligger på kom.felles med 8 mill i kutt. Reversert i lønnsreserven.</t>
  </si>
  <si>
    <t>Økt energikostnad som følger av nye bygg</t>
  </si>
  <si>
    <t>Legges til i F38</t>
  </si>
  <si>
    <t>DRIFTSTILTAK SOM FØLGE AV INTERNHUSLEIE, ØKONOMIPLAN 2018-2021</t>
  </si>
  <si>
    <t>BASISBUDSJETT 2019 (Eide bygg eldre enn 31.12.2014)</t>
  </si>
  <si>
    <t>BASISBUDSJETT 2019 (Eide bygg 01.01.2015-31.12.2018)</t>
  </si>
  <si>
    <t>BASISBUDSJETT 2019 (Leide bygg)</t>
  </si>
  <si>
    <t>UFORDELT BUDSJETT ANSVAR 1094 (bygg som ikke er i bruk)</t>
  </si>
  <si>
    <t>SUM BASIS INTERNHUSLEIE 2019</t>
  </si>
  <si>
    <t>KOSTNADER TIL INTERNHUSLEIE, NYE BYGG I PERIODEN (Inkl helårsvirkning)</t>
  </si>
  <si>
    <t>KOSTNADER TIL RENHOLD, NYE BYGG I PERIODE</t>
  </si>
  <si>
    <t>KOSTNADER TIL ENERGI, NYE BYGG I PERIODEN</t>
  </si>
  <si>
    <t>Sum ordinær gunnskoleopplæring inkl fellesutgifter</t>
  </si>
  <si>
    <t>SAMLET KOSTNAD FOR NYE BYGG I PERIODEN</t>
  </si>
  <si>
    <t>Sum barnehagetjenester</t>
  </si>
  <si>
    <t>Sum helsetjensester, PPT, barne- og familieenheten</t>
  </si>
  <si>
    <t>SAMLET KOSTNAD RENHOLD OG ENERGI, NYE BYGG</t>
  </si>
  <si>
    <t>Sum omsorgstjenester</t>
  </si>
  <si>
    <t>Sum enhet for funksjonshemmede</t>
  </si>
  <si>
    <t xml:space="preserve">KPI-JUSTERING, ELDRE BYGG </t>
  </si>
  <si>
    <t>Sum helse- og rehabiliteringstjenester</t>
  </si>
  <si>
    <t>SUM INTERNHUSLEIE, ELDRE BYGG, INKL KPI-JUSTERING</t>
  </si>
  <si>
    <t>Sum sosiale tjenester</t>
  </si>
  <si>
    <t xml:space="preserve">KPI-JUSTERING, NYE BYGG </t>
  </si>
  <si>
    <t>Sum kultur, bibliotek og kulturskole</t>
  </si>
  <si>
    <t>SUM INTERNHUSLEIE, NYE BYGG, INKL KPI-JUSTERING</t>
  </si>
  <si>
    <t>Sum teknisk</t>
  </si>
  <si>
    <t xml:space="preserve">KPI-JUSTERING, LEIDE BYGG </t>
  </si>
  <si>
    <t>Sum kommune felles</t>
  </si>
  <si>
    <t>SOLGTE BYGG (2016-2017)</t>
  </si>
  <si>
    <t>Kommer med to ganger? Linje 11 + 23 Tatt ut fra linje 11  27.07.17 GÅ</t>
  </si>
  <si>
    <t>Sum eiendom (korrigeringer)</t>
  </si>
  <si>
    <t>SUM INTERNHUSLEIE, LEIDE BYGG, INKL KPI-JUSTERING</t>
  </si>
  <si>
    <t>KPI-justering</t>
  </si>
  <si>
    <t>SAMLET KOSTNAD INTERNHUSLEIE, BASIS + NYE BYGG + Diverse tiltak</t>
  </si>
  <si>
    <t>NETTO SAMLET KOSTNAD INTERNHUSLEIE, BASIS + NYE BYGG</t>
  </si>
  <si>
    <t>Renter ansvarlig lån Sandnes eiendomsselskap KF, NYE BYGG</t>
  </si>
  <si>
    <t>Avdrag ansvarlig lån Sandnes eiendomsselskap KF, NYE BYGG</t>
  </si>
  <si>
    <t>NETTO SAMLET KOSTNAD FOR NYE BYGG I PERIODEN (INTERNHUSLEIEKOSTNADER - KAPITALINNTEKTER)</t>
  </si>
  <si>
    <t>Kostnadstype</t>
  </si>
  <si>
    <t>VEDTATT BUDSJETT 2014</t>
  </si>
  <si>
    <t>I1</t>
  </si>
  <si>
    <t>Renter ansvarlig lån Sandnes eiendomsselskap KF</t>
  </si>
  <si>
    <t>Guri: oppdatert 05.09.2019</t>
  </si>
  <si>
    <t>I2</t>
  </si>
  <si>
    <t>Avdrag ansvarlig lån Sandnes eiendomsselskap KF</t>
  </si>
  <si>
    <t>I3</t>
  </si>
  <si>
    <t>Renter ansvarlig lån Sandnes eiendomsselskap KF (ut over internhusleie)</t>
  </si>
  <si>
    <t>hvor føres disse tiltakene? Lagt inn i sumlinje for kapitalinntekter fra SEKF</t>
  </si>
  <si>
    <t>I4</t>
  </si>
  <si>
    <t>Avdrag ansvarlig lån Sandnes eiendomsselskap KF (ut over internhusleie)</t>
  </si>
  <si>
    <t>Oppvekst skoler</t>
  </si>
  <si>
    <t>SKOLE</t>
  </si>
  <si>
    <t>Figgjo skole, ferdig april 2019</t>
  </si>
  <si>
    <t>INTERNHUSLEIE</t>
  </si>
  <si>
    <t>ØP 19-22</t>
  </si>
  <si>
    <t>S</t>
  </si>
  <si>
    <t>RENHOLD</t>
  </si>
  <si>
    <t>ENERGI</t>
  </si>
  <si>
    <t>Figgjo skole, ferdig april 2019, reduksj. eksist. skole</t>
  </si>
  <si>
    <t>Skeiane ungdomsskole, ferdig april 2019</t>
  </si>
  <si>
    <t>Skeiane ungdomsskole, delvis ferdig aug 2018</t>
  </si>
  <si>
    <t>Nye elevplasser Sandved</t>
  </si>
  <si>
    <t>Ny ungdomsskole Bogafjell</t>
  </si>
  <si>
    <t>Ny idrettshall Høyland ungdomsskole</t>
  </si>
  <si>
    <t>Ny idrettshall Høyland ungdomsskole, reduksj. eksist. bygg</t>
  </si>
  <si>
    <t>Nybygg og utvidelse Sviland skule</t>
  </si>
  <si>
    <t>Nybygg og utvidelse Sviland skule, reduksj. eksist. skole</t>
  </si>
  <si>
    <t>Sviland skule - gymnastikkfasiliteter</t>
  </si>
  <si>
    <t>Malmheim skole, utvidelse/modernisering</t>
  </si>
  <si>
    <t>Malmheim skole, utvidelse/modernisering, reduksjon eksist bygg</t>
  </si>
  <si>
    <t>Skaarlia skole</t>
  </si>
  <si>
    <t>Skaarlia flerbrukshall</t>
  </si>
  <si>
    <t>Altona skole og ressurssenter- flytte til Soma skole</t>
  </si>
  <si>
    <t>Innleie av nye lokaler til SLS/FBU/Flyktningenheten</t>
  </si>
  <si>
    <t>Ombygging Stangeland skole</t>
  </si>
  <si>
    <t>Ombygging og utvidelse Sandved skole</t>
  </si>
  <si>
    <t>TOTALSUM OPPVEKST SKOLER</t>
  </si>
  <si>
    <t>Brueland barnehage, utvidelse og ombygging</t>
  </si>
  <si>
    <t>B</t>
  </si>
  <si>
    <t xml:space="preserve">Langgata 72, helsestasjon </t>
  </si>
  <si>
    <t>Samlokalisering av BFE i Strangt 147</t>
  </si>
  <si>
    <t>Samlokalisering av BFE i Strangt 148</t>
  </si>
  <si>
    <t>Samlokalisering av BFE i Strangt 149</t>
  </si>
  <si>
    <t>TOTALSUM OPPVEKST BARN OG UNGE</t>
  </si>
  <si>
    <t>Levekår felles og samordningstjenester</t>
  </si>
  <si>
    <t>Omsorgstjenester</t>
  </si>
  <si>
    <t>LEVEKÅR</t>
  </si>
  <si>
    <t>Omsorgsboliger med heldøgnstjenester for 6 personer med store adferdsutfordringer</t>
  </si>
  <si>
    <t>L</t>
  </si>
  <si>
    <t>Nye sykehjemsplasser Lunde</t>
  </si>
  <si>
    <t>ØP 19-22 REKALK</t>
  </si>
  <si>
    <t>Bofellesskap for 9 unge fungsjonshemmede, Skeianegaten</t>
  </si>
  <si>
    <t>Boliger for mennesker med funksjonsnedsettelser, 8 boenheter fer 2021, tomt Olsokveien</t>
  </si>
  <si>
    <t>Nytt aktivitetssenter, erstatter Vågsgjerd</t>
  </si>
  <si>
    <t>Nytt aktivitetssenter, erstatter Vågsgjerd reduksj eksist. bygg</t>
  </si>
  <si>
    <t>Kjøp av to leiligheter til boliger for funksjonshemmede i Olsokveien</t>
  </si>
  <si>
    <t>Ombygging Skeianegt. 14</t>
  </si>
  <si>
    <t>Utvidet leieareavtale Vågsgjerd aktivitetsenter</t>
  </si>
  <si>
    <t>Foreldreinitiativ 3</t>
  </si>
  <si>
    <t>Planlegge neste bolig for peroner med funkjonsnedsettelser</t>
  </si>
  <si>
    <t>Endret? Ja, nå med tilskudd</t>
  </si>
  <si>
    <t>Internhusleieberegning</t>
  </si>
  <si>
    <t>Endret? Nei</t>
  </si>
  <si>
    <t>Felles arealer Prestholen</t>
  </si>
  <si>
    <t>Tiltakslisten</t>
  </si>
  <si>
    <t>Rusvernet Soma, internhusleie (Helårsvirkning)</t>
  </si>
  <si>
    <t>Rusvernet Soma, energikostnader</t>
  </si>
  <si>
    <t>Bofellesskap for peroner med psykisk lidelse, 9 plasser</t>
  </si>
  <si>
    <t>Stod under EFF i tiltakslisten..</t>
  </si>
  <si>
    <t>Planlegge neste bolig psykisk lidelse</t>
  </si>
  <si>
    <t>ØP 19-23</t>
  </si>
  <si>
    <t>ØP 19-24</t>
  </si>
  <si>
    <t>Utestue Lutsiveien</t>
  </si>
  <si>
    <t>Ombygging boligrigg på Soma</t>
  </si>
  <si>
    <t>Ombygging boligrigg på Soma, redusert kostnad eksist bygg?</t>
  </si>
  <si>
    <t>Småhus Vatne/ Dybingen, helårsvirkning</t>
  </si>
  <si>
    <t>Kleivane Småhus, helårsvirkning</t>
  </si>
  <si>
    <t>Småhus to hvert år</t>
  </si>
  <si>
    <t>Småhus to hvert år 2022</t>
  </si>
  <si>
    <t>Småhus to hvert år 2023</t>
  </si>
  <si>
    <t>Boliger for vanskeligstilte (Helårsvirkning)</t>
  </si>
  <si>
    <t>Tun ubestemt tomt</t>
  </si>
  <si>
    <t>Tun Håbafjell/ brattebø småhus</t>
  </si>
  <si>
    <t>Syrinveien, helårseffekt</t>
  </si>
  <si>
    <t>Boligsosial handlingsplan 2022,</t>
  </si>
  <si>
    <t>Boligsosial handlingsplan 2023</t>
  </si>
  <si>
    <t>Boligsosial handlingsplan 2024</t>
  </si>
  <si>
    <t>TOTALSUM LEVEKÅR</t>
  </si>
  <si>
    <t>Kultur og byutvikling felles</t>
  </si>
  <si>
    <t>Byutvikling</t>
  </si>
  <si>
    <t/>
  </si>
  <si>
    <t>Lura bydelshus scene</t>
  </si>
  <si>
    <t>Langgata 76</t>
  </si>
  <si>
    <t>ØP 18-21</t>
  </si>
  <si>
    <t>Sjekkes</t>
  </si>
  <si>
    <t>TOTALSUM KULTUR OG BYUTVIKLING</t>
  </si>
  <si>
    <t>Iglemyr svømmehall</t>
  </si>
  <si>
    <t>Giskehallen svømmehall og Giskehallen 1 (rehabilitering)</t>
  </si>
  <si>
    <t>ØP 17-20 REKALK</t>
  </si>
  <si>
    <t>Giskehallen , tribune</t>
  </si>
  <si>
    <t>ØP 17-20</t>
  </si>
  <si>
    <t>Tatt ut</t>
  </si>
  <si>
    <t>VAR</t>
  </si>
  <si>
    <t>TOTALSUM TEKNISK</t>
  </si>
  <si>
    <t>BHT</t>
  </si>
  <si>
    <t>Innleide lokaler IT-avdelingen</t>
  </si>
  <si>
    <t>Rådmannens staber</t>
  </si>
  <si>
    <t>Nytt rådhus (Helårsvirkning)</t>
  </si>
  <si>
    <t>Forutsetter bj i 2. perioderapport</t>
  </si>
  <si>
    <t xml:space="preserve">Nytt rådhus, reduksj. eksist. bygg </t>
  </si>
  <si>
    <t>Sentrum parkeringshus</t>
  </si>
  <si>
    <t>Her mangler det tall. Tidligere innlagte tall fjernet etter avtale med Sidsel Haugen, jfr K. Goa</t>
  </si>
  <si>
    <t>Videreføring av vedlikeholds-/KPI-tilskudd fra  2019</t>
  </si>
  <si>
    <t>Oppdatert 27.07.17</t>
  </si>
  <si>
    <t>KPI-justering, eksisterende bygg  2020</t>
  </si>
  <si>
    <t>KPI-justering, leide bygg 2020</t>
  </si>
  <si>
    <t>Reduksjon i internhusleie, nedbetaling på eldre bygg</t>
  </si>
  <si>
    <t>Diverse tiltak, rehabilitering, miljøtiltak osv</t>
  </si>
  <si>
    <t>Økt FDV-sats eldre bygg, fra kr 110 til kr 200 per m2</t>
  </si>
  <si>
    <t>Solgte bygg aug 2018- aug 2019</t>
  </si>
  <si>
    <t>INTERNHUSLEIEN</t>
  </si>
  <si>
    <t>Småhus to hvert år 2020</t>
  </si>
  <si>
    <t>Småhus to hvert år 2021</t>
  </si>
  <si>
    <t>Tun Lura Nord ferdig 2020</t>
  </si>
  <si>
    <t>Boligsosial handlingsplan 2020,</t>
  </si>
  <si>
    <t>Boligsosial handlingsplan 2021,</t>
  </si>
  <si>
    <t>Nye lokaler for L54</t>
  </si>
  <si>
    <t>Nye lokaler for L55</t>
  </si>
  <si>
    <t>Nye lokaler for L56</t>
  </si>
  <si>
    <t>Bygg</t>
  </si>
  <si>
    <t>Prosjektnummer</t>
  </si>
  <si>
    <t>Internhusleie/ renhold/ energi</t>
  </si>
  <si>
    <t>Internhusleie, renhold og energi</t>
  </si>
  <si>
    <t>Anslag kapitalkostnad</t>
  </si>
  <si>
    <t>Korrigering innleide bygg</t>
  </si>
  <si>
    <t>Diverse tiltak, rehabilitering, miljøtiltak</t>
  </si>
  <si>
    <t>KPI-justering 2017</t>
  </si>
  <si>
    <t>KPI-justering 2018</t>
  </si>
  <si>
    <t>Innleie av nye lokaler i for SLS/FBU/FlyktningenhetenHavneparken (økning fra dagens innleiekostnader)</t>
  </si>
  <si>
    <t>OV6</t>
  </si>
  <si>
    <t>Brueland barnehage, ombygging og utvidelse</t>
  </si>
  <si>
    <t>Langgata 72, helsestasjon</t>
  </si>
  <si>
    <t>OV21</t>
  </si>
  <si>
    <t>Nye sykehjemsplasser Sandnes</t>
  </si>
  <si>
    <t>Sum sykehjemstjenester</t>
  </si>
  <si>
    <t>EFF</t>
  </si>
  <si>
    <t>Bofellesskap for 9 unge funksjonshemmede, Skeianegaten</t>
  </si>
  <si>
    <t>Omsorgsboliger 6 personer med store adferdsutfordringer</t>
  </si>
  <si>
    <t>H5</t>
  </si>
  <si>
    <t>2104900</t>
  </si>
  <si>
    <t>H14</t>
  </si>
  <si>
    <t>Boligsosial handlingsplan 2021</t>
  </si>
  <si>
    <t>Boligsosial handlingsplan 2022</t>
  </si>
  <si>
    <t>Foaje, Sandnes kulturhus</t>
  </si>
  <si>
    <t>K2</t>
  </si>
  <si>
    <t>T10</t>
  </si>
  <si>
    <t>Sum internhusleie</t>
  </si>
  <si>
    <t>Sum renhold</t>
  </si>
  <si>
    <t>Sum energi</t>
  </si>
  <si>
    <t>Samlet sum alle</t>
  </si>
  <si>
    <t>Kleivane skole</t>
  </si>
  <si>
    <t>Kleivane flerbrukshall</t>
  </si>
  <si>
    <t>Malmheim skole, utvidelse/modernisering, reduksj eksist bygg</t>
  </si>
  <si>
    <t>Ombygging og utvidelse av Sandved skole</t>
  </si>
  <si>
    <t>Økte kostnader til samlokalisering BFE i Strandgt 147 )innleid bygg)</t>
  </si>
  <si>
    <t>Ny helsestasjon i Hoveveien 30 (Innleid bygg)</t>
  </si>
  <si>
    <t>Boligsosial handlingsplan 2020</t>
  </si>
  <si>
    <t>Småhus, 2024</t>
  </si>
  <si>
    <t>Aktivitetshus Lura</t>
  </si>
  <si>
    <t>Austrått svømmehall</t>
  </si>
  <si>
    <t>Åustrått svømmehall</t>
  </si>
  <si>
    <t>Strategi- og handlingsplan mot skadelige arter</t>
  </si>
  <si>
    <t>Rogaland brann og redning IKS, Nye Sandnes tilskudd P13 fra handlings og økonomiplan 2021-2024</t>
  </si>
  <si>
    <t>Rogaland brann og redning IKS, Nye Sandnes tilskudd, F6 fra handlings og økonomiplan 2021-2024</t>
  </si>
  <si>
    <t>Endret 5 okt</t>
  </si>
  <si>
    <t>Rogaland brann og redning IKS (RBK)</t>
  </si>
  <si>
    <t>TF oppdatert 04.10.2021</t>
  </si>
  <si>
    <t>nytt 7 okt</t>
  </si>
  <si>
    <t>Tilskudd Barn og unges kommunestyre</t>
  </si>
  <si>
    <t>SM oppdatert 07.10.2021</t>
  </si>
  <si>
    <t>Ragnhild oppdatert 08.10.2021</t>
  </si>
  <si>
    <t>En ekstra skoletime i naturfag på ungdomstrinnet</t>
  </si>
  <si>
    <t>Økt innslagspunkt refusjon ressurskrevende</t>
  </si>
  <si>
    <t>Ny 6 avdeling ferdig til august 2024?, 90 nye barn. Økt pris i statsbudsjettet spises opp av moderasjonene</t>
  </si>
  <si>
    <t xml:space="preserve">Digitalisering av ansettelsesprosesser </t>
  </si>
  <si>
    <t>nytt 15 okt</t>
  </si>
  <si>
    <t>Økt fra 950 pga barnekoordinator i statsbudsjettet</t>
  </si>
  <si>
    <t>Ingen endrng i statsbudsjettet.</t>
  </si>
  <si>
    <t>Hege oppdatert 13.10.2021</t>
  </si>
  <si>
    <t>Kontrollutvalget</t>
  </si>
  <si>
    <t>Nytt 14 okt</t>
  </si>
  <si>
    <t>Oppdatert etter statsbudsjett, reduksjon kapitaltilskudd og pensjonssats</t>
  </si>
  <si>
    <t>Fra statsbudsjettet.</t>
  </si>
  <si>
    <t>En økning i rammetilskuddet på kr 100 mill = om lag kr 1,5 mill til Sandnes kommune. Venter på retningslinjer fra HDO. Over 18 år = mestringsenheten. Under 18 år = oppvekst med BFE?</t>
  </si>
  <si>
    <t>Kr 75 mill til kommunene = om lag kr 1,050 til Sandnes kommune - til helsestasjonstjenester - 2 årsverk</t>
  </si>
  <si>
    <t>Øyvind oppdatert 18.10.2021 - deflator 2,5</t>
  </si>
  <si>
    <t>Samordning, nye årsverk koordinerende enhet</t>
  </si>
  <si>
    <t>Rammetilskuddet økes med kr 69 mill = om lag kr 1 mill for Sandnes</t>
  </si>
  <si>
    <t>Tilrettelegging for flere barnehagelærere i grunnbemanningen</t>
  </si>
  <si>
    <t>SM oppdatert 18.10.2021</t>
  </si>
  <si>
    <t>PPT - Selvfinansiering av årsverk</t>
  </si>
  <si>
    <t>BFE - Tilskudd, kommunalt rusarbeid 6 stillinger. Opptrappingsplan</t>
  </si>
  <si>
    <t>Helsestasjonstjenester, psykisk helse, lavterskeltilbud i kommunene</t>
  </si>
  <si>
    <t>Rusreform, opprettelse av rådgivende enhet for russaker</t>
  </si>
  <si>
    <t>NAV, økte sosialhjelpsutgifter som følge av redusert dagsats for tiltakspenger</t>
  </si>
  <si>
    <t>BFE - Barnevernsreform</t>
  </si>
  <si>
    <t>F37</t>
  </si>
  <si>
    <t>Økt budsjett til vedlikehold</t>
  </si>
  <si>
    <t>Helsestasjonstjenester - Psykisk helse, lavterskeltilbud</t>
  </si>
  <si>
    <t xml:space="preserve">Prosjekt rettet mot yngre unge grunnet covid-19 </t>
  </si>
  <si>
    <t>BFE, tilskudd, kommunalt rusarbeid 6 stillinger. Opptrappingsplan</t>
  </si>
  <si>
    <t>BFE, Barnevernsreform</t>
  </si>
  <si>
    <t>BFE, 3 årsverk i avdeling undersøkelse oppfølging</t>
  </si>
  <si>
    <t xml:space="preserve">PPT &amp; BFE, årlig lisensavgift for journalsystem </t>
  </si>
  <si>
    <t>Oppvekstadministrativt (IST)- og timeplansystem, drift og utvikling</t>
  </si>
  <si>
    <t>Lærlingordning</t>
  </si>
  <si>
    <t>Studieturer for utvalgene i 2024</t>
  </si>
  <si>
    <t xml:space="preserve">To årsverk rådgiver lønn, dekkes av fond på området </t>
  </si>
  <si>
    <t>Ekstra boveileder</t>
  </si>
  <si>
    <t>Økt grunnbemanning sykehjem, prøveprosjekt</t>
  </si>
  <si>
    <t>Redusert vikarbruk, effekt grunnbemanning</t>
  </si>
  <si>
    <t>Hele stillinger videreføres, også for andre enheter</t>
  </si>
  <si>
    <t>Tilskudd til lag og foreninger (Kreftomsorg, ME, Hjerte for Sandnes, pensjonistforbundet og frilager)</t>
  </si>
  <si>
    <t>Driftstilskudd lag og foreninger</t>
  </si>
  <si>
    <t>Tilskudd til kulturtiltak</t>
  </si>
  <si>
    <t>Opera Rogaland IKS</t>
  </si>
  <si>
    <t>Tour of Norway</t>
  </si>
  <si>
    <t>Styrking skole</t>
  </si>
  <si>
    <t>Generell innsparing oppvekst barn og unge - utgår</t>
  </si>
  <si>
    <t>Kommunale barnehager, foreldrebetaling</t>
  </si>
  <si>
    <t>Videreføring tiltak rettet mot barn og unge</t>
  </si>
  <si>
    <t>Reversering ekstra naturfagstime</t>
  </si>
  <si>
    <t>Tilskudd idrettsformål arrangementer, aktivitet og anlegg</t>
  </si>
  <si>
    <t>Velforeningspott - Bidrag vedlikehold lek/grønt</t>
  </si>
  <si>
    <t>Støtteordning separering vann og avløp</t>
  </si>
  <si>
    <t>Drift badeplasser</t>
  </si>
  <si>
    <t>Styrket vedlikehold</t>
  </si>
  <si>
    <t>Mobil forhåndsstemming (reverserer F26)</t>
  </si>
  <si>
    <t>Økte skatteinntekter</t>
  </si>
  <si>
    <t>Økt skatteanslag</t>
  </si>
  <si>
    <t>Redusert rammetilskudd</t>
  </si>
  <si>
    <t>Endrede renter kommunedirektørens tilleggsforslag</t>
  </si>
  <si>
    <t>Renter endrede investeringer</t>
  </si>
  <si>
    <t>Endret avdrag kommunedirektørens tilleggsforslag</t>
  </si>
  <si>
    <t>Avdrag endrede investeringer</t>
  </si>
  <si>
    <t>Overføring drift til investering</t>
  </si>
  <si>
    <t>Overføres investeringsbudsjettet</t>
  </si>
  <si>
    <t>Krafttak for inkluderende musikk</t>
  </si>
  <si>
    <t>TP1</t>
  </si>
  <si>
    <t>P20</t>
  </si>
  <si>
    <t>TP2</t>
  </si>
  <si>
    <t>I5</t>
  </si>
  <si>
    <t>I6</t>
  </si>
  <si>
    <t>I7</t>
  </si>
  <si>
    <t>I8</t>
  </si>
  <si>
    <t>I9</t>
  </si>
  <si>
    <t>P22</t>
  </si>
  <si>
    <t>P23</t>
  </si>
  <si>
    <t>I10</t>
  </si>
  <si>
    <t>P21</t>
  </si>
  <si>
    <t>P24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</si>
  <si>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</si>
  <si>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</si>
  <si>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</si>
  <si>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</si>
  <si>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</si>
  <si>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</si>
  <si>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</si>
  <si>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</si>
  <si>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</si>
  <si>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</si>
  <si>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</si>
  <si>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TP3</t>
  </si>
  <si>
    <t>P25</t>
  </si>
  <si>
    <t>I22</t>
  </si>
  <si>
    <t>I23</t>
  </si>
  <si>
    <t>I24</t>
  </si>
  <si>
    <t>I25</t>
  </si>
  <si>
    <t>I26</t>
  </si>
  <si>
    <t>I27</t>
  </si>
  <si>
    <t>OV1</t>
  </si>
  <si>
    <t>OV2</t>
  </si>
  <si>
    <t>OV3</t>
  </si>
  <si>
    <t>OV4</t>
  </si>
  <si>
    <t>OV5</t>
  </si>
  <si>
    <t>OV7</t>
  </si>
  <si>
    <t>OV8</t>
  </si>
  <si>
    <t>TP4</t>
  </si>
  <si>
    <t>OV9</t>
  </si>
  <si>
    <t>OV10</t>
  </si>
  <si>
    <t>OV11</t>
  </si>
  <si>
    <t>OV12</t>
  </si>
  <si>
    <t>OV13</t>
  </si>
  <si>
    <t>OV14</t>
  </si>
  <si>
    <t>OV15</t>
  </si>
  <si>
    <t>P1</t>
  </si>
  <si>
    <t>OV16</t>
  </si>
  <si>
    <t>OV17</t>
  </si>
  <si>
    <t>TP5</t>
  </si>
  <si>
    <t>OV18</t>
  </si>
  <si>
    <t>P2</t>
  </si>
  <si>
    <t>OV19</t>
  </si>
  <si>
    <t>OV20</t>
  </si>
  <si>
    <t>OV22</t>
  </si>
  <si>
    <t>OV23</t>
  </si>
  <si>
    <t>OV24</t>
  </si>
  <si>
    <t>OV25</t>
  </si>
  <si>
    <t>OV26</t>
  </si>
  <si>
    <t>OV27</t>
  </si>
  <si>
    <t>P3</t>
  </si>
  <si>
    <t>OV28</t>
  </si>
  <si>
    <t>OV29</t>
  </si>
  <si>
    <t>OV30</t>
  </si>
  <si>
    <t>OV31</t>
  </si>
  <si>
    <t>H1</t>
  </si>
  <si>
    <t>H2</t>
  </si>
  <si>
    <t>H3</t>
  </si>
  <si>
    <t>H4</t>
  </si>
  <si>
    <t>H6</t>
  </si>
  <si>
    <t>H7</t>
  </si>
  <si>
    <t>H8</t>
  </si>
  <si>
    <t>H9</t>
  </si>
  <si>
    <t>H10</t>
  </si>
  <si>
    <t>H11</t>
  </si>
  <si>
    <t>H12</t>
  </si>
  <si>
    <t>P16</t>
  </si>
  <si>
    <t>P7</t>
  </si>
  <si>
    <t>H13</t>
  </si>
  <si>
    <t>H15</t>
  </si>
  <si>
    <t>H16</t>
  </si>
  <si>
    <t>H17</t>
  </si>
  <si>
    <t>H18</t>
  </si>
  <si>
    <t>H19</t>
  </si>
  <si>
    <t>H20</t>
  </si>
  <si>
    <t>H21</t>
  </si>
  <si>
    <t>P4</t>
  </si>
  <si>
    <t>H22</t>
  </si>
  <si>
    <t>H23</t>
  </si>
  <si>
    <t>H24</t>
  </si>
  <si>
    <t>P5</t>
  </si>
  <si>
    <t>P6</t>
  </si>
  <si>
    <t>K1</t>
  </si>
  <si>
    <t>K3</t>
  </si>
  <si>
    <t>K4</t>
  </si>
  <si>
    <t>K5</t>
  </si>
  <si>
    <t>K6</t>
  </si>
  <si>
    <t>K7</t>
  </si>
  <si>
    <t>P8</t>
  </si>
  <si>
    <t>P9</t>
  </si>
  <si>
    <t>P11</t>
  </si>
  <si>
    <t>P12</t>
  </si>
  <si>
    <t>T1</t>
  </si>
  <si>
    <t>T2</t>
  </si>
  <si>
    <t>T3</t>
  </si>
  <si>
    <t>T4</t>
  </si>
  <si>
    <t>T5</t>
  </si>
  <si>
    <t>P15</t>
  </si>
  <si>
    <t>T6</t>
  </si>
  <si>
    <t>T7</t>
  </si>
  <si>
    <t>T8</t>
  </si>
  <si>
    <t>T9</t>
  </si>
  <si>
    <t>T11</t>
  </si>
  <si>
    <t>T12</t>
  </si>
  <si>
    <t>T13</t>
  </si>
  <si>
    <t>T14</t>
  </si>
  <si>
    <t>T15</t>
  </si>
  <si>
    <t>T16</t>
  </si>
  <si>
    <t>T17</t>
  </si>
  <si>
    <t>P10</t>
  </si>
  <si>
    <t>P14</t>
  </si>
  <si>
    <t>T18</t>
  </si>
  <si>
    <t>P13</t>
  </si>
  <si>
    <t>O1</t>
  </si>
  <si>
    <t>O2</t>
  </si>
  <si>
    <t>O3</t>
  </si>
  <si>
    <t>O4</t>
  </si>
  <si>
    <t>O5</t>
  </si>
  <si>
    <t>Ø1</t>
  </si>
  <si>
    <t>Ø2</t>
  </si>
  <si>
    <t>Ø3</t>
  </si>
  <si>
    <t>Ø4</t>
  </si>
  <si>
    <t>Ø5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</si>
  <si>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</si>
  <si>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</si>
  <si>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</si>
  <si>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</si>
  <si>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</si>
  <si>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</si>
  <si>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</si>
  <si>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</si>
  <si>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</si>
  <si>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</si>
  <si>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</si>
  <si>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</si>
  <si>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</si>
  <si>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</si>
  <si>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</si>
  <si>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</si>
  <si>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</si>
  <si>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</si>
  <si>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P19</t>
  </si>
  <si>
    <t>F19</t>
  </si>
  <si>
    <t>F20</t>
  </si>
  <si>
    <t>F21</t>
  </si>
  <si>
    <t>F22</t>
  </si>
  <si>
    <t>F23</t>
  </si>
  <si>
    <t>F24</t>
  </si>
  <si>
    <t>F25</t>
  </si>
  <si>
    <t>P17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</si>
  <si>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</si>
  <si>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</si>
  <si>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</si>
  <si>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</si>
  <si>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</si>
  <si>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</si>
  <si>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</si>
  <si>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</si>
  <si>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</si>
  <si>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</si>
  <si>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P18</t>
  </si>
  <si>
    <t>F36</t>
  </si>
  <si>
    <t>DRIFTSTILTAK, ØKONOMIPLAN 2022-2025 - VEDTATT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</si>
</sst>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\-#,##0\ "/>
    <numFmt numFmtId="167" formatCode="#,##0.00_ ;\-#,##0.00\ "/>
    <numFmt numFmtId="168" formatCode="_ * #,##0.0_ ;_ * \-#,##0.0_ ;_ * &quot;-&quot;??_ ;_ @_ "/>
    <numFmt numFmtId="169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0062AB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rgb="FF0062AB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62AB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0"/>
      <name val="Calibri"/>
      <family val="2"/>
      <scheme val="minor"/>
    </font>
    <font>
      <i/>
      <sz val="11"/>
      <color rgb="FF0062AB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color theme="0" tint="-0.499984740745262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9"/>
      <color rgb="FF0062AB"/>
      <name val="Calibri"/>
      <family val="2"/>
      <scheme val="minor"/>
    </font>
    <font>
      <sz val="8"/>
      <color rgb="FF0062AB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2"/>
      <color rgb="FF343434"/>
      <name val="Arial"/>
      <family val="2"/>
    </font>
    <font>
      <i/>
      <sz val="9"/>
      <color rgb="FF0062AB"/>
      <name val="Calibri"/>
      <family val="2"/>
      <scheme val="minor"/>
    </font>
    <font>
      <b/>
      <sz val="1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trike/>
      <sz val="8"/>
      <color theme="1"/>
      <name val="Calibri"/>
      <family val="2"/>
      <scheme val="minor"/>
    </font>
    <font>
      <strike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C00000"/>
      <name val="Arial"/>
      <family val="2"/>
    </font>
    <font>
      <sz val="10"/>
      <name val="Arial"/>
      <family val="2"/>
    </font>
    <font>
      <sz val="12"/>
      <color rgb="FF34343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rgb="FF0062AB"/>
      <name val="Calibr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rgb="FF0062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</cellStyleXfs>
  <cellXfs count="663">
    <xf numFmtId="0" fontId="0" fillId="0" borderId="0" xfId="0"/>
    <xf numFmtId="0" fontId="4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165" fontId="0" fillId="3" borderId="0" xfId="1" applyNumberFormat="1" applyFont="1" applyFill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5" fontId="4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5" fontId="0" fillId="3" borderId="2" xfId="1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165" fontId="7" fillId="3" borderId="3" xfId="1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165" fontId="0" fillId="3" borderId="3" xfId="1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165" fontId="1" fillId="4" borderId="4" xfId="1" applyNumberFormat="1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3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10" fillId="3" borderId="0" xfId="1" applyNumberFormat="1" applyFont="1" applyFill="1" applyAlignment="1">
      <alignment vertical="center"/>
    </xf>
    <xf numFmtId="165" fontId="10" fillId="3" borderId="1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5" fontId="17" fillId="2" borderId="0" xfId="1" applyNumberFormat="1" applyFont="1" applyFill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165" fontId="15" fillId="3" borderId="1" xfId="1" applyNumberFormat="1" applyFont="1" applyFill="1" applyBorder="1" applyAlignment="1">
      <alignment horizontal="right" vertical="center"/>
    </xf>
    <xf numFmtId="165" fontId="19" fillId="2" borderId="0" xfId="1" applyNumberFormat="1" applyFont="1" applyFill="1" applyAlignment="1">
      <alignment vertical="center"/>
    </xf>
    <xf numFmtId="165" fontId="15" fillId="3" borderId="0" xfId="1" applyNumberFormat="1" applyFont="1" applyFill="1" applyAlignment="1">
      <alignment vertical="center"/>
    </xf>
    <xf numFmtId="165" fontId="20" fillId="3" borderId="1" xfId="1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65" fontId="15" fillId="5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5" fillId="5" borderId="1" xfId="1" applyNumberFormat="1" applyFont="1" applyFill="1" applyBorder="1" applyAlignment="1">
      <alignment horizontal="right" vertical="center"/>
    </xf>
    <xf numFmtId="165" fontId="15" fillId="0" borderId="1" xfId="1" applyNumberFormat="1" applyFont="1" applyBorder="1" applyAlignment="1">
      <alignment horizontal="right" vertical="center"/>
    </xf>
    <xf numFmtId="165" fontId="15" fillId="0" borderId="2" xfId="1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5" fontId="27" fillId="3" borderId="1" xfId="1" applyNumberFormat="1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28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165" fontId="29" fillId="0" borderId="1" xfId="1" applyNumberFormat="1" applyFont="1" applyBorder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10" fillId="0" borderId="0" xfId="0" applyFont="1" applyAlignment="1">
      <alignment vertical="center"/>
    </xf>
    <xf numFmtId="0" fontId="10" fillId="0" borderId="0" xfId="0" applyFont="1"/>
    <xf numFmtId="165" fontId="0" fillId="0" borderId="0" xfId="0" applyNumberFormat="1" applyAlignment="1">
      <alignment vertical="center"/>
    </xf>
    <xf numFmtId="0" fontId="18" fillId="0" borderId="0" xfId="0" applyFont="1" applyAlignment="1">
      <alignment vertical="center" wrapText="1"/>
    </xf>
    <xf numFmtId="165" fontId="0" fillId="0" borderId="2" xfId="1" applyNumberFormat="1" applyFont="1" applyBorder="1" applyAlignment="1">
      <alignment horizontal="center" vertical="center"/>
    </xf>
    <xf numFmtId="3" fontId="16" fillId="0" borderId="5" xfId="1" applyNumberFormat="1" applyFont="1" applyBorder="1" applyAlignment="1">
      <alignment vertical="center" wrapText="1"/>
    </xf>
    <xf numFmtId="0" fontId="10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165" fontId="0" fillId="6" borderId="8" xfId="0" applyNumberFormat="1" applyFill="1" applyBorder="1" applyAlignment="1">
      <alignment vertical="center"/>
    </xf>
    <xf numFmtId="165" fontId="0" fillId="5" borderId="1" xfId="1" applyNumberFormat="1" applyFont="1" applyFill="1" applyBorder="1" applyAlignment="1">
      <alignment vertical="center"/>
    </xf>
    <xf numFmtId="165" fontId="15" fillId="8" borderId="1" xfId="1" applyNumberFormat="1" applyFont="1" applyFill="1" applyBorder="1" applyAlignment="1">
      <alignment vertical="center"/>
    </xf>
    <xf numFmtId="165" fontId="15" fillId="8" borderId="1" xfId="1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0" xfId="1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5" fontId="0" fillId="3" borderId="1" xfId="1" applyNumberFormat="1" applyFont="1" applyFill="1" applyBorder="1" applyAlignment="1">
      <alignment vertical="center" wrapText="1"/>
    </xf>
    <xf numFmtId="165" fontId="0" fillId="4" borderId="4" xfId="1" applyNumberFormat="1" applyFont="1" applyFill="1" applyBorder="1" applyAlignment="1">
      <alignment vertical="center"/>
    </xf>
    <xf numFmtId="0" fontId="3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0" fillId="10" borderId="4" xfId="0" applyFill="1" applyBorder="1" applyAlignment="1">
      <alignment vertical="center"/>
    </xf>
    <xf numFmtId="0" fontId="7" fillId="10" borderId="4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167" fontId="7" fillId="10" borderId="4" xfId="1" applyNumberFormat="1" applyFont="1" applyFill="1" applyBorder="1" applyAlignment="1">
      <alignment vertical="center"/>
    </xf>
    <xf numFmtId="166" fontId="7" fillId="10" borderId="4" xfId="1" applyNumberFormat="1" applyFont="1" applyFill="1" applyBorder="1" applyAlignment="1">
      <alignment vertical="center"/>
    </xf>
    <xf numFmtId="165" fontId="7" fillId="10" borderId="4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0" fillId="10" borderId="0" xfId="0" applyFill="1" applyAlignment="1">
      <alignment vertical="center"/>
    </xf>
    <xf numFmtId="0" fontId="7" fillId="10" borderId="0" xfId="0" applyFont="1" applyFill="1" applyAlignment="1">
      <alignment vertical="center" wrapText="1"/>
    </xf>
    <xf numFmtId="0" fontId="22" fillId="10" borderId="0" xfId="0" applyFont="1" applyFill="1" applyAlignment="1">
      <alignment vertical="center"/>
    </xf>
    <xf numFmtId="0" fontId="7" fillId="10" borderId="0" xfId="0" applyFont="1" applyFill="1" applyAlignment="1">
      <alignment vertical="center"/>
    </xf>
    <xf numFmtId="167" fontId="7" fillId="10" borderId="0" xfId="1" applyNumberFormat="1" applyFont="1" applyFill="1" applyAlignment="1">
      <alignment vertical="center"/>
    </xf>
    <xf numFmtId="166" fontId="7" fillId="10" borderId="0" xfId="1" applyNumberFormat="1" applyFont="1" applyFill="1" applyAlignment="1">
      <alignment vertical="center"/>
    </xf>
    <xf numFmtId="165" fontId="7" fillId="10" borderId="0" xfId="1" applyNumberFormat="1" applyFont="1" applyFill="1" applyAlignment="1">
      <alignment vertical="center"/>
    </xf>
    <xf numFmtId="0" fontId="0" fillId="11" borderId="2" xfId="0" applyFill="1" applyBorder="1" applyAlignment="1">
      <alignment vertical="center"/>
    </xf>
    <xf numFmtId="165" fontId="0" fillId="11" borderId="2" xfId="0" applyNumberFormat="1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165" fontId="0" fillId="11" borderId="4" xfId="0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165" fontId="0" fillId="11" borderId="0" xfId="0" applyNumberFormat="1" applyFill="1" applyAlignment="1">
      <alignment vertical="center"/>
    </xf>
    <xf numFmtId="165" fontId="0" fillId="11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65" fontId="30" fillId="3" borderId="0" xfId="1" applyNumberFormat="1" applyFont="1" applyFill="1" applyAlignment="1">
      <alignment vertical="center"/>
    </xf>
    <xf numFmtId="0" fontId="0" fillId="12" borderId="4" xfId="0" applyFill="1" applyBorder="1" applyAlignment="1">
      <alignment vertical="center"/>
    </xf>
    <xf numFmtId="0" fontId="0" fillId="12" borderId="4" xfId="0" applyFill="1" applyBorder="1" applyAlignment="1">
      <alignment vertical="center" wrapText="1"/>
    </xf>
    <xf numFmtId="165" fontId="0" fillId="12" borderId="4" xfId="0" applyNumberForma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0" fontId="22" fillId="12" borderId="4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167" fontId="7" fillId="12" borderId="4" xfId="1" applyNumberFormat="1" applyFont="1" applyFill="1" applyBorder="1" applyAlignment="1">
      <alignment vertical="center"/>
    </xf>
    <xf numFmtId="166" fontId="7" fillId="12" borderId="4" xfId="1" applyNumberFormat="1" applyFont="1" applyFill="1" applyBorder="1" applyAlignment="1">
      <alignment vertical="center"/>
    </xf>
    <xf numFmtId="165" fontId="31" fillId="3" borderId="0" xfId="1" applyNumberFormat="1" applyFon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vertical="center" wrapText="1"/>
    </xf>
    <xf numFmtId="0" fontId="22" fillId="12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167" fontId="7" fillId="12" borderId="0" xfId="1" applyNumberFormat="1" applyFont="1" applyFill="1" applyAlignment="1">
      <alignment vertical="center"/>
    </xf>
    <xf numFmtId="166" fontId="7" fillId="12" borderId="0" xfId="1" applyNumberFormat="1" applyFont="1" applyFill="1" applyAlignment="1">
      <alignment vertical="center"/>
    </xf>
    <xf numFmtId="0" fontId="10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 wrapText="1"/>
    </xf>
    <xf numFmtId="165" fontId="9" fillId="13" borderId="1" xfId="1" applyNumberFormat="1" applyFont="1" applyFill="1" applyBorder="1" applyAlignment="1">
      <alignment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14" borderId="0" xfId="0" applyFill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165" fontId="0" fillId="10" borderId="1" xfId="1" applyNumberFormat="1" applyFont="1" applyFill="1" applyBorder="1" applyAlignment="1">
      <alignment horizontal="center" vertical="center"/>
    </xf>
    <xf numFmtId="165" fontId="15" fillId="10" borderId="1" xfId="1" applyNumberFormat="1" applyFont="1" applyFill="1" applyBorder="1" applyAlignment="1">
      <alignment vertical="center"/>
    </xf>
    <xf numFmtId="165" fontId="15" fillId="10" borderId="1" xfId="1" applyNumberFormat="1" applyFon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4" fillId="0" borderId="0" xfId="0" applyFont="1"/>
    <xf numFmtId="165" fontId="0" fillId="0" borderId="0" xfId="1" applyNumberFormat="1" applyFont="1"/>
    <xf numFmtId="0" fontId="0" fillId="0" borderId="8" xfId="0" applyBorder="1"/>
    <xf numFmtId="0" fontId="4" fillId="0" borderId="8" xfId="0" applyFont="1" applyBorder="1"/>
    <xf numFmtId="165" fontId="0" fillId="0" borderId="8" xfId="1" applyNumberFormat="1" applyFont="1" applyBorder="1"/>
    <xf numFmtId="165" fontId="4" fillId="0" borderId="8" xfId="1" applyNumberFormat="1" applyFont="1" applyBorder="1"/>
    <xf numFmtId="0" fontId="5" fillId="15" borderId="8" xfId="0" applyFont="1" applyFill="1" applyBorder="1"/>
    <xf numFmtId="0" fontId="2" fillId="15" borderId="8" xfId="0" applyFont="1" applyFill="1" applyBorder="1"/>
    <xf numFmtId="9" fontId="0" fillId="0" borderId="8" xfId="7" applyFont="1" applyBorder="1"/>
    <xf numFmtId="165" fontId="16" fillId="0" borderId="1" xfId="1" applyNumberFormat="1" applyFont="1" applyBorder="1" applyAlignment="1">
      <alignment vertical="center"/>
    </xf>
    <xf numFmtId="0" fontId="34" fillId="7" borderId="0" xfId="0" applyFont="1" applyFill="1" applyAlignment="1">
      <alignment vertical="center"/>
    </xf>
    <xf numFmtId="165" fontId="34" fillId="7" borderId="0" xfId="1" applyNumberFormat="1" applyFont="1" applyFill="1" applyAlignment="1">
      <alignment vertical="center"/>
    </xf>
    <xf numFmtId="0" fontId="35" fillId="7" borderId="0" xfId="0" applyFont="1" applyFill="1" applyAlignment="1">
      <alignment vertical="center"/>
    </xf>
    <xf numFmtId="0" fontId="36" fillId="7" borderId="0" xfId="0" applyFont="1" applyFill="1" applyAlignment="1">
      <alignment vertical="center" wrapText="1"/>
    </xf>
    <xf numFmtId="165" fontId="35" fillId="7" borderId="0" xfId="1" applyNumberFormat="1" applyFont="1" applyFill="1" applyAlignment="1">
      <alignment vertical="center"/>
    </xf>
    <xf numFmtId="0" fontId="37" fillId="7" borderId="0" xfId="0" applyFont="1" applyFill="1" applyAlignment="1">
      <alignment vertical="center"/>
    </xf>
    <xf numFmtId="165" fontId="37" fillId="7" borderId="0" xfId="1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165" fontId="38" fillId="0" borderId="0" xfId="1" applyNumberFormat="1" applyFont="1" applyAlignment="1">
      <alignment vertical="center"/>
    </xf>
    <xf numFmtId="165" fontId="38" fillId="0" borderId="0" xfId="0" applyNumberFormat="1" applyFont="1" applyAlignment="1">
      <alignment vertical="center"/>
    </xf>
    <xf numFmtId="0" fontId="4" fillId="0" borderId="4" xfId="0" applyFont="1" applyBorder="1"/>
    <xf numFmtId="165" fontId="4" fillId="0" borderId="4" xfId="0" applyNumberFormat="1" applyFont="1" applyBorder="1"/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165" fontId="10" fillId="0" borderId="1" xfId="1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165" fontId="16" fillId="0" borderId="8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13" borderId="3" xfId="0" applyFont="1" applyFill="1" applyBorder="1" applyAlignment="1">
      <alignment vertical="center" wrapText="1"/>
    </xf>
    <xf numFmtId="165" fontId="9" fillId="13" borderId="3" xfId="1" applyNumberFormat="1" applyFont="1" applyFill="1" applyBorder="1" applyAlignment="1">
      <alignment vertical="center" wrapText="1"/>
    </xf>
    <xf numFmtId="165" fontId="15" fillId="0" borderId="0" xfId="1" applyNumberFormat="1" applyFont="1" applyAlignment="1">
      <alignment vertical="center"/>
    </xf>
    <xf numFmtId="0" fontId="0" fillId="5" borderId="0" xfId="0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/>
    </xf>
    <xf numFmtId="165" fontId="20" fillId="3" borderId="0" xfId="1" applyNumberFormat="1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15" fillId="0" borderId="8" xfId="1" applyNumberFormat="1" applyFont="1" applyBorder="1" applyAlignment="1">
      <alignment vertical="center"/>
    </xf>
    <xf numFmtId="165" fontId="15" fillId="5" borderId="8" xfId="1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vertical="center" wrapText="1"/>
    </xf>
    <xf numFmtId="0" fontId="16" fillId="8" borderId="5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  <xf numFmtId="0" fontId="6" fillId="7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/>
    </xf>
    <xf numFmtId="0" fontId="7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" fontId="16" fillId="0" borderId="0" xfId="1" applyNumberFormat="1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right" vertical="center"/>
    </xf>
    <xf numFmtId="165" fontId="39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165" fontId="15" fillId="0" borderId="0" xfId="1" applyNumberFormat="1" applyFont="1" applyBorder="1" applyAlignment="1">
      <alignment vertical="center"/>
    </xf>
    <xf numFmtId="165" fontId="16" fillId="0" borderId="1" xfId="1" applyNumberFormat="1" applyFont="1" applyFill="1" applyBorder="1" applyAlignment="1">
      <alignment vertical="center"/>
    </xf>
    <xf numFmtId="165" fontId="0" fillId="0" borderId="0" xfId="0" applyNumberFormat="1"/>
    <xf numFmtId="165" fontId="10" fillId="0" borderId="1" xfId="1" applyNumberFormat="1" applyFont="1" applyFill="1" applyBorder="1" applyAlignment="1">
      <alignment vertical="center"/>
    </xf>
    <xf numFmtId="10" fontId="38" fillId="0" borderId="0" xfId="7" applyNumberFormat="1" applyFont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5" fontId="1" fillId="4" borderId="0" xfId="1" applyNumberFormat="1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65" fontId="7" fillId="10" borderId="0" xfId="1" applyNumberFormat="1" applyFont="1" applyFill="1" applyBorder="1" applyAlignment="1">
      <alignment vertical="center"/>
    </xf>
    <xf numFmtId="165" fontId="0" fillId="12" borderId="0" xfId="0" applyNumberFormat="1" applyFill="1" applyAlignment="1">
      <alignment vertical="center" wrapText="1"/>
    </xf>
    <xf numFmtId="166" fontId="7" fillId="12" borderId="0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0" fillId="0" borderId="8" xfId="0" applyNumberFormat="1" applyBorder="1"/>
    <xf numFmtId="165" fontId="0" fillId="0" borderId="2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65" fontId="15" fillId="3" borderId="3" xfId="1" applyNumberFormat="1" applyFont="1" applyFill="1" applyBorder="1" applyAlignment="1">
      <alignment vertical="center"/>
    </xf>
    <xf numFmtId="165" fontId="15" fillId="8" borderId="3" xfId="1" applyNumberFormat="1" applyFont="1" applyFill="1" applyBorder="1" applyAlignment="1">
      <alignment vertical="center"/>
    </xf>
    <xf numFmtId="165" fontId="15" fillId="0" borderId="3" xfId="1" applyNumberFormat="1" applyFont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165" fontId="15" fillId="3" borderId="0" xfId="1" applyNumberFormat="1" applyFont="1" applyFill="1" applyBorder="1" applyAlignment="1">
      <alignment vertical="center"/>
    </xf>
    <xf numFmtId="165" fontId="15" fillId="8" borderId="0" xfId="1" applyNumberFormat="1" applyFont="1" applyFill="1" applyBorder="1" applyAlignment="1">
      <alignment vertical="center"/>
    </xf>
    <xf numFmtId="165" fontId="15" fillId="0" borderId="11" xfId="1" applyNumberFormat="1" applyFont="1" applyBorder="1" applyAlignment="1">
      <alignment vertical="center"/>
    </xf>
    <xf numFmtId="0" fontId="15" fillId="3" borderId="8" xfId="0" applyFont="1" applyFill="1" applyBorder="1" applyAlignment="1">
      <alignment vertical="center" wrapText="1"/>
    </xf>
    <xf numFmtId="165" fontId="15" fillId="0" borderId="8" xfId="8" applyNumberFormat="1" applyFont="1" applyBorder="1" applyAlignment="1">
      <alignment horizontal="left"/>
    </xf>
    <xf numFmtId="165" fontId="15" fillId="0" borderId="10" xfId="1" applyNumberFormat="1" applyFont="1" applyBorder="1" applyAlignment="1">
      <alignment vertical="center"/>
    </xf>
    <xf numFmtId="165" fontId="15" fillId="8" borderId="8" xfId="1" applyNumberFormat="1" applyFont="1" applyFill="1" applyBorder="1" applyAlignment="1">
      <alignment vertical="center"/>
    </xf>
    <xf numFmtId="165" fontId="0" fillId="8" borderId="8" xfId="0" applyNumberFormat="1" applyFill="1" applyBorder="1"/>
    <xf numFmtId="165" fontId="16" fillId="0" borderId="3" xfId="1" applyNumberFormat="1" applyFont="1" applyBorder="1" applyAlignment="1">
      <alignment vertical="center"/>
    </xf>
    <xf numFmtId="165" fontId="16" fillId="0" borderId="0" xfId="1" applyNumberFormat="1" applyFont="1" applyBorder="1" applyAlignment="1">
      <alignment vertical="center"/>
    </xf>
    <xf numFmtId="3" fontId="16" fillId="16" borderId="5" xfId="1" applyNumberFormat="1" applyFont="1" applyFill="1" applyBorder="1" applyAlignment="1">
      <alignment vertical="center" wrapText="1"/>
    </xf>
    <xf numFmtId="0" fontId="21" fillId="16" borderId="1" xfId="0" applyFont="1" applyFill="1" applyBorder="1" applyAlignment="1">
      <alignment horizontal="center" vertical="center"/>
    </xf>
    <xf numFmtId="165" fontId="16" fillId="16" borderId="1" xfId="1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 wrapText="1"/>
    </xf>
    <xf numFmtId="165" fontId="15" fillId="17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6" fillId="5" borderId="1" xfId="1" applyNumberFormat="1" applyFont="1" applyFill="1" applyBorder="1" applyAlignment="1">
      <alignment vertical="center"/>
    </xf>
    <xf numFmtId="0" fontId="34" fillId="0" borderId="0" xfId="0" applyFont="1"/>
    <xf numFmtId="165" fontId="34" fillId="0" borderId="1" xfId="1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6" fontId="7" fillId="0" borderId="4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6" fillId="0" borderId="0" xfId="1" applyNumberFormat="1" applyFont="1" applyAlignment="1">
      <alignment vertical="center"/>
    </xf>
    <xf numFmtId="0" fontId="0" fillId="7" borderId="0" xfId="0" applyFill="1" applyAlignment="1">
      <alignment vertical="center" wrapText="1"/>
    </xf>
    <xf numFmtId="165" fontId="0" fillId="3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6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5" fontId="10" fillId="0" borderId="0" xfId="1" applyNumberFormat="1" applyFont="1" applyAlignment="1">
      <alignment vertical="center"/>
    </xf>
    <xf numFmtId="3" fontId="39" fillId="0" borderId="0" xfId="1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5" fontId="39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65" fontId="4" fillId="0" borderId="0" xfId="0" applyNumberFormat="1" applyFont="1"/>
    <xf numFmtId="0" fontId="0" fillId="0" borderId="8" xfId="0" applyBorder="1" applyAlignment="1">
      <alignment wrapText="1"/>
    </xf>
    <xf numFmtId="0" fontId="11" fillId="0" borderId="0" xfId="0" applyFont="1" applyAlignment="1">
      <alignment horizontal="center" vertical="center"/>
    </xf>
    <xf numFmtId="165" fontId="42" fillId="13" borderId="8" xfId="8" applyNumberFormat="1" applyFont="1" applyFill="1" applyBorder="1" applyAlignment="1">
      <alignment vertical="center" wrapText="1"/>
    </xf>
    <xf numFmtId="165" fontId="9" fillId="13" borderId="8" xfId="8" applyNumberFormat="1" applyFont="1" applyFill="1" applyBorder="1" applyAlignment="1">
      <alignment vertical="center" wrapText="1"/>
    </xf>
    <xf numFmtId="0" fontId="2" fillId="18" borderId="8" xfId="0" applyFont="1" applyFill="1" applyBorder="1" applyAlignment="1">
      <alignment horizontal="center" vertical="center"/>
    </xf>
    <xf numFmtId="0" fontId="2" fillId="18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165" fontId="15" fillId="0" borderId="8" xfId="1" applyNumberFormat="1" applyFont="1" applyFill="1" applyBorder="1" applyAlignment="1">
      <alignment vertical="center"/>
    </xf>
    <xf numFmtId="0" fontId="42" fillId="13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65" fontId="9" fillId="3" borderId="3" xfId="8" applyNumberFormat="1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165" fontId="9" fillId="3" borderId="0" xfId="8" applyNumberFormat="1" applyFont="1" applyFill="1" applyAlignment="1">
      <alignment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9" fillId="13" borderId="8" xfId="0" applyFont="1" applyFill="1" applyBorder="1" applyAlignment="1">
      <alignment vertical="center" wrapText="1"/>
    </xf>
    <xf numFmtId="165" fontId="9" fillId="13" borderId="8" xfId="8" applyNumberFormat="1" applyFont="1" applyFill="1" applyBorder="1" applyAlignment="1">
      <alignment horizontal="right" vertical="center" wrapText="1"/>
    </xf>
    <xf numFmtId="49" fontId="15" fillId="0" borderId="8" xfId="8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165" fontId="15" fillId="0" borderId="10" xfId="8" applyNumberFormat="1" applyFont="1" applyFill="1" applyBorder="1" applyAlignment="1">
      <alignment horizontal="left"/>
    </xf>
    <xf numFmtId="165" fontId="15" fillId="0" borderId="1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65" fontId="9" fillId="0" borderId="0" xfId="8" applyNumberFormat="1" applyFont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165" fontId="21" fillId="0" borderId="1" xfId="1" applyNumberFormat="1" applyFont="1" applyBorder="1" applyAlignment="1">
      <alignment horizontal="center" vertical="center"/>
    </xf>
    <xf numFmtId="165" fontId="43" fillId="0" borderId="1" xfId="1" applyNumberFormat="1" applyFont="1" applyBorder="1" applyAlignment="1">
      <alignment vertical="center"/>
    </xf>
    <xf numFmtId="165" fontId="16" fillId="0" borderId="0" xfId="1" applyNumberFormat="1" applyFont="1" applyBorder="1" applyAlignment="1">
      <alignment horizontal="right" vertical="center"/>
    </xf>
    <xf numFmtId="165" fontId="16" fillId="0" borderId="0" xfId="1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3" fontId="16" fillId="0" borderId="12" xfId="4" applyNumberFormat="1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3" fontId="45" fillId="0" borderId="0" xfId="1" applyNumberFormat="1" applyFont="1" applyAlignment="1">
      <alignment vertical="center" wrapText="1"/>
    </xf>
    <xf numFmtId="165" fontId="45" fillId="0" borderId="1" xfId="1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5" fontId="15" fillId="0" borderId="0" xfId="1" applyNumberFormat="1" applyFont="1" applyFill="1" applyAlignment="1">
      <alignment vertical="center"/>
    </xf>
    <xf numFmtId="165" fontId="16" fillId="0" borderId="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165" fontId="21" fillId="0" borderId="1" xfId="1" applyNumberFormat="1" applyFont="1" applyBorder="1" applyAlignment="1">
      <alignment vertical="center"/>
    </xf>
    <xf numFmtId="165" fontId="11" fillId="0" borderId="1" xfId="1" applyNumberFormat="1" applyFont="1" applyBorder="1" applyAlignment="1">
      <alignment vertical="center"/>
    </xf>
    <xf numFmtId="168" fontId="10" fillId="0" borderId="1" xfId="1" applyNumberFormat="1" applyFont="1" applyBorder="1" applyAlignment="1">
      <alignment vertical="center"/>
    </xf>
    <xf numFmtId="165" fontId="46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vertical="center" wrapText="1"/>
    </xf>
    <xf numFmtId="165" fontId="47" fillId="0" borderId="1" xfId="1" applyNumberFormat="1" applyFont="1" applyBorder="1" applyAlignment="1">
      <alignment vertical="center"/>
    </xf>
    <xf numFmtId="0" fontId="21" fillId="0" borderId="0" xfId="0" applyFont="1"/>
    <xf numFmtId="165" fontId="47" fillId="0" borderId="1" xfId="1" applyNumberFormat="1" applyFont="1" applyBorder="1" applyAlignment="1">
      <alignment vertical="center" wrapText="1"/>
    </xf>
    <xf numFmtId="165" fontId="47" fillId="0" borderId="1" xfId="1" applyNumberFormat="1" applyFont="1" applyFill="1" applyBorder="1" applyAlignment="1">
      <alignment vertical="center"/>
    </xf>
    <xf numFmtId="165" fontId="47" fillId="5" borderId="1" xfId="1" applyNumberFormat="1" applyFont="1" applyFill="1" applyBorder="1" applyAlignment="1">
      <alignment vertical="center" wrapText="1"/>
    </xf>
    <xf numFmtId="165" fontId="48" fillId="0" borderId="1" xfId="1" applyNumberFormat="1" applyFont="1" applyBorder="1" applyAlignment="1">
      <alignment vertical="center"/>
    </xf>
    <xf numFmtId="165" fontId="16" fillId="5" borderId="1" xfId="1" applyNumberFormat="1" applyFont="1" applyFill="1" applyBorder="1" applyAlignment="1">
      <alignment horizontal="right" vertical="center"/>
    </xf>
    <xf numFmtId="0" fontId="0" fillId="0" borderId="0" xfId="0" applyFill="1"/>
    <xf numFmtId="0" fontId="16" fillId="0" borderId="0" xfId="0" applyFont="1" applyFill="1" applyBorder="1" applyAlignment="1">
      <alignment vertical="center" wrapText="1"/>
    </xf>
    <xf numFmtId="0" fontId="21" fillId="17" borderId="2" xfId="0" applyFont="1" applyFill="1" applyBorder="1" applyAlignment="1">
      <alignment horizontal="center" vertical="center"/>
    </xf>
    <xf numFmtId="165" fontId="16" fillId="17" borderId="1" xfId="1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 wrapText="1"/>
    </xf>
    <xf numFmtId="165" fontId="48" fillId="0" borderId="1" xfId="1" applyNumberFormat="1" applyFont="1" applyBorder="1" applyAlignment="1">
      <alignment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165" fontId="10" fillId="0" borderId="1" xfId="1" applyNumberFormat="1" applyFont="1" applyFill="1" applyBorder="1" applyAlignment="1">
      <alignment horizontal="left"/>
    </xf>
    <xf numFmtId="165" fontId="15" fillId="0" borderId="1" xfId="1" applyNumberFormat="1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left" vertical="center"/>
    </xf>
    <xf numFmtId="3" fontId="49" fillId="0" borderId="0" xfId="1" applyNumberFormat="1" applyFont="1" applyAlignment="1">
      <alignment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165" fontId="51" fillId="0" borderId="1" xfId="1" applyNumberFormat="1" applyFont="1" applyBorder="1" applyAlignment="1">
      <alignment vertical="center"/>
    </xf>
    <xf numFmtId="165" fontId="45" fillId="0" borderId="1" xfId="1" applyNumberFormat="1" applyFont="1" applyFill="1" applyBorder="1" applyAlignment="1">
      <alignment horizontal="right" vertical="center"/>
    </xf>
    <xf numFmtId="3" fontId="16" fillId="5" borderId="0" xfId="1" applyNumberFormat="1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5" fontId="0" fillId="0" borderId="0" xfId="0" applyNumberFormat="1" applyBorder="1"/>
    <xf numFmtId="165" fontId="0" fillId="8" borderId="0" xfId="0" applyNumberFormat="1" applyFill="1" applyBorder="1"/>
    <xf numFmtId="165" fontId="15" fillId="5" borderId="0" xfId="1" applyNumberFormat="1" applyFont="1" applyFill="1" applyBorder="1" applyAlignment="1">
      <alignment vertical="center"/>
    </xf>
    <xf numFmtId="0" fontId="10" fillId="19" borderId="1" xfId="0" applyFont="1" applyFill="1" applyBorder="1" applyAlignment="1">
      <alignment horizontal="center" vertical="center" wrapText="1"/>
    </xf>
    <xf numFmtId="0" fontId="15" fillId="19" borderId="5" xfId="0" applyFont="1" applyFill="1" applyBorder="1" applyAlignment="1">
      <alignment horizontal="left" vertical="center"/>
    </xf>
    <xf numFmtId="0" fontId="21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165" fontId="0" fillId="19" borderId="1" xfId="1" applyNumberFormat="1" applyFont="1" applyFill="1" applyBorder="1" applyAlignment="1">
      <alignment horizontal="right" vertical="center"/>
    </xf>
    <xf numFmtId="165" fontId="15" fillId="19" borderId="1" xfId="1" applyNumberFormat="1" applyFont="1" applyFill="1" applyBorder="1" applyAlignment="1">
      <alignment horizontal="right" vertical="center"/>
    </xf>
    <xf numFmtId="165" fontId="15" fillId="19" borderId="1" xfId="1" applyNumberFormat="1" applyFont="1" applyFill="1" applyBorder="1" applyAlignment="1">
      <alignment vertical="center"/>
    </xf>
    <xf numFmtId="0" fontId="0" fillId="19" borderId="8" xfId="0" applyFill="1" applyBorder="1"/>
    <xf numFmtId="165" fontId="15" fillId="19" borderId="8" xfId="1" applyNumberFormat="1" applyFont="1" applyFill="1" applyBorder="1" applyAlignment="1">
      <alignment vertical="center"/>
    </xf>
    <xf numFmtId="165" fontId="0" fillId="19" borderId="8" xfId="0" applyNumberFormat="1" applyFill="1" applyBorder="1"/>
    <xf numFmtId="165" fontId="0" fillId="19" borderId="0" xfId="0" applyNumberFormat="1" applyFill="1" applyBorder="1"/>
    <xf numFmtId="0" fontId="0" fillId="19" borderId="0" xfId="0" applyFill="1" applyAlignment="1">
      <alignment vertical="center"/>
    </xf>
    <xf numFmtId="0" fontId="10" fillId="19" borderId="8" xfId="0" applyFont="1" applyFill="1" applyBorder="1" applyAlignment="1">
      <alignment vertical="center"/>
    </xf>
    <xf numFmtId="0" fontId="10" fillId="19" borderId="8" xfId="0" applyFont="1" applyFill="1" applyBorder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0" fillId="19" borderId="0" xfId="0" applyFill="1"/>
    <xf numFmtId="165" fontId="40" fillId="19" borderId="8" xfId="8" applyNumberFormat="1" applyFont="1" applyFill="1" applyBorder="1" applyAlignment="1">
      <alignment horizontal="right" vertical="center"/>
    </xf>
    <xf numFmtId="0" fontId="21" fillId="19" borderId="2" xfId="0" applyFont="1" applyFill="1" applyBorder="1" applyAlignment="1">
      <alignment horizontal="center" vertical="center"/>
    </xf>
    <xf numFmtId="165" fontId="0" fillId="19" borderId="1" xfId="1" applyNumberFormat="1" applyFont="1" applyFill="1" applyBorder="1" applyAlignment="1">
      <alignment vertical="center"/>
    </xf>
    <xf numFmtId="165" fontId="15" fillId="19" borderId="0" xfId="1" applyNumberFormat="1" applyFont="1" applyFill="1" applyBorder="1" applyAlignment="1">
      <alignment vertical="center"/>
    </xf>
    <xf numFmtId="0" fontId="0" fillId="19" borderId="8" xfId="0" applyFill="1" applyBorder="1" applyAlignment="1">
      <alignment vertical="center"/>
    </xf>
    <xf numFmtId="0" fontId="10" fillId="19" borderId="2" xfId="0" applyFont="1" applyFill="1" applyBorder="1" applyAlignment="1">
      <alignment horizontal="center" vertical="center" wrapText="1"/>
    </xf>
    <xf numFmtId="0" fontId="15" fillId="19" borderId="6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5" fontId="16" fillId="19" borderId="1" xfId="1" applyNumberFormat="1" applyFont="1" applyFill="1" applyBorder="1" applyAlignment="1">
      <alignment vertical="center"/>
    </xf>
    <xf numFmtId="165" fontId="16" fillId="19" borderId="0" xfId="1" applyNumberFormat="1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39" fillId="0" borderId="0" xfId="0" applyFont="1" applyFill="1" applyAlignment="1">
      <alignment vertical="center" wrapText="1"/>
    </xf>
    <xf numFmtId="165" fontId="39" fillId="0" borderId="0" xfId="1" applyNumberFormat="1" applyFont="1" applyFill="1" applyBorder="1" applyAlignment="1">
      <alignment horizontal="right" vertical="center"/>
    </xf>
    <xf numFmtId="165" fontId="10" fillId="0" borderId="1" xfId="1" applyNumberFormat="1" applyFont="1" applyBorder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top" wrapText="1"/>
    </xf>
    <xf numFmtId="165" fontId="11" fillId="0" borderId="1" xfId="1" applyNumberFormat="1" applyFont="1" applyBorder="1" applyAlignment="1">
      <alignment vertical="center" wrapText="1"/>
    </xf>
    <xf numFmtId="165" fontId="11" fillId="0" borderId="1" xfId="1" applyNumberFormat="1" applyFont="1" applyFill="1" applyBorder="1" applyAlignment="1">
      <alignment horizontal="left" vertical="center"/>
    </xf>
    <xf numFmtId="49" fontId="47" fillId="0" borderId="1" xfId="1" applyNumberFormat="1" applyFont="1" applyBorder="1" applyAlignment="1">
      <alignment vertical="center" wrapText="1"/>
    </xf>
    <xf numFmtId="0" fontId="44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6" fillId="0" borderId="14" xfId="0" applyFont="1" applyFill="1" applyBorder="1" applyAlignment="1"/>
    <xf numFmtId="3" fontId="16" fillId="0" borderId="14" xfId="0" applyNumberFormat="1" applyFont="1" applyFill="1" applyBorder="1" applyAlignment="1"/>
    <xf numFmtId="0" fontId="16" fillId="0" borderId="15" xfId="0" applyFont="1" applyFill="1" applyBorder="1" applyAlignment="1"/>
    <xf numFmtId="3" fontId="16" fillId="0" borderId="15" xfId="0" applyNumberFormat="1" applyFont="1" applyFill="1" applyBorder="1" applyAlignment="1"/>
    <xf numFmtId="0" fontId="53" fillId="0" borderId="0" xfId="0" applyFont="1" applyFill="1" applyBorder="1" applyAlignment="1"/>
    <xf numFmtId="0" fontId="48" fillId="0" borderId="14" xfId="0" applyFont="1" applyFill="1" applyBorder="1" applyAlignment="1"/>
    <xf numFmtId="3" fontId="45" fillId="0" borderId="15" xfId="0" applyNumberFormat="1" applyFont="1" applyFill="1" applyBorder="1" applyAlignment="1"/>
    <xf numFmtId="0" fontId="48" fillId="0" borderId="15" xfId="0" applyFont="1" applyFill="1" applyBorder="1" applyAlignment="1"/>
    <xf numFmtId="3" fontId="16" fillId="0" borderId="0" xfId="1" applyNumberFormat="1" applyFont="1" applyFill="1" applyAlignment="1">
      <alignment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 wrapText="1"/>
    </xf>
    <xf numFmtId="165" fontId="39" fillId="0" borderId="0" xfId="1" applyNumberFormat="1" applyFont="1" applyAlignment="1">
      <alignment horizontal="right" vertical="center"/>
    </xf>
    <xf numFmtId="0" fontId="10" fillId="6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48" fillId="0" borderId="14" xfId="0" applyFont="1" applyBorder="1" applyAlignment="1">
      <alignment vertical="center"/>
    </xf>
    <xf numFmtId="3" fontId="45" fillId="0" borderId="14" xfId="0" applyNumberFormat="1" applyFont="1" applyBorder="1" applyAlignment="1">
      <alignment horizontal="right" vertical="center"/>
    </xf>
    <xf numFmtId="0" fontId="54" fillId="0" borderId="14" xfId="0" applyFont="1" applyBorder="1" applyAlignment="1">
      <alignment vertical="center" wrapText="1"/>
    </xf>
    <xf numFmtId="3" fontId="16" fillId="5" borderId="14" xfId="0" applyNumberFormat="1" applyFont="1" applyFill="1" applyBorder="1" applyAlignment="1">
      <alignment vertical="center"/>
    </xf>
    <xf numFmtId="0" fontId="16" fillId="20" borderId="14" xfId="0" applyFont="1" applyFill="1" applyBorder="1" applyAlignment="1">
      <alignment vertical="center"/>
    </xf>
    <xf numFmtId="10" fontId="0" fillId="0" borderId="3" xfId="7" applyNumberFormat="1" applyFont="1" applyBorder="1" applyAlignment="1">
      <alignment vertical="center"/>
    </xf>
    <xf numFmtId="165" fontId="47" fillId="3" borderId="1" xfId="1" applyNumberFormat="1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44" fillId="8" borderId="1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3" fontId="45" fillId="5" borderId="0" xfId="1" applyNumberFormat="1" applyFont="1" applyFill="1" applyAlignment="1">
      <alignment vertical="center" wrapText="1"/>
    </xf>
    <xf numFmtId="0" fontId="55" fillId="0" borderId="14" xfId="0" applyFont="1" applyBorder="1" applyAlignment="1">
      <alignment horizontal="right" vertical="center"/>
    </xf>
    <xf numFmtId="0" fontId="55" fillId="0" borderId="0" xfId="0" applyFont="1" applyAlignment="1">
      <alignment vertical="center" wrapText="1"/>
    </xf>
    <xf numFmtId="3" fontId="55" fillId="0" borderId="14" xfId="0" applyNumberFormat="1" applyFont="1" applyBorder="1" applyAlignment="1">
      <alignment horizontal="right" vertical="center"/>
    </xf>
    <xf numFmtId="3" fontId="55" fillId="0" borderId="0" xfId="1" applyNumberFormat="1" applyFont="1" applyAlignment="1">
      <alignment vertical="center" wrapText="1"/>
    </xf>
    <xf numFmtId="3" fontId="45" fillId="8" borderId="0" xfId="1" applyNumberFormat="1" applyFont="1" applyFill="1" applyAlignment="1">
      <alignment vertical="center" wrapText="1"/>
    </xf>
    <xf numFmtId="165" fontId="45" fillId="8" borderId="1" xfId="1" applyNumberFormat="1" applyFont="1" applyFill="1" applyBorder="1" applyAlignment="1">
      <alignment horizontal="right" vertical="center"/>
    </xf>
    <xf numFmtId="3" fontId="16" fillId="8" borderId="0" xfId="1" applyNumberFormat="1" applyFont="1" applyFill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3" fontId="16" fillId="0" borderId="12" xfId="4" applyNumberFormat="1" applyFont="1" applyFill="1" applyBorder="1" applyAlignment="1">
      <alignment vertical="center" wrapText="1"/>
    </xf>
    <xf numFmtId="0" fontId="0" fillId="5" borderId="0" xfId="0" applyFill="1"/>
    <xf numFmtId="0" fontId="56" fillId="0" borderId="0" xfId="0" applyFont="1" applyAlignment="1">
      <alignment vertical="center" wrapText="1"/>
    </xf>
    <xf numFmtId="3" fontId="57" fillId="0" borderId="5" xfId="1" applyNumberFormat="1" applyFont="1" applyBorder="1" applyAlignment="1">
      <alignment vertical="center" wrapText="1"/>
    </xf>
    <xf numFmtId="165" fontId="57" fillId="0" borderId="1" xfId="1" applyNumberFormat="1" applyFont="1" applyBorder="1" applyAlignment="1">
      <alignment horizontal="right" vertical="center"/>
    </xf>
    <xf numFmtId="3" fontId="57" fillId="16" borderId="5" xfId="1" applyNumberFormat="1" applyFont="1" applyFill="1" applyBorder="1" applyAlignment="1">
      <alignment vertical="center" wrapText="1"/>
    </xf>
    <xf numFmtId="165" fontId="57" fillId="16" borderId="1" xfId="1" applyNumberFormat="1" applyFont="1" applyFill="1" applyBorder="1" applyAlignment="1">
      <alignment horizontal="right" vertical="center"/>
    </xf>
    <xf numFmtId="3" fontId="57" fillId="0" borderId="0" xfId="1" applyNumberFormat="1" applyFont="1" applyAlignment="1">
      <alignment vertical="center" wrapText="1"/>
    </xf>
    <xf numFmtId="165" fontId="57" fillId="0" borderId="0" xfId="1" applyNumberFormat="1" applyFont="1" applyAlignment="1">
      <alignment horizontal="right" vertical="center"/>
    </xf>
    <xf numFmtId="3" fontId="57" fillId="0" borderId="14" xfId="0" applyNumberFormat="1" applyFont="1" applyBorder="1" applyAlignment="1">
      <alignment horizontal="right" vertical="center"/>
    </xf>
    <xf numFmtId="0" fontId="57" fillId="0" borderId="0" xfId="0" applyFont="1" applyAlignment="1">
      <alignment vertical="center" wrapText="1"/>
    </xf>
    <xf numFmtId="0" fontId="57" fillId="0" borderId="14" xfId="0" applyFont="1" applyBorder="1" applyAlignment="1">
      <alignment horizontal="right" vertical="center"/>
    </xf>
    <xf numFmtId="165" fontId="58" fillId="0" borderId="1" xfId="1" applyNumberFormat="1" applyFont="1" applyBorder="1" applyAlignment="1">
      <alignment horizontal="right" vertical="center"/>
    </xf>
    <xf numFmtId="0" fontId="59" fillId="0" borderId="0" xfId="0" applyFont="1" applyAlignment="1">
      <alignment vertical="center" wrapText="1"/>
    </xf>
    <xf numFmtId="165" fontId="57" fillId="0" borderId="1" xfId="1" applyNumberFormat="1" applyFont="1" applyBorder="1" applyAlignment="1">
      <alignment vertical="center"/>
    </xf>
    <xf numFmtId="165" fontId="60" fillId="0" borderId="1" xfId="1" applyNumberFormat="1" applyFont="1" applyBorder="1" applyAlignment="1">
      <alignment horizontal="right" vertical="center"/>
    </xf>
    <xf numFmtId="3" fontId="60" fillId="0" borderId="0" xfId="1" applyNumberFormat="1" applyFont="1" applyAlignment="1">
      <alignment vertical="center" wrapText="1"/>
    </xf>
    <xf numFmtId="165" fontId="61" fillId="2" borderId="0" xfId="1" applyNumberFormat="1" applyFont="1" applyFill="1" applyAlignment="1">
      <alignment vertical="center"/>
    </xf>
    <xf numFmtId="165" fontId="58" fillId="3" borderId="0" xfId="1" applyNumberFormat="1" applyFont="1" applyFill="1" applyAlignment="1">
      <alignment vertical="center"/>
    </xf>
    <xf numFmtId="165" fontId="62" fillId="3" borderId="1" xfId="1" applyNumberFormat="1" applyFont="1" applyFill="1" applyBorder="1" applyAlignment="1">
      <alignment vertical="center"/>
    </xf>
    <xf numFmtId="165" fontId="58" fillId="0" borderId="1" xfId="1" applyNumberFormat="1" applyFont="1" applyBorder="1" applyAlignment="1">
      <alignment vertical="center"/>
    </xf>
    <xf numFmtId="165" fontId="58" fillId="0" borderId="0" xfId="1" applyNumberFormat="1" applyFont="1" applyAlignment="1">
      <alignment vertical="center"/>
    </xf>
    <xf numFmtId="3" fontId="57" fillId="5" borderId="0" xfId="1" applyNumberFormat="1" applyFont="1" applyFill="1" applyAlignment="1">
      <alignment vertical="center" wrapText="1"/>
    </xf>
    <xf numFmtId="165" fontId="58" fillId="5" borderId="1" xfId="1" applyNumberFormat="1" applyFont="1" applyFill="1" applyBorder="1" applyAlignment="1">
      <alignment vertical="center"/>
    </xf>
    <xf numFmtId="3" fontId="60" fillId="5" borderId="0" xfId="1" applyNumberFormat="1" applyFont="1" applyFill="1" applyAlignment="1">
      <alignment vertical="center" wrapText="1"/>
    </xf>
    <xf numFmtId="165" fontId="58" fillId="5" borderId="0" xfId="1" applyNumberFormat="1" applyFont="1" applyFill="1" applyAlignment="1">
      <alignment vertical="center"/>
    </xf>
    <xf numFmtId="165" fontId="58" fillId="3" borderId="1" xfId="1" applyNumberFormat="1" applyFont="1" applyFill="1" applyBorder="1" applyAlignment="1">
      <alignment vertical="center"/>
    </xf>
    <xf numFmtId="0" fontId="57" fillId="0" borderId="7" xfId="0" applyFont="1" applyBorder="1" applyAlignment="1">
      <alignment vertical="center" wrapText="1"/>
    </xf>
    <xf numFmtId="165" fontId="63" fillId="0" borderId="1" xfId="1" applyNumberFormat="1" applyFont="1" applyBorder="1" applyAlignment="1">
      <alignment vertical="center"/>
    </xf>
    <xf numFmtId="0" fontId="58" fillId="0" borderId="0" xfId="0" applyFont="1" applyAlignment="1">
      <alignment vertical="center" wrapText="1"/>
    </xf>
    <xf numFmtId="0" fontId="57" fillId="0" borderId="0" xfId="0" applyFont="1"/>
    <xf numFmtId="0" fontId="58" fillId="0" borderId="1" xfId="0" applyFont="1" applyBorder="1" applyAlignment="1">
      <alignment vertical="center" wrapText="1"/>
    </xf>
    <xf numFmtId="165" fontId="58" fillId="17" borderId="1" xfId="1" applyNumberFormat="1" applyFont="1" applyFill="1" applyBorder="1" applyAlignment="1">
      <alignment vertical="center"/>
    </xf>
    <xf numFmtId="165" fontId="63" fillId="0" borderId="1" xfId="1" applyNumberFormat="1" applyFont="1" applyBorder="1" applyAlignment="1">
      <alignment vertical="center" wrapText="1"/>
    </xf>
    <xf numFmtId="0" fontId="58" fillId="5" borderId="1" xfId="0" applyFont="1" applyFill="1" applyBorder="1" applyAlignment="1">
      <alignment vertical="center" wrapText="1"/>
    </xf>
    <xf numFmtId="3" fontId="57" fillId="5" borderId="14" xfId="0" applyNumberFormat="1" applyFont="1" applyFill="1" applyBorder="1" applyAlignment="1">
      <alignment vertical="center"/>
    </xf>
    <xf numFmtId="0" fontId="64" fillId="0" borderId="14" xfId="0" applyFont="1" applyBorder="1" applyAlignment="1">
      <alignment vertical="center" wrapText="1"/>
    </xf>
    <xf numFmtId="3" fontId="57" fillId="0" borderId="12" xfId="4" applyNumberFormat="1" applyFont="1" applyBorder="1" applyAlignment="1">
      <alignment vertical="center" wrapText="1"/>
    </xf>
    <xf numFmtId="165" fontId="57" fillId="5" borderId="1" xfId="1" applyNumberFormat="1" applyFont="1" applyFill="1" applyBorder="1" applyAlignment="1">
      <alignment vertical="center"/>
    </xf>
    <xf numFmtId="165" fontId="65" fillId="0" borderId="1" xfId="1" applyNumberFormat="1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14" xfId="0" applyFont="1" applyBorder="1" applyAlignment="1">
      <alignment vertical="center"/>
    </xf>
    <xf numFmtId="165" fontId="66" fillId="0" borderId="1" xfId="1" applyNumberFormat="1" applyFont="1" applyBorder="1" applyAlignment="1">
      <alignment vertical="center"/>
    </xf>
    <xf numFmtId="0" fontId="65" fillId="0" borderId="14" xfId="0" applyFont="1" applyBorder="1" applyAlignment="1">
      <alignment vertical="center"/>
    </xf>
    <xf numFmtId="3" fontId="60" fillId="0" borderId="14" xfId="0" applyNumberFormat="1" applyFont="1" applyBorder="1" applyAlignment="1">
      <alignment horizontal="right" vertical="center"/>
    </xf>
    <xf numFmtId="165" fontId="65" fillId="0" borderId="1" xfId="1" applyNumberFormat="1" applyFont="1" applyBorder="1" applyAlignment="1">
      <alignment vertical="center"/>
    </xf>
    <xf numFmtId="3" fontId="60" fillId="0" borderId="0" xfId="1" applyNumberFormat="1" applyFont="1" applyFill="1" applyAlignment="1">
      <alignment vertical="center" wrapText="1"/>
    </xf>
    <xf numFmtId="165" fontId="60" fillId="0" borderId="1" xfId="1" applyNumberFormat="1" applyFont="1" applyFill="1" applyBorder="1" applyAlignment="1">
      <alignment horizontal="right" vertical="center"/>
    </xf>
    <xf numFmtId="0" fontId="58" fillId="0" borderId="1" xfId="0" applyFont="1" applyFill="1" applyBorder="1" applyAlignment="1">
      <alignment vertical="center" wrapText="1"/>
    </xf>
    <xf numFmtId="165" fontId="58" fillId="0" borderId="1" xfId="1" applyNumberFormat="1" applyFont="1" applyFill="1" applyBorder="1" applyAlignment="1">
      <alignment vertical="center"/>
    </xf>
    <xf numFmtId="165" fontId="63" fillId="0" borderId="0" xfId="1" applyNumberFormat="1" applyFont="1" applyBorder="1" applyAlignment="1">
      <alignment vertical="center" wrapText="1"/>
    </xf>
    <xf numFmtId="3" fontId="57" fillId="12" borderId="0" xfId="1" applyNumberFormat="1" applyFont="1" applyFill="1" applyAlignment="1">
      <alignment vertical="center" wrapText="1"/>
    </xf>
    <xf numFmtId="0" fontId="10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165" fontId="57" fillId="12" borderId="0" xfId="1" applyNumberFormat="1" applyFont="1" applyFill="1" applyAlignment="1">
      <alignment horizontal="right" vertical="center"/>
    </xf>
    <xf numFmtId="0" fontId="21" fillId="12" borderId="2" xfId="0" applyFont="1" applyFill="1" applyBorder="1" applyAlignment="1">
      <alignment horizontal="center" vertical="center"/>
    </xf>
    <xf numFmtId="165" fontId="58" fillId="12" borderId="0" xfId="1" applyNumberFormat="1" applyFont="1" applyFill="1" applyAlignment="1">
      <alignment vertical="center"/>
    </xf>
    <xf numFmtId="165" fontId="57" fillId="12" borderId="0" xfId="1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3" fontId="60" fillId="12" borderId="0" xfId="1" applyNumberFormat="1" applyFont="1" applyFill="1" applyAlignment="1">
      <alignment vertical="center" wrapText="1"/>
    </xf>
    <xf numFmtId="0" fontId="21" fillId="12" borderId="0" xfId="0" applyFont="1" applyFill="1" applyAlignment="1">
      <alignment horizontal="center" vertical="center"/>
    </xf>
    <xf numFmtId="3" fontId="57" fillId="12" borderId="5" xfId="1" applyNumberFormat="1" applyFont="1" applyFill="1" applyBorder="1" applyAlignment="1">
      <alignment vertical="center" wrapText="1"/>
    </xf>
    <xf numFmtId="165" fontId="57" fillId="12" borderId="1" xfId="1" applyNumberFormat="1" applyFont="1" applyFill="1" applyBorder="1" applyAlignment="1">
      <alignment horizontal="right" vertical="center"/>
    </xf>
    <xf numFmtId="0" fontId="10" fillId="12" borderId="1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vertical="center"/>
    </xf>
    <xf numFmtId="165" fontId="57" fillId="12" borderId="1" xfId="1" applyNumberFormat="1" applyFont="1" applyFill="1" applyBorder="1" applyAlignment="1">
      <alignment vertical="center"/>
    </xf>
    <xf numFmtId="0" fontId="0" fillId="21" borderId="0" xfId="0" applyFill="1" applyAlignment="1">
      <alignment horizontal="left" vertical="top" wrapText="1"/>
    </xf>
    <xf numFmtId="0" fontId="10" fillId="21" borderId="1" xfId="0" applyFont="1" applyFill="1" applyBorder="1" applyAlignment="1">
      <alignment horizontal="center" vertical="center"/>
    </xf>
    <xf numFmtId="0" fontId="21" fillId="21" borderId="2" xfId="0" applyFont="1" applyFill="1" applyBorder="1" applyAlignment="1">
      <alignment horizontal="center" vertical="center"/>
    </xf>
    <xf numFmtId="165" fontId="58" fillId="21" borderId="1" xfId="1" applyNumberFormat="1" applyFont="1" applyFill="1" applyBorder="1" applyAlignment="1">
      <alignment vertical="center"/>
    </xf>
    <xf numFmtId="0" fontId="57" fillId="22" borderId="7" xfId="0" applyFont="1" applyFill="1" applyBorder="1" applyAlignment="1">
      <alignment vertical="center" wrapText="1"/>
    </xf>
    <xf numFmtId="0" fontId="10" fillId="22" borderId="1" xfId="0" applyFont="1" applyFill="1" applyBorder="1" applyAlignment="1">
      <alignment horizontal="center" vertical="center"/>
    </xf>
    <xf numFmtId="0" fontId="21" fillId="22" borderId="2" xfId="0" applyFont="1" applyFill="1" applyBorder="1" applyAlignment="1">
      <alignment horizontal="center" vertical="center"/>
    </xf>
    <xf numFmtId="165" fontId="57" fillId="22" borderId="1" xfId="1" applyNumberFormat="1" applyFont="1" applyFill="1" applyBorder="1" applyAlignment="1">
      <alignment horizontal="right" vertical="center"/>
    </xf>
    <xf numFmtId="3" fontId="57" fillId="21" borderId="0" xfId="1" applyNumberFormat="1" applyFont="1" applyFill="1" applyAlignment="1">
      <alignment vertical="center" wrapText="1"/>
    </xf>
    <xf numFmtId="0" fontId="10" fillId="21" borderId="0" xfId="0" applyFont="1" applyFill="1" applyBorder="1" applyAlignment="1">
      <alignment horizontal="center" vertical="center"/>
    </xf>
    <xf numFmtId="165" fontId="57" fillId="21" borderId="1" xfId="1" applyNumberFormat="1" applyFont="1" applyFill="1" applyBorder="1" applyAlignment="1">
      <alignment horizontal="right" vertical="center"/>
    </xf>
    <xf numFmtId="165" fontId="58" fillId="12" borderId="0" xfId="1" applyNumberFormat="1" applyFont="1" applyFill="1" applyBorder="1" applyAlignment="1">
      <alignment vertical="center"/>
    </xf>
    <xf numFmtId="165" fontId="21" fillId="0" borderId="0" xfId="1" applyNumberFormat="1" applyFont="1" applyBorder="1" applyAlignment="1">
      <alignment vertical="center"/>
    </xf>
    <xf numFmtId="0" fontId="44" fillId="5" borderId="1" xfId="0" applyFont="1" applyFill="1" applyBorder="1" applyAlignment="1">
      <alignment horizontal="center" vertical="center"/>
    </xf>
    <xf numFmtId="165" fontId="60" fillId="5" borderId="1" xfId="1" applyNumberFormat="1" applyFont="1" applyFill="1" applyBorder="1" applyAlignment="1">
      <alignment horizontal="right" vertical="center"/>
    </xf>
    <xf numFmtId="0" fontId="21" fillId="21" borderId="1" xfId="0" applyFont="1" applyFill="1" applyBorder="1" applyAlignment="1">
      <alignment horizontal="center" vertical="center"/>
    </xf>
    <xf numFmtId="3" fontId="57" fillId="0" borderId="0" xfId="1" applyNumberFormat="1" applyFont="1" applyFill="1" applyAlignment="1">
      <alignment vertical="center" wrapText="1"/>
    </xf>
    <xf numFmtId="165" fontId="58" fillId="0" borderId="0" xfId="1" applyNumberFormat="1" applyFont="1" applyFill="1" applyAlignment="1">
      <alignment vertical="center"/>
    </xf>
    <xf numFmtId="3" fontId="57" fillId="0" borderId="5" xfId="1" applyNumberFormat="1" applyFont="1" applyFill="1" applyBorder="1" applyAlignment="1">
      <alignment vertical="center" wrapText="1"/>
    </xf>
    <xf numFmtId="165" fontId="57" fillId="0" borderId="1" xfId="1" applyNumberFormat="1" applyFont="1" applyFill="1" applyBorder="1" applyAlignment="1">
      <alignment horizontal="right" vertical="center"/>
    </xf>
    <xf numFmtId="165" fontId="57" fillId="0" borderId="0" xfId="1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57" fillId="0" borderId="14" xfId="0" applyFont="1" applyFill="1" applyBorder="1" applyAlignment="1">
      <alignment horizontal="right" vertical="center"/>
    </xf>
    <xf numFmtId="0" fontId="57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left" vertical="top" wrapText="1"/>
    </xf>
    <xf numFmtId="3" fontId="57" fillId="0" borderId="14" xfId="0" applyNumberFormat="1" applyFont="1" applyFill="1" applyBorder="1" applyAlignment="1">
      <alignment vertical="center"/>
    </xf>
    <xf numFmtId="3" fontId="57" fillId="0" borderId="12" xfId="4" applyNumberFormat="1" applyFont="1" applyFill="1" applyBorder="1" applyAlignment="1">
      <alignment vertical="center" wrapText="1"/>
    </xf>
    <xf numFmtId="165" fontId="57" fillId="0" borderId="1" xfId="1" applyNumberFormat="1" applyFont="1" applyFill="1" applyBorder="1" applyAlignment="1">
      <alignment vertical="center"/>
    </xf>
    <xf numFmtId="3" fontId="57" fillId="8" borderId="0" xfId="0" applyNumberFormat="1" applyFont="1" applyFill="1" applyBorder="1" applyAlignment="1">
      <alignment horizontal="right" vertical="center"/>
    </xf>
    <xf numFmtId="3" fontId="67" fillId="8" borderId="0" xfId="1" applyNumberFormat="1" applyFont="1" applyFill="1" applyAlignment="1">
      <alignment vertical="center" wrapText="1"/>
    </xf>
    <xf numFmtId="3" fontId="67" fillId="8" borderId="0" xfId="0" applyNumberFormat="1" applyFont="1" applyFill="1" applyAlignment="1">
      <alignment horizontal="right" vertical="center"/>
    </xf>
    <xf numFmtId="165" fontId="67" fillId="0" borderId="1" xfId="1" applyNumberFormat="1" applyFont="1" applyBorder="1" applyAlignment="1">
      <alignment vertical="center"/>
    </xf>
    <xf numFmtId="3" fontId="67" fillId="0" borderId="0" xfId="1" applyNumberFormat="1" applyFont="1" applyAlignment="1">
      <alignment vertical="center" wrapText="1"/>
    </xf>
    <xf numFmtId="0" fontId="57" fillId="8" borderId="0" xfId="0" applyFont="1" applyFill="1" applyBorder="1" applyAlignment="1">
      <alignment vertical="center" wrapText="1"/>
    </xf>
    <xf numFmtId="165" fontId="57" fillId="8" borderId="1" xfId="1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vertical="center" wrapText="1"/>
    </xf>
    <xf numFmtId="165" fontId="58" fillId="8" borderId="1" xfId="1" applyNumberFormat="1" applyFont="1" applyFill="1" applyBorder="1" applyAlignment="1">
      <alignment vertical="center"/>
    </xf>
    <xf numFmtId="165" fontId="57" fillId="8" borderId="1" xfId="1" applyNumberFormat="1" applyFont="1" applyFill="1" applyBorder="1" applyAlignment="1">
      <alignment vertical="center"/>
    </xf>
    <xf numFmtId="0" fontId="58" fillId="8" borderId="1" xfId="0" applyFont="1" applyFill="1" applyBorder="1" applyAlignment="1">
      <alignment vertical="center" wrapText="1"/>
    </xf>
    <xf numFmtId="0" fontId="57" fillId="8" borderId="14" xfId="0" applyFont="1" applyFill="1" applyBorder="1" applyAlignment="1">
      <alignment vertical="center"/>
    </xf>
    <xf numFmtId="3" fontId="57" fillId="8" borderId="5" xfId="1" applyNumberFormat="1" applyFont="1" applyFill="1" applyBorder="1" applyAlignment="1">
      <alignment vertical="center" wrapText="1"/>
    </xf>
    <xf numFmtId="3" fontId="60" fillId="8" borderId="0" xfId="1" applyNumberFormat="1" applyFont="1" applyFill="1" applyAlignment="1">
      <alignment vertical="center" wrapText="1"/>
    </xf>
    <xf numFmtId="165" fontId="60" fillId="8" borderId="1" xfId="1" applyNumberFormat="1" applyFont="1" applyFill="1" applyBorder="1" applyAlignment="1">
      <alignment horizontal="right" vertical="center"/>
    </xf>
    <xf numFmtId="3" fontId="57" fillId="8" borderId="0" xfId="1" applyNumberFormat="1" applyFont="1" applyFill="1" applyAlignment="1">
      <alignment vertical="center" wrapText="1"/>
    </xf>
    <xf numFmtId="165" fontId="58" fillId="8" borderId="1" xfId="1" applyNumberFormat="1" applyFont="1" applyFill="1" applyBorder="1" applyAlignment="1">
      <alignment horizontal="right" vertical="center"/>
    </xf>
    <xf numFmtId="0" fontId="0" fillId="8" borderId="0" xfId="0" applyFill="1"/>
    <xf numFmtId="3" fontId="57" fillId="8" borderId="14" xfId="0" applyNumberFormat="1" applyFont="1" applyFill="1" applyBorder="1" applyAlignment="1">
      <alignment horizontal="right" vertical="center"/>
    </xf>
    <xf numFmtId="165" fontId="57" fillId="8" borderId="0" xfId="1" applyNumberFormat="1" applyFont="1" applyFill="1" applyAlignment="1">
      <alignment horizontal="right" vertical="center"/>
    </xf>
    <xf numFmtId="0" fontId="57" fillId="8" borderId="0" xfId="0" applyFont="1" applyFill="1"/>
    <xf numFmtId="165" fontId="58" fillId="8" borderId="0" xfId="1" applyNumberFormat="1" applyFont="1" applyFill="1" applyAlignment="1">
      <alignment vertical="center"/>
    </xf>
    <xf numFmtId="169" fontId="0" fillId="8" borderId="0" xfId="1" applyNumberFormat="1" applyFont="1" applyFill="1" applyAlignment="1">
      <alignment horizontal="right"/>
    </xf>
    <xf numFmtId="0" fontId="10" fillId="3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57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 wrapText="1"/>
    </xf>
    <xf numFmtId="165" fontId="58" fillId="0" borderId="0" xfId="1" applyNumberFormat="1" applyFont="1" applyFill="1" applyBorder="1" applyAlignment="1">
      <alignment vertical="center"/>
    </xf>
    <xf numFmtId="169" fontId="0" fillId="0" borderId="0" xfId="1" applyNumberFormat="1" applyFont="1" applyFill="1" applyAlignment="1">
      <alignment horizontal="right"/>
    </xf>
    <xf numFmtId="0" fontId="57" fillId="0" borderId="0" xfId="0" applyFont="1" applyFill="1"/>
    <xf numFmtId="0" fontId="58" fillId="0" borderId="0" xfId="0" applyFont="1" applyBorder="1" applyAlignment="1">
      <alignment vertical="center" wrapText="1"/>
    </xf>
    <xf numFmtId="165" fontId="58" fillId="0" borderId="0" xfId="1" applyNumberFormat="1" applyFont="1" applyBorder="1" applyAlignment="1">
      <alignment vertical="center"/>
    </xf>
    <xf numFmtId="0" fontId="57" fillId="0" borderId="0" xfId="0" applyFont="1" applyFill="1" applyBorder="1" applyAlignment="1">
      <alignment vertical="center"/>
    </xf>
  </cellXfs>
  <cellStyles count="11">
    <cellStyle name="Komma" xfId="1" builtinId="3"/>
    <cellStyle name="Komma 2" xfId="8" xr:uid="{00000000-0005-0000-0000-000001000000}"/>
    <cellStyle name="Komma 2 2" xfId="10" xr:uid="{B4E66F90-2F46-4539-B0D3-A60FEB9346C3}"/>
    <cellStyle name="Normal" xfId="0" builtinId="0"/>
    <cellStyle name="Normal 2" xfId="3" xr:uid="{00000000-0005-0000-0000-000003000000}"/>
    <cellStyle name="Normal 2 2" xfId="9" xr:uid="{00000000-0005-0000-0000-000004000000}"/>
    <cellStyle name="Normal 3" xfId="2" xr:uid="{00000000-0005-0000-0000-000005000000}"/>
    <cellStyle name="Normal 4" xfId="5" xr:uid="{00000000-0005-0000-0000-000006000000}"/>
    <cellStyle name="Prosent" xfId="7" builtinId="5"/>
    <cellStyle name="Tusenskille 2" xfId="4" xr:uid="{00000000-0005-0000-0000-000008000000}"/>
    <cellStyle name="Tusenskille 3" xfId="6" xr:uid="{00000000-0005-0000-0000-000009000000}"/>
  </cellStyles>
  <dxfs count="10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62AB"/>
      <color rgb="FF00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dneskommune.sharepoint.com/Budsjett%20og%20analyse/Guri/&#216;konomiplan%202018-2021/Driftskostnader%20for%20nye%20bygg%20-%20tiltaksliste%202018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cbak/Desktop/Kopi%20av%20Driftskostnader%20for%20nye%20bygg%20-%20tiltaksliste%20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eldend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  <row r="4">
          <cell r="D4" t="str">
            <v>RENHOLD</v>
          </cell>
        </row>
        <row r="5">
          <cell r="D5" t="str">
            <v>ENERGI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huslei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skeland, Mathilde" id="{EB277BCA-C6F2-43D8-AAA3-CF207A7DF76C}" userId="S::mathilde.askeland@sandnes.kommune.no::bc24f3bb-4252-4ddc-bd29-4e7cd689631c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48" dT="2021-06-09T12:21:07.77" personId="{EB277BCA-C6F2-43D8-AAA3-CF207A7DF76C}" id="{415FB03B-0B31-4CFC-935E-D782934D5ED4}">
    <text>Redusert med 7591 for å få budsjett til å samsvare med Eiendoms budsjett for total internhusleie - avvik stammer fra 2021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329" dT="2021-06-09T12:21:07.77" personId="{EB277BCA-C6F2-43D8-AAA3-CF207A7DF76C}" id="{325C9A48-C7D7-4D66-92EC-9409E87DC0A9}">
    <text>Redusert med 7591 for å få budsjett til å samsvare med Eiendoms budsjett for total internhusleie - avvik stammer fra 2021</text>
  </threadedComment>
  <threadedComment ref="F329" dT="2021-09-02T10:58:34.02" personId="{EB277BCA-C6F2-43D8-AAA3-CF207A7DF76C}" id="{8C5D3744-1E8D-474F-A956-A82CA573E88F}" parentId="{325C9A48-C7D7-4D66-92EC-9409E87DC0A9}">
    <text>Alle helårsvirkninger + reduksjon pga gamle bygg, Hentet fra internhusleie oppsummert2022 rad 128-129</text>
  </threadedComment>
  <threadedComment ref="F333" dT="2021-06-09T12:18:52.68" personId="{EB277BCA-C6F2-43D8-AAA3-CF207A7DF76C}" id="{9F6D2EC8-0F05-4709-911F-1ADA9B64BF1A}">
    <text>Redusert med 2600 som gjelder reduksjon rentekostnad "eldre bygg" - rentekostnader som reduseres på grunn av mindre restgjeld sammenlignet med fjoråret</text>
  </threadedComment>
  <threadedComment ref="F334" dT="2021-06-09T12:18:56.45" personId="{EB277BCA-C6F2-43D8-AAA3-CF207A7DF76C}" id="{928B281F-DEB7-4D6B-9251-50132AC6DE76}">
    <text>Redusert med 2600 som gjelder reduksjon rentekostnad "eldre bygg" - rentekostnader som reduseres på grunn av mindre restgjeld sammenlignet med fjoråret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343" dT="2021-06-09T12:21:07.77" personId="{EB277BCA-C6F2-43D8-AAA3-CF207A7DF76C}" id="{6CC89C8C-5D26-4954-B83E-804F713E4780}">
    <text>Redusert med 7591 for å få budsjett til å samsvare med Eiendoms budsjett for total internhusleie - avvik stammer fra 2021</text>
  </threadedComment>
  <threadedComment ref="F343" dT="2021-06-21T10:07:44.13" personId="{EB277BCA-C6F2-43D8-AAA3-CF207A7DF76C}" id="{F0A81204-1A9B-40D5-ADE7-3D53C9768E66}" parentId="{6CC89C8C-5D26-4954-B83E-804F713E4780}">
    <text>Reduserer internhusleien med 2600 ref F42 og F43; reduksjon i rentekostnad</text>
  </threadedComment>
  <threadedComment ref="F347" dT="2021-06-09T12:18:52.68" personId="{EB277BCA-C6F2-43D8-AAA3-CF207A7DF76C}" id="{69371F34-0864-47CD-8E16-0E11306110A9}">
    <text>Redusert med 2600 som gjelder reduksjon rentekostnad "eldre bygg" - rentekostnader som reduseres på grunn av mindre restgjeld sammenlignet med fjoråret</text>
  </threadedComment>
  <threadedComment ref="F348" dT="2021-06-09T12:18:56.45" personId="{EB277BCA-C6F2-43D8-AAA3-CF207A7DF76C}" id="{FF298CB5-A7CF-452D-BD78-B361BB91B5DE}">
    <text>Redusert med 2600 som gjelder reduksjon rentekostnad "eldre bygg" - rentekostnader som reduseres på grunn av mindre restgjeld sammenlignet med fjoråret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7B1A-1DCE-4A50-B8E7-9CA03B9A2C78}">
  <sheetPr>
    <tabColor theme="4" tint="0.59999389629810485"/>
  </sheetPr>
  <dimension ref="A1:G250"/>
  <sheetViews>
    <sheetView tabSelected="1" zoomScaleNormal="100" workbookViewId="0">
      <selection activeCell="J10" sqref="J10"/>
    </sheetView>
  </sheetViews>
  <sheetFormatPr baseColWidth="10" defaultRowHeight="15" x14ac:dyDescent="0.25"/>
  <cols>
    <col min="1" max="1" width="6" customWidth="1"/>
    <col min="2" max="2" width="58.7109375" customWidth="1"/>
    <col min="3" max="3" width="12" bestFit="1" customWidth="1"/>
    <col min="4" max="4" width="13.42578125" customWidth="1"/>
    <col min="5" max="5" width="13.5703125" customWidth="1"/>
    <col min="6" max="6" width="13" customWidth="1"/>
  </cols>
  <sheetData>
    <row r="1" spans="1:6" s="26" customFormat="1" ht="23.25" x14ac:dyDescent="0.25">
      <c r="A1" s="292" t="s">
        <v>985</v>
      </c>
      <c r="B1" s="294"/>
      <c r="C1" s="292"/>
      <c r="D1" s="292"/>
      <c r="E1" s="292"/>
      <c r="F1" s="292"/>
    </row>
    <row r="2" spans="1:6" s="26" customFormat="1" x14ac:dyDescent="0.25">
      <c r="A2" s="293"/>
      <c r="B2" s="293"/>
      <c r="C2" s="36"/>
      <c r="D2" s="36"/>
      <c r="E2" s="36"/>
      <c r="F2" s="36"/>
    </row>
    <row r="3" spans="1:6" s="36" customFormat="1" x14ac:dyDescent="0.25">
      <c r="A3" s="5" t="s">
        <v>34</v>
      </c>
      <c r="B3" s="3" t="s">
        <v>35</v>
      </c>
      <c r="C3" s="4">
        <v>2022</v>
      </c>
      <c r="D3" s="4">
        <v>2023</v>
      </c>
      <c r="E3" s="4">
        <v>2024</v>
      </c>
      <c r="F3" s="4">
        <v>2025</v>
      </c>
    </row>
    <row r="4" spans="1:6" s="36" customFormat="1" x14ac:dyDescent="0.25">
      <c r="A4" s="9"/>
      <c r="B4" s="15"/>
      <c r="C4" s="233"/>
      <c r="D4" s="233"/>
      <c r="E4" s="233"/>
      <c r="F4" s="233"/>
    </row>
    <row r="5" spans="1:6" s="36" customFormat="1" x14ac:dyDescent="0.25">
      <c r="A5" s="42"/>
      <c r="B5" s="14" t="s">
        <v>42</v>
      </c>
      <c r="C5" s="83"/>
      <c r="D5" s="83"/>
      <c r="E5" s="83"/>
      <c r="F5" s="83"/>
    </row>
    <row r="6" spans="1:6" s="36" customFormat="1" x14ac:dyDescent="0.25">
      <c r="A6" s="651" t="s">
        <v>564</v>
      </c>
      <c r="B6" s="616" t="s">
        <v>45</v>
      </c>
      <c r="C6" s="617">
        <v>-2801000</v>
      </c>
      <c r="D6" s="617">
        <v>-2833000</v>
      </c>
      <c r="E6" s="617">
        <v>-2864000</v>
      </c>
      <c r="F6" s="617">
        <v>-2895000</v>
      </c>
    </row>
    <row r="7" spans="1:6" s="36" customFormat="1" x14ac:dyDescent="0.25">
      <c r="A7" s="651" t="s">
        <v>812</v>
      </c>
      <c r="B7" s="639" t="s">
        <v>802</v>
      </c>
      <c r="C7" s="633">
        <v>-38000</v>
      </c>
      <c r="D7" s="633">
        <v>-38000</v>
      </c>
      <c r="E7" s="633">
        <v>-38000</v>
      </c>
      <c r="F7" s="633">
        <v>-38000</v>
      </c>
    </row>
    <row r="8" spans="1:6" s="36" customFormat="1" x14ac:dyDescent="0.25">
      <c r="A8" s="651" t="s">
        <v>813</v>
      </c>
      <c r="B8" s="639" t="s">
        <v>803</v>
      </c>
      <c r="C8" s="633">
        <v>-5000</v>
      </c>
      <c r="D8" s="633">
        <v>-15000</v>
      </c>
      <c r="E8" s="633">
        <v>-20000</v>
      </c>
      <c r="F8" s="633">
        <v>-20000</v>
      </c>
    </row>
    <row r="9" spans="1:6" s="36" customFormat="1" x14ac:dyDescent="0.25">
      <c r="A9" s="651" t="s">
        <v>567</v>
      </c>
      <c r="B9" s="616" t="s">
        <v>49</v>
      </c>
      <c r="C9" s="617">
        <v>-2060000</v>
      </c>
      <c r="D9" s="617">
        <v>-2101000</v>
      </c>
      <c r="E9" s="617">
        <v>-2127000</v>
      </c>
      <c r="F9" s="617">
        <v>-2147000</v>
      </c>
    </row>
    <row r="10" spans="1:6" s="36" customFormat="1" x14ac:dyDescent="0.25">
      <c r="A10" s="651" t="s">
        <v>814</v>
      </c>
      <c r="B10" s="639" t="s">
        <v>804</v>
      </c>
      <c r="C10" s="633">
        <v>10000</v>
      </c>
      <c r="D10" s="633">
        <v>6000</v>
      </c>
      <c r="E10" s="633">
        <v>6000</v>
      </c>
      <c r="F10" s="633">
        <v>6000</v>
      </c>
    </row>
    <row r="11" spans="1:6" s="36" customFormat="1" x14ac:dyDescent="0.25">
      <c r="A11" s="651" t="s">
        <v>569</v>
      </c>
      <c r="B11" s="616" t="s">
        <v>50</v>
      </c>
      <c r="C11" s="617">
        <v>-63000</v>
      </c>
      <c r="D11" s="617">
        <v>-64000</v>
      </c>
      <c r="E11" s="617">
        <v>-64000</v>
      </c>
      <c r="F11" s="617">
        <v>-64000</v>
      </c>
    </row>
    <row r="12" spans="1:6" s="36" customFormat="1" x14ac:dyDescent="0.25">
      <c r="A12" s="651" t="s">
        <v>572</v>
      </c>
      <c r="B12" s="616" t="s">
        <v>52</v>
      </c>
      <c r="C12" s="617">
        <v>-30000</v>
      </c>
      <c r="D12" s="617">
        <v>-15000</v>
      </c>
      <c r="E12" s="617">
        <v>-15000</v>
      </c>
      <c r="F12" s="617">
        <v>-15000</v>
      </c>
    </row>
    <row r="13" spans="1:6" s="36" customFormat="1" x14ac:dyDescent="0.25">
      <c r="A13" s="651" t="s">
        <v>815</v>
      </c>
      <c r="B13" s="616" t="s">
        <v>54</v>
      </c>
      <c r="C13" s="617">
        <v>-10300</v>
      </c>
      <c r="D13" s="617">
        <v>-10300</v>
      </c>
      <c r="E13" s="617">
        <v>-10300</v>
      </c>
      <c r="F13" s="617">
        <v>-10300</v>
      </c>
    </row>
    <row r="14" spans="1:6" s="36" customFormat="1" x14ac:dyDescent="0.25">
      <c r="A14" s="651" t="s">
        <v>816</v>
      </c>
      <c r="B14" s="616" t="s">
        <v>56</v>
      </c>
      <c r="C14" s="617">
        <v>10300</v>
      </c>
      <c r="D14" s="617">
        <v>10300</v>
      </c>
      <c r="E14" s="617">
        <v>10300</v>
      </c>
      <c r="F14" s="617">
        <v>10300</v>
      </c>
    </row>
    <row r="15" spans="1:6" s="36" customFormat="1" x14ac:dyDescent="0.25">
      <c r="A15" s="651" t="s">
        <v>817</v>
      </c>
      <c r="B15" s="616" t="s">
        <v>57</v>
      </c>
      <c r="C15" s="617">
        <v>-9900</v>
      </c>
      <c r="D15" s="617">
        <v>-10100</v>
      </c>
      <c r="E15" s="617">
        <v>-9700</v>
      </c>
      <c r="F15" s="617">
        <v>-9200</v>
      </c>
    </row>
    <row r="16" spans="1:6" s="36" customFormat="1" x14ac:dyDescent="0.25">
      <c r="A16" s="651" t="s">
        <v>818</v>
      </c>
      <c r="B16" s="616" t="s">
        <v>59</v>
      </c>
      <c r="C16" s="617">
        <v>-41594</v>
      </c>
      <c r="D16" s="617">
        <v>-42947</v>
      </c>
      <c r="E16" s="617">
        <v>-43666</v>
      </c>
      <c r="F16" s="617">
        <v>-45467</v>
      </c>
    </row>
    <row r="17" spans="1:6" s="36" customFormat="1" x14ac:dyDescent="0.25">
      <c r="A17" s="651" t="s">
        <v>819</v>
      </c>
      <c r="B17" s="616" t="s">
        <v>61</v>
      </c>
      <c r="C17" s="617">
        <v>101000</v>
      </c>
      <c r="D17" s="617">
        <v>123000</v>
      </c>
      <c r="E17" s="617">
        <v>133000</v>
      </c>
      <c r="F17" s="617">
        <v>140000</v>
      </c>
    </row>
    <row r="18" spans="1:6" s="36" customFormat="1" x14ac:dyDescent="0.25">
      <c r="A18" s="651" t="s">
        <v>820</v>
      </c>
      <c r="B18" s="639" t="s">
        <v>805</v>
      </c>
      <c r="C18" s="633">
        <v>-475</v>
      </c>
      <c r="D18" s="633">
        <v>-1523</v>
      </c>
      <c r="E18" s="633">
        <v>-2705</v>
      </c>
      <c r="F18" s="633">
        <v>-3957</v>
      </c>
    </row>
    <row r="19" spans="1:6" s="36" customFormat="1" x14ac:dyDescent="0.25">
      <c r="A19" s="651" t="s">
        <v>821</v>
      </c>
      <c r="B19" s="639" t="s">
        <v>806</v>
      </c>
      <c r="C19" s="633">
        <v>266</v>
      </c>
      <c r="D19" s="633">
        <v>1266</v>
      </c>
      <c r="E19" s="633">
        <v>2665</v>
      </c>
      <c r="F19" s="633">
        <v>4197</v>
      </c>
    </row>
    <row r="20" spans="1:6" s="36" customFormat="1" x14ac:dyDescent="0.25">
      <c r="A20" s="651" t="s">
        <v>822</v>
      </c>
      <c r="B20" s="616" t="s">
        <v>62</v>
      </c>
      <c r="C20" s="617">
        <v>292000</v>
      </c>
      <c r="D20" s="617">
        <v>309000</v>
      </c>
      <c r="E20" s="617">
        <v>322000</v>
      </c>
      <c r="F20" s="617">
        <v>337000</v>
      </c>
    </row>
    <row r="21" spans="1:6" s="36" customFormat="1" x14ac:dyDescent="0.25">
      <c r="A21" s="651" t="s">
        <v>823</v>
      </c>
      <c r="B21" s="639" t="s">
        <v>807</v>
      </c>
      <c r="C21" s="633">
        <v>-206</v>
      </c>
      <c r="D21" s="633">
        <v>-904</v>
      </c>
      <c r="E21" s="633">
        <v>-1765</v>
      </c>
      <c r="F21" s="633">
        <v>-2679</v>
      </c>
    </row>
    <row r="22" spans="1:6" s="36" customFormat="1" x14ac:dyDescent="0.25">
      <c r="A22" s="651" t="s">
        <v>824</v>
      </c>
      <c r="B22" s="639" t="s">
        <v>808</v>
      </c>
      <c r="C22" s="633">
        <v>610</v>
      </c>
      <c r="D22" s="633">
        <v>2129</v>
      </c>
      <c r="E22" s="633">
        <v>4074</v>
      </c>
      <c r="F22" s="633">
        <v>6182</v>
      </c>
    </row>
    <row r="23" spans="1:6" s="36" customFormat="1" x14ac:dyDescent="0.25">
      <c r="A23" s="651" t="s">
        <v>825</v>
      </c>
      <c r="B23" s="616" t="s">
        <v>63</v>
      </c>
      <c r="C23" s="617">
        <v>-17800</v>
      </c>
      <c r="D23" s="617">
        <v>-23300</v>
      </c>
      <c r="E23" s="617">
        <v>-25600</v>
      </c>
      <c r="F23" s="617">
        <v>-26800</v>
      </c>
    </row>
    <row r="24" spans="1:6" s="36" customFormat="1" x14ac:dyDescent="0.25">
      <c r="A24" s="651" t="s">
        <v>826</v>
      </c>
      <c r="B24" s="616" t="s">
        <v>64</v>
      </c>
      <c r="C24" s="617">
        <v>-36400</v>
      </c>
      <c r="D24" s="617">
        <v>-48800</v>
      </c>
      <c r="E24" s="617">
        <v>-56000</v>
      </c>
      <c r="F24" s="617">
        <v>-61000</v>
      </c>
    </row>
    <row r="25" spans="1:6" s="36" customFormat="1" x14ac:dyDescent="0.25">
      <c r="A25" s="651" t="s">
        <v>827</v>
      </c>
      <c r="B25" s="616" t="s">
        <v>65</v>
      </c>
      <c r="C25" s="617">
        <v>36400</v>
      </c>
      <c r="D25" s="617">
        <v>48800</v>
      </c>
      <c r="E25" s="617">
        <v>56000</v>
      </c>
      <c r="F25" s="617">
        <v>61000</v>
      </c>
    </row>
    <row r="26" spans="1:6" s="36" customFormat="1" x14ac:dyDescent="0.25">
      <c r="A26" s="651" t="s">
        <v>828</v>
      </c>
      <c r="B26" s="616" t="s">
        <v>66</v>
      </c>
      <c r="C26" s="617">
        <v>-10500</v>
      </c>
      <c r="D26" s="617">
        <v>-11500</v>
      </c>
      <c r="E26" s="617">
        <v>-11500</v>
      </c>
      <c r="F26" s="617">
        <v>-11000</v>
      </c>
    </row>
    <row r="27" spans="1:6" s="36" customFormat="1" x14ac:dyDescent="0.25">
      <c r="A27" s="651" t="s">
        <v>829</v>
      </c>
      <c r="B27" s="616" t="s">
        <v>67</v>
      </c>
      <c r="C27" s="617">
        <v>-127000</v>
      </c>
      <c r="D27" s="617">
        <v>-129000</v>
      </c>
      <c r="E27" s="617">
        <v>-131000</v>
      </c>
      <c r="F27" s="617">
        <v>-135000</v>
      </c>
    </row>
    <row r="28" spans="1:6" s="36" customFormat="1" x14ac:dyDescent="0.25">
      <c r="A28" s="651" t="s">
        <v>830</v>
      </c>
      <c r="B28" s="616" t="s">
        <v>69</v>
      </c>
      <c r="C28" s="617">
        <v>-1250</v>
      </c>
      <c r="D28" s="617">
        <v>-1339</v>
      </c>
      <c r="E28" s="617">
        <v>-1607</v>
      </c>
      <c r="F28" s="617">
        <v>-1607</v>
      </c>
    </row>
    <row r="29" spans="1:6" s="36" customFormat="1" x14ac:dyDescent="0.25">
      <c r="A29" s="651" t="s">
        <v>831</v>
      </c>
      <c r="B29" s="616" t="s">
        <v>71</v>
      </c>
      <c r="C29" s="617">
        <v>-2000</v>
      </c>
      <c r="D29" s="617">
        <v>-2000</v>
      </c>
      <c r="E29" s="617">
        <v>-2000</v>
      </c>
      <c r="F29" s="617">
        <v>-2000</v>
      </c>
    </row>
    <row r="30" spans="1:6" s="36" customFormat="1" x14ac:dyDescent="0.25">
      <c r="A30" s="651" t="s">
        <v>832</v>
      </c>
      <c r="B30" s="616" t="s">
        <v>72</v>
      </c>
      <c r="C30" s="617">
        <v>-3600</v>
      </c>
      <c r="D30" s="617">
        <v>-3900</v>
      </c>
      <c r="E30" s="617">
        <v>-3900</v>
      </c>
      <c r="F30" s="617">
        <v>-3800</v>
      </c>
    </row>
    <row r="31" spans="1:6" s="36" customFormat="1" x14ac:dyDescent="0.25">
      <c r="A31" s="651" t="s">
        <v>833</v>
      </c>
      <c r="B31" s="616" t="s">
        <v>73</v>
      </c>
      <c r="C31" s="617">
        <v>-3000</v>
      </c>
      <c r="D31" s="617">
        <v>-4000</v>
      </c>
      <c r="E31" s="617">
        <v>-4000</v>
      </c>
      <c r="F31" s="617">
        <v>-4000</v>
      </c>
    </row>
    <row r="32" spans="1:6" s="36" customFormat="1" x14ac:dyDescent="0.25">
      <c r="A32" s="651" t="s">
        <v>834</v>
      </c>
      <c r="B32" s="616" t="s">
        <v>75</v>
      </c>
      <c r="C32" s="617">
        <v>-500</v>
      </c>
      <c r="D32" s="617">
        <v>-500</v>
      </c>
      <c r="E32" s="617">
        <v>-500</v>
      </c>
      <c r="F32" s="617">
        <v>-500</v>
      </c>
    </row>
    <row r="33" spans="1:6" s="36" customFormat="1" x14ac:dyDescent="0.25">
      <c r="A33" s="651" t="s">
        <v>835</v>
      </c>
      <c r="B33" s="616" t="s">
        <v>77</v>
      </c>
      <c r="C33" s="617">
        <v>55289</v>
      </c>
      <c r="D33" s="617">
        <v>62547</v>
      </c>
      <c r="E33" s="617">
        <v>95702</v>
      </c>
      <c r="F33" s="617">
        <v>97645</v>
      </c>
    </row>
    <row r="34" spans="1:6" s="36" customFormat="1" x14ac:dyDescent="0.25">
      <c r="A34" s="651" t="s">
        <v>836</v>
      </c>
      <c r="B34" s="639" t="s">
        <v>809</v>
      </c>
      <c r="C34" s="633">
        <v>27800</v>
      </c>
      <c r="D34" s="633">
        <v>32000</v>
      </c>
      <c r="E34" s="633">
        <v>32000</v>
      </c>
      <c r="F34" s="633">
        <v>32000</v>
      </c>
    </row>
    <row r="35" spans="1:6" s="36" customFormat="1" x14ac:dyDescent="0.25">
      <c r="A35" s="651" t="s">
        <v>837</v>
      </c>
      <c r="B35" s="639" t="s">
        <v>810</v>
      </c>
      <c r="C35" s="633">
        <v>-28065</v>
      </c>
      <c r="D35" s="633">
        <v>-33538</v>
      </c>
      <c r="E35" s="633">
        <v>-30139</v>
      </c>
      <c r="F35" s="633">
        <v>-29313</v>
      </c>
    </row>
    <row r="36" spans="1:6" s="36" customFormat="1" x14ac:dyDescent="0.25">
      <c r="A36" s="651" t="s">
        <v>838</v>
      </c>
      <c r="B36" s="616" t="s">
        <v>78</v>
      </c>
      <c r="C36" s="617">
        <v>-27256</v>
      </c>
      <c r="D36" s="617"/>
      <c r="E36" s="617"/>
      <c r="F36" s="617"/>
    </row>
    <row r="37" spans="1:6" s="36" customFormat="1" x14ac:dyDescent="0.25">
      <c r="A37" s="651" t="s">
        <v>839</v>
      </c>
      <c r="B37" s="616" t="s">
        <v>80</v>
      </c>
      <c r="C37" s="617">
        <v>270000</v>
      </c>
      <c r="D37" s="617">
        <v>283000</v>
      </c>
      <c r="E37" s="617">
        <v>296000</v>
      </c>
      <c r="F37" s="617">
        <v>309000</v>
      </c>
    </row>
    <row r="38" spans="1:6" s="36" customFormat="1" x14ac:dyDescent="0.25">
      <c r="A38" s="336" t="s">
        <v>840</v>
      </c>
      <c r="B38" s="535" t="s">
        <v>82</v>
      </c>
      <c r="C38" s="536">
        <v>-270000</v>
      </c>
      <c r="D38" s="536">
        <v>-283000</v>
      </c>
      <c r="E38" s="536">
        <v>-296000</v>
      </c>
      <c r="F38" s="536">
        <v>-309000</v>
      </c>
    </row>
    <row r="39" spans="1:6" s="36" customFormat="1" x14ac:dyDescent="0.25">
      <c r="A39" s="336" t="s">
        <v>841</v>
      </c>
      <c r="B39" s="535" t="s">
        <v>83</v>
      </c>
      <c r="C39" s="536">
        <v>-19941</v>
      </c>
      <c r="D39" s="536">
        <v>-21381</v>
      </c>
      <c r="E39" s="536">
        <v>-21189</v>
      </c>
      <c r="F39" s="536">
        <v>-21619</v>
      </c>
    </row>
    <row r="40" spans="1:6" s="36" customFormat="1" x14ac:dyDescent="0.25">
      <c r="A40" s="336" t="s">
        <v>842</v>
      </c>
      <c r="B40" s="535" t="s">
        <v>85</v>
      </c>
      <c r="C40" s="536">
        <v>-41629</v>
      </c>
      <c r="D40" s="536">
        <v>-46431</v>
      </c>
      <c r="E40" s="536">
        <v>-50107</v>
      </c>
      <c r="F40" s="536">
        <v>-50938</v>
      </c>
    </row>
    <row r="41" spans="1:6" s="36" customFormat="1" x14ac:dyDescent="0.25">
      <c r="A41" s="336" t="s">
        <v>843</v>
      </c>
      <c r="B41" s="535" t="s">
        <v>86</v>
      </c>
      <c r="C41" s="536">
        <v>141</v>
      </c>
      <c r="D41" s="536">
        <v>88</v>
      </c>
      <c r="E41" s="536">
        <v>-153</v>
      </c>
      <c r="F41" s="536">
        <v>-1059</v>
      </c>
    </row>
    <row r="42" spans="1:6" s="36" customFormat="1" x14ac:dyDescent="0.25">
      <c r="A42" s="336"/>
      <c r="B42" s="535"/>
      <c r="C42" s="536"/>
      <c r="D42" s="536"/>
      <c r="E42" s="536"/>
      <c r="F42" s="536"/>
    </row>
    <row r="43" spans="1:6" s="36" customFormat="1" x14ac:dyDescent="0.25">
      <c r="A43" s="242"/>
      <c r="B43" s="539"/>
      <c r="C43" s="540"/>
      <c r="D43" s="540"/>
      <c r="E43" s="540"/>
      <c r="F43" s="540"/>
    </row>
    <row r="44" spans="1:6" s="36" customFormat="1" x14ac:dyDescent="0.25">
      <c r="A44" s="41"/>
      <c r="B44" s="3" t="s">
        <v>87</v>
      </c>
      <c r="C44" s="7">
        <v>-4844610</v>
      </c>
      <c r="D44" s="7">
        <v>-4862333</v>
      </c>
      <c r="E44" s="7">
        <v>-4872090</v>
      </c>
      <c r="F44" s="7">
        <v>-4904915</v>
      </c>
    </row>
    <row r="45" spans="1:6" s="36" customFormat="1" x14ac:dyDescent="0.25">
      <c r="A45" s="44"/>
      <c r="B45" s="3" t="s">
        <v>88</v>
      </c>
      <c r="C45" s="7">
        <v>4546363</v>
      </c>
      <c r="D45" s="7">
        <v>4546363</v>
      </c>
      <c r="E45" s="7">
        <v>4546363</v>
      </c>
      <c r="F45" s="7">
        <v>4546363</v>
      </c>
    </row>
    <row r="46" spans="1:6" s="36" customFormat="1" x14ac:dyDescent="0.25">
      <c r="A46" s="41"/>
      <c r="B46" s="3" t="s">
        <v>89</v>
      </c>
      <c r="C46" s="7">
        <v>-298247</v>
      </c>
      <c r="D46" s="7">
        <v>-315970</v>
      </c>
      <c r="E46" s="7">
        <v>-325727</v>
      </c>
      <c r="F46" s="7">
        <v>-358552</v>
      </c>
    </row>
    <row r="47" spans="1:6" s="36" customFormat="1" x14ac:dyDescent="0.25">
      <c r="A47" s="45"/>
      <c r="B47" s="9"/>
      <c r="C47" s="10"/>
      <c r="D47" s="10"/>
      <c r="E47" s="10"/>
      <c r="F47" s="10"/>
    </row>
    <row r="48" spans="1:6" s="1" customFormat="1" x14ac:dyDescent="0.25">
      <c r="A48" s="46"/>
      <c r="B48" s="11" t="s">
        <v>90</v>
      </c>
      <c r="C48" s="12"/>
      <c r="D48" s="12"/>
      <c r="E48" s="12"/>
      <c r="F48" s="12"/>
    </row>
    <row r="49" spans="1:6" s="36" customFormat="1" x14ac:dyDescent="0.25">
      <c r="A49" s="339"/>
      <c r="B49" s="244" t="s">
        <v>91</v>
      </c>
      <c r="C49" s="4">
        <v>2022</v>
      </c>
      <c r="D49" s="4">
        <v>2023</v>
      </c>
      <c r="E49" s="4">
        <v>2024</v>
      </c>
      <c r="F49" s="4">
        <v>2025</v>
      </c>
    </row>
    <row r="50" spans="1:6" s="36" customFormat="1" x14ac:dyDescent="0.25">
      <c r="A50" s="76" t="s">
        <v>844</v>
      </c>
      <c r="B50" s="539" t="s">
        <v>96</v>
      </c>
      <c r="C50" s="536">
        <v>5635</v>
      </c>
      <c r="D50" s="536">
        <v>9873</v>
      </c>
      <c r="E50" s="536">
        <v>12885</v>
      </c>
      <c r="F50" s="536">
        <v>13033</v>
      </c>
    </row>
    <row r="51" spans="1:6" s="36" customFormat="1" x14ac:dyDescent="0.25">
      <c r="A51" s="76" t="s">
        <v>845</v>
      </c>
      <c r="B51" s="539" t="s">
        <v>101</v>
      </c>
      <c r="C51" s="536">
        <v>-1894</v>
      </c>
      <c r="D51" s="536">
        <v>-1894</v>
      </c>
      <c r="E51" s="536">
        <v>-1894</v>
      </c>
      <c r="F51" s="536">
        <v>-1894</v>
      </c>
    </row>
    <row r="52" spans="1:6" s="36" customFormat="1" x14ac:dyDescent="0.25">
      <c r="A52" s="76" t="s">
        <v>846</v>
      </c>
      <c r="B52" s="539" t="s">
        <v>102</v>
      </c>
      <c r="C52" s="536">
        <v>1126</v>
      </c>
      <c r="D52" s="536">
        <v>1974</v>
      </c>
      <c r="E52" s="536">
        <v>2576</v>
      </c>
      <c r="F52" s="536">
        <v>2605</v>
      </c>
    </row>
    <row r="53" spans="1:6" s="36" customFormat="1" x14ac:dyDescent="0.25">
      <c r="A53" s="76" t="s">
        <v>847</v>
      </c>
      <c r="B53" s="539" t="s">
        <v>103</v>
      </c>
      <c r="C53" s="536">
        <v>-379</v>
      </c>
      <c r="D53" s="536">
        <v>-379</v>
      </c>
      <c r="E53" s="536">
        <v>-379</v>
      </c>
      <c r="F53" s="536">
        <v>-379</v>
      </c>
    </row>
    <row r="54" spans="1:6" s="36" customFormat="1" x14ac:dyDescent="0.25">
      <c r="A54" s="76" t="s">
        <v>848</v>
      </c>
      <c r="B54" s="539" t="s">
        <v>104</v>
      </c>
      <c r="C54" s="536"/>
      <c r="D54" s="536"/>
      <c r="E54" s="536">
        <v>-852</v>
      </c>
      <c r="F54" s="536">
        <v>-852</v>
      </c>
    </row>
    <row r="55" spans="1:6" s="36" customFormat="1" x14ac:dyDescent="0.25">
      <c r="A55" s="76" t="s">
        <v>703</v>
      </c>
      <c r="B55" s="539" t="s">
        <v>106</v>
      </c>
      <c r="C55" s="536"/>
      <c r="D55" s="536">
        <v>-2300</v>
      </c>
      <c r="E55" s="536">
        <v>-2300</v>
      </c>
      <c r="F55" s="536">
        <v>-2300</v>
      </c>
    </row>
    <row r="56" spans="1:6" s="36" customFormat="1" x14ac:dyDescent="0.25">
      <c r="A56" s="76" t="s">
        <v>849</v>
      </c>
      <c r="B56" s="243" t="s">
        <v>778</v>
      </c>
      <c r="C56" s="540">
        <v>2100</v>
      </c>
      <c r="D56" s="540">
        <v>2100</v>
      </c>
      <c r="E56" s="540">
        <v>2100</v>
      </c>
      <c r="F56" s="540">
        <v>2100</v>
      </c>
    </row>
    <row r="57" spans="1:6" s="36" customFormat="1" x14ac:dyDescent="0.25">
      <c r="A57" s="76" t="s">
        <v>850</v>
      </c>
      <c r="B57" s="614" t="s">
        <v>745</v>
      </c>
      <c r="C57" s="618">
        <v>1900</v>
      </c>
      <c r="D57" s="618">
        <v>4600</v>
      </c>
      <c r="E57" s="618">
        <v>4600</v>
      </c>
      <c r="F57" s="618">
        <v>4600</v>
      </c>
    </row>
    <row r="58" spans="1:6" s="36" customFormat="1" x14ac:dyDescent="0.25">
      <c r="A58" s="76" t="s">
        <v>851</v>
      </c>
      <c r="B58" s="642" t="s">
        <v>795</v>
      </c>
      <c r="C58" s="646">
        <v>-1900</v>
      </c>
      <c r="D58" s="646">
        <v>-4600</v>
      </c>
      <c r="E58" s="646">
        <v>-4600</v>
      </c>
      <c r="F58" s="646">
        <v>-4600</v>
      </c>
    </row>
    <row r="59" spans="1:6" s="36" customFormat="1" x14ac:dyDescent="0.25">
      <c r="A59" s="76" t="s">
        <v>852</v>
      </c>
      <c r="B59" s="539" t="s">
        <v>109</v>
      </c>
      <c r="C59" s="536">
        <v>121</v>
      </c>
      <c r="D59" s="536">
        <v>212</v>
      </c>
      <c r="E59" s="536">
        <v>276</v>
      </c>
      <c r="F59" s="536">
        <v>279</v>
      </c>
    </row>
    <row r="60" spans="1:6" s="36" customFormat="1" x14ac:dyDescent="0.25">
      <c r="A60" s="76" t="s">
        <v>853</v>
      </c>
      <c r="B60" s="539" t="s">
        <v>110</v>
      </c>
      <c r="C60" s="540">
        <v>-41</v>
      </c>
      <c r="D60" s="540">
        <v>-41</v>
      </c>
      <c r="E60" s="540">
        <v>-41</v>
      </c>
      <c r="F60" s="540">
        <v>-41</v>
      </c>
    </row>
    <row r="61" spans="1:6" s="36" customFormat="1" x14ac:dyDescent="0.25">
      <c r="A61" s="76" t="s">
        <v>854</v>
      </c>
      <c r="B61" s="539" t="s">
        <v>111</v>
      </c>
      <c r="C61" s="540">
        <v>2316</v>
      </c>
      <c r="D61" s="540">
        <v>2316</v>
      </c>
      <c r="E61" s="540">
        <v>2316</v>
      </c>
      <c r="F61" s="540">
        <v>2316</v>
      </c>
    </row>
    <row r="62" spans="1:6" s="36" customFormat="1" x14ac:dyDescent="0.25">
      <c r="A62" s="76" t="s">
        <v>855</v>
      </c>
      <c r="B62" s="539" t="s">
        <v>113</v>
      </c>
      <c r="C62" s="540">
        <v>-2316</v>
      </c>
      <c r="D62" s="540">
        <v>-2316</v>
      </c>
      <c r="E62" s="540">
        <v>-2316</v>
      </c>
      <c r="F62" s="540">
        <v>-2316</v>
      </c>
    </row>
    <row r="63" spans="1:6" s="36" customFormat="1" x14ac:dyDescent="0.25">
      <c r="A63" s="76" t="s">
        <v>856</v>
      </c>
      <c r="B63" s="539" t="s">
        <v>114</v>
      </c>
      <c r="C63" s="541">
        <v>18700</v>
      </c>
      <c r="D63" s="541">
        <v>18700</v>
      </c>
      <c r="E63" s="541">
        <v>18700</v>
      </c>
      <c r="F63" s="541">
        <v>18700</v>
      </c>
    </row>
    <row r="64" spans="1:6" s="36" customFormat="1" x14ac:dyDescent="0.25">
      <c r="A64" s="76" t="s">
        <v>857</v>
      </c>
      <c r="B64" s="542" t="s">
        <v>116</v>
      </c>
      <c r="C64" s="543">
        <v>900</v>
      </c>
      <c r="D64" s="541">
        <v>4700</v>
      </c>
      <c r="E64" s="541">
        <v>11100</v>
      </c>
      <c r="F64" s="541">
        <v>11100</v>
      </c>
    </row>
    <row r="65" spans="1:6" x14ac:dyDescent="0.25">
      <c r="A65" s="76" t="s">
        <v>858</v>
      </c>
      <c r="B65" s="539" t="s">
        <v>117</v>
      </c>
      <c r="C65" s="541">
        <v>2000</v>
      </c>
      <c r="D65" s="541">
        <v>2000</v>
      </c>
      <c r="E65" s="541">
        <v>2000</v>
      </c>
      <c r="F65" s="541">
        <v>2000</v>
      </c>
    </row>
    <row r="66" spans="1:6" s="36" customFormat="1" x14ac:dyDescent="0.25">
      <c r="A66" s="76" t="s">
        <v>859</v>
      </c>
      <c r="B66" s="513" t="s">
        <v>791</v>
      </c>
      <c r="C66" s="645">
        <v>11000</v>
      </c>
      <c r="D66" s="645">
        <v>20000</v>
      </c>
      <c r="E66" s="645">
        <v>20000</v>
      </c>
      <c r="F66" s="645">
        <v>20000</v>
      </c>
    </row>
    <row r="67" spans="1:6" s="470" customFormat="1" x14ac:dyDescent="0.25">
      <c r="A67" s="465"/>
      <c r="C67" s="654"/>
      <c r="D67" s="654"/>
      <c r="E67" s="654"/>
      <c r="F67" s="654"/>
    </row>
    <row r="68" spans="1:6" s="1" customFormat="1" x14ac:dyDescent="0.25">
      <c r="A68" s="76" t="s">
        <v>654</v>
      </c>
      <c r="B68" s="14" t="s">
        <v>119</v>
      </c>
      <c r="C68" s="4">
        <v>2022</v>
      </c>
      <c r="D68" s="4">
        <v>2023</v>
      </c>
      <c r="E68" s="4">
        <v>2024</v>
      </c>
      <c r="F68" s="4">
        <v>2025</v>
      </c>
    </row>
    <row r="69" spans="1:6" s="36" customFormat="1" x14ac:dyDescent="0.25">
      <c r="A69" s="76" t="s">
        <v>860</v>
      </c>
      <c r="B69" s="539" t="s">
        <v>120</v>
      </c>
      <c r="C69" s="544"/>
      <c r="D69" s="544"/>
      <c r="E69" s="544">
        <v>6666.6666666666661</v>
      </c>
      <c r="F69" s="544">
        <v>16000</v>
      </c>
    </row>
    <row r="70" spans="1:6" s="36" customFormat="1" x14ac:dyDescent="0.25">
      <c r="A70" s="76" t="s">
        <v>861</v>
      </c>
      <c r="B70" s="539" t="s">
        <v>122</v>
      </c>
      <c r="C70" s="544"/>
      <c r="D70" s="544"/>
      <c r="E70" s="544">
        <v>-1332.0833333333335</v>
      </c>
      <c r="F70" s="544">
        <v>-3197</v>
      </c>
    </row>
    <row r="71" spans="1:6" s="36" customFormat="1" x14ac:dyDescent="0.25">
      <c r="A71" s="76" t="s">
        <v>862</v>
      </c>
      <c r="B71" s="644" t="s">
        <v>793</v>
      </c>
      <c r="C71" s="643">
        <v>2100</v>
      </c>
      <c r="D71" s="643">
        <v>4600</v>
      </c>
      <c r="E71" s="643">
        <v>4600</v>
      </c>
      <c r="F71" s="643">
        <v>4600</v>
      </c>
    </row>
    <row r="72" spans="1:6" s="36" customFormat="1" x14ac:dyDescent="0.25">
      <c r="A72" s="76" t="s">
        <v>863</v>
      </c>
      <c r="B72" s="539" t="s">
        <v>124</v>
      </c>
      <c r="C72" s="544">
        <v>-5390</v>
      </c>
      <c r="D72" s="544">
        <v>-5390</v>
      </c>
      <c r="E72" s="544">
        <v>-5390</v>
      </c>
      <c r="F72" s="544">
        <v>-5390</v>
      </c>
    </row>
    <row r="73" spans="1:6" s="36" customFormat="1" x14ac:dyDescent="0.25">
      <c r="A73" s="76" t="s">
        <v>864</v>
      </c>
      <c r="B73" s="642" t="s">
        <v>792</v>
      </c>
      <c r="C73" s="643">
        <v>5390</v>
      </c>
      <c r="D73" s="643">
        <v>5390</v>
      </c>
      <c r="E73" s="643">
        <v>5390</v>
      </c>
      <c r="F73" s="643">
        <v>5390</v>
      </c>
    </row>
    <row r="74" spans="1:6" s="36" customFormat="1" x14ac:dyDescent="0.25">
      <c r="A74" s="76" t="s">
        <v>865</v>
      </c>
      <c r="B74" s="614" t="s">
        <v>125</v>
      </c>
      <c r="C74" s="617">
        <v>14500</v>
      </c>
      <c r="D74" s="617">
        <v>14500</v>
      </c>
      <c r="E74" s="617">
        <v>14500</v>
      </c>
      <c r="F74" s="617">
        <v>14500</v>
      </c>
    </row>
    <row r="75" spans="1:6" s="36" customFormat="1" x14ac:dyDescent="0.25">
      <c r="A75" s="76" t="s">
        <v>866</v>
      </c>
      <c r="B75" s="614" t="s">
        <v>127</v>
      </c>
      <c r="C75" s="470">
        <v>231</v>
      </c>
      <c r="D75" s="470">
        <v>231</v>
      </c>
      <c r="E75" s="470">
        <v>231</v>
      </c>
      <c r="F75" s="470">
        <v>231</v>
      </c>
    </row>
    <row r="76" spans="1:6" s="36" customFormat="1" x14ac:dyDescent="0.25">
      <c r="A76" s="76" t="s">
        <v>706</v>
      </c>
      <c r="B76" s="614" t="s">
        <v>762</v>
      </c>
      <c r="C76" s="617">
        <v>1800</v>
      </c>
      <c r="D76" s="617">
        <v>1800</v>
      </c>
      <c r="E76" s="617">
        <v>1800</v>
      </c>
      <c r="F76" s="617">
        <v>1800</v>
      </c>
    </row>
    <row r="77" spans="1:6" s="36" customFormat="1" x14ac:dyDescent="0.25">
      <c r="A77" s="76" t="s">
        <v>654</v>
      </c>
      <c r="B77" s="539"/>
    </row>
    <row r="78" spans="1:6" s="36" customFormat="1" x14ac:dyDescent="0.25">
      <c r="A78" s="76" t="s">
        <v>654</v>
      </c>
      <c r="B78" s="80" t="s">
        <v>129</v>
      </c>
      <c r="C78" s="4">
        <v>2022</v>
      </c>
      <c r="D78" s="4">
        <v>2023</v>
      </c>
      <c r="E78" s="4">
        <v>2024</v>
      </c>
      <c r="F78" s="4">
        <v>2025</v>
      </c>
    </row>
    <row r="79" spans="1:6" s="36" customFormat="1" x14ac:dyDescent="0.25">
      <c r="A79" s="76" t="s">
        <v>706</v>
      </c>
      <c r="B79" s="539" t="s">
        <v>774</v>
      </c>
      <c r="C79" s="544">
        <v>0</v>
      </c>
      <c r="D79" s="544">
        <v>990</v>
      </c>
      <c r="E79" s="544">
        <v>990</v>
      </c>
      <c r="F79" s="544">
        <v>990</v>
      </c>
    </row>
    <row r="80" spans="1:6" s="36" customFormat="1" x14ac:dyDescent="0.25">
      <c r="A80" s="76" t="s">
        <v>867</v>
      </c>
      <c r="B80" s="539" t="s">
        <v>131</v>
      </c>
      <c r="C80" s="546"/>
      <c r="D80" s="546">
        <v>-3040</v>
      </c>
      <c r="E80" s="546">
        <v>-3040</v>
      </c>
      <c r="F80" s="546">
        <v>-3040</v>
      </c>
    </row>
    <row r="81" spans="1:6" s="36" customFormat="1" x14ac:dyDescent="0.25">
      <c r="A81" s="76" t="s">
        <v>868</v>
      </c>
      <c r="B81" s="614" t="s">
        <v>775</v>
      </c>
      <c r="C81" s="579">
        <v>36700</v>
      </c>
      <c r="D81" s="579">
        <v>36700</v>
      </c>
      <c r="E81" s="579">
        <v>36700</v>
      </c>
      <c r="F81" s="579">
        <v>36700</v>
      </c>
    </row>
    <row r="82" spans="1:6" s="36" customFormat="1" x14ac:dyDescent="0.25">
      <c r="A82" s="76" t="s">
        <v>869</v>
      </c>
      <c r="B82" s="619" t="s">
        <v>776</v>
      </c>
      <c r="C82" s="620">
        <v>2200</v>
      </c>
      <c r="D82" s="620">
        <v>2200</v>
      </c>
      <c r="E82" s="620">
        <v>2200</v>
      </c>
      <c r="F82" s="620">
        <v>2200</v>
      </c>
    </row>
    <row r="83" spans="1:6" s="36" customFormat="1" x14ac:dyDescent="0.25">
      <c r="A83" s="76" t="s">
        <v>870</v>
      </c>
      <c r="B83" s="578" t="s">
        <v>777</v>
      </c>
      <c r="C83" s="579">
        <v>550</v>
      </c>
      <c r="D83" s="579">
        <v>550</v>
      </c>
      <c r="E83" s="579">
        <v>550</v>
      </c>
      <c r="F83" s="579">
        <v>550</v>
      </c>
    </row>
    <row r="84" spans="1:6" s="36" customFormat="1" x14ac:dyDescent="0.25">
      <c r="A84" s="76" t="s">
        <v>871</v>
      </c>
      <c r="B84" s="578" t="s">
        <v>142</v>
      </c>
      <c r="C84" s="579">
        <v>5500</v>
      </c>
      <c r="D84" s="579">
        <v>5500</v>
      </c>
      <c r="E84" s="470"/>
      <c r="F84" s="470"/>
    </row>
    <row r="85" spans="1:6" s="36" customFormat="1" x14ac:dyDescent="0.25">
      <c r="A85" s="76" t="s">
        <v>872</v>
      </c>
      <c r="B85" s="578" t="s">
        <v>773</v>
      </c>
      <c r="C85" s="579">
        <v>5500</v>
      </c>
      <c r="D85" s="579">
        <v>5500</v>
      </c>
      <c r="E85" s="470"/>
      <c r="F85" s="470"/>
    </row>
    <row r="86" spans="1:6" s="36" customFormat="1" x14ac:dyDescent="0.25">
      <c r="A86" s="76" t="s">
        <v>873</v>
      </c>
      <c r="B86" s="640" t="s">
        <v>794</v>
      </c>
      <c r="C86" s="641"/>
      <c r="D86" s="641"/>
      <c r="E86" s="513">
        <v>4000</v>
      </c>
      <c r="F86" s="513">
        <v>4000</v>
      </c>
    </row>
    <row r="87" spans="1:6" s="36" customFormat="1" x14ac:dyDescent="0.25">
      <c r="A87" s="76" t="s">
        <v>874</v>
      </c>
      <c r="B87" s="578" t="s">
        <v>146</v>
      </c>
      <c r="C87" s="579">
        <v>-11000</v>
      </c>
      <c r="D87" s="579">
        <v>-11000</v>
      </c>
      <c r="E87" s="470"/>
      <c r="F87" s="470"/>
    </row>
    <row r="88" spans="1:6" s="36" customFormat="1" x14ac:dyDescent="0.25">
      <c r="A88" s="76" t="s">
        <v>875</v>
      </c>
      <c r="B88" s="614" t="s">
        <v>148</v>
      </c>
      <c r="C88" s="621">
        <v>950</v>
      </c>
      <c r="D88" s="621">
        <v>950</v>
      </c>
      <c r="E88" s="621">
        <v>950</v>
      </c>
      <c r="F88" s="621">
        <v>950</v>
      </c>
    </row>
    <row r="89" spans="1:6" s="36" customFormat="1" ht="25.5" x14ac:dyDescent="0.25">
      <c r="A89" s="76" t="s">
        <v>876</v>
      </c>
      <c r="B89" s="614" t="s">
        <v>150</v>
      </c>
      <c r="C89" s="621">
        <v>250</v>
      </c>
      <c r="D89" s="621">
        <v>250</v>
      </c>
      <c r="E89" s="621">
        <v>250</v>
      </c>
      <c r="F89" s="621">
        <v>250</v>
      </c>
    </row>
    <row r="90" spans="1:6" s="36" customFormat="1" x14ac:dyDescent="0.25">
      <c r="A90" s="76" t="s">
        <v>877</v>
      </c>
      <c r="B90" s="578" t="s">
        <v>772</v>
      </c>
      <c r="C90" s="470">
        <v>1000</v>
      </c>
      <c r="D90" s="470">
        <v>1000</v>
      </c>
      <c r="E90" s="470">
        <v>1000</v>
      </c>
      <c r="F90" s="470">
        <v>1000</v>
      </c>
    </row>
    <row r="91" spans="1:6" s="36" customFormat="1" x14ac:dyDescent="0.25">
      <c r="A91" s="398"/>
      <c r="B91" s="578"/>
      <c r="C91" s="470"/>
      <c r="D91" s="470"/>
      <c r="E91" s="470"/>
      <c r="F91" s="470"/>
    </row>
    <row r="92" spans="1:6" s="36" customFormat="1" x14ac:dyDescent="0.25">
      <c r="A92" s="41" t="s">
        <v>152</v>
      </c>
      <c r="B92" s="3" t="s">
        <v>153</v>
      </c>
      <c r="C92" s="549">
        <v>99549</v>
      </c>
      <c r="D92" s="549">
        <v>115676</v>
      </c>
      <c r="E92" s="549">
        <v>134236.58333333334</v>
      </c>
      <c r="F92" s="549">
        <v>141885</v>
      </c>
    </row>
    <row r="93" spans="1:6" s="36" customFormat="1" x14ac:dyDescent="0.25">
      <c r="A93" s="45"/>
      <c r="B93" s="9"/>
      <c r="C93" s="550"/>
      <c r="D93" s="550"/>
      <c r="E93" s="550"/>
      <c r="F93" s="550"/>
    </row>
    <row r="94" spans="1:6" s="36" customFormat="1" x14ac:dyDescent="0.25">
      <c r="A94" s="46"/>
      <c r="B94" s="11" t="s">
        <v>154</v>
      </c>
      <c r="C94" s="551"/>
      <c r="D94" s="551"/>
      <c r="E94" s="551"/>
      <c r="F94" s="551"/>
    </row>
    <row r="95" spans="1:6" s="36" customFormat="1" x14ac:dyDescent="0.25">
      <c r="A95" s="76" t="s">
        <v>654</v>
      </c>
      <c r="B95" s="80" t="s">
        <v>155</v>
      </c>
      <c r="C95" s="4">
        <v>2022</v>
      </c>
      <c r="D95" s="4">
        <v>2023</v>
      </c>
      <c r="E95" s="4">
        <v>2024</v>
      </c>
      <c r="F95" s="4">
        <v>2025</v>
      </c>
    </row>
    <row r="96" spans="1:6" s="36" customFormat="1" x14ac:dyDescent="0.25">
      <c r="A96" s="76" t="s">
        <v>878</v>
      </c>
      <c r="B96" s="539" t="s">
        <v>157</v>
      </c>
      <c r="C96" s="544">
        <v>5000</v>
      </c>
      <c r="D96" s="544">
        <v>5000</v>
      </c>
      <c r="E96" s="544">
        <v>5000</v>
      </c>
      <c r="F96" s="552">
        <v>5000</v>
      </c>
    </row>
    <row r="97" spans="1:6" s="36" customFormat="1" x14ac:dyDescent="0.25">
      <c r="A97" s="76" t="s">
        <v>879</v>
      </c>
      <c r="B97" s="539" t="s">
        <v>159</v>
      </c>
      <c r="C97" s="544"/>
      <c r="D97" s="544"/>
      <c r="E97" s="544">
        <v>1000</v>
      </c>
      <c r="F97" s="544">
        <v>9000</v>
      </c>
    </row>
    <row r="98" spans="1:6" s="36" customFormat="1" x14ac:dyDescent="0.25">
      <c r="A98" s="76" t="s">
        <v>880</v>
      </c>
      <c r="B98" s="539" t="s">
        <v>160</v>
      </c>
      <c r="C98" s="544">
        <v>1600</v>
      </c>
      <c r="D98" s="544">
        <v>1600</v>
      </c>
      <c r="E98" s="544">
        <v>1600</v>
      </c>
      <c r="F98" s="544">
        <v>1600</v>
      </c>
    </row>
    <row r="99" spans="1:6" s="36" customFormat="1" x14ac:dyDescent="0.25">
      <c r="A99" s="76" t="s">
        <v>881</v>
      </c>
      <c r="B99" s="539" t="s">
        <v>161</v>
      </c>
      <c r="C99" s="536">
        <v>900</v>
      </c>
      <c r="D99" s="536">
        <v>2550</v>
      </c>
      <c r="E99" s="536">
        <v>4500</v>
      </c>
      <c r="F99" s="536">
        <v>5800</v>
      </c>
    </row>
    <row r="100" spans="1:6" s="36" customFormat="1" x14ac:dyDescent="0.25">
      <c r="A100" s="76" t="s">
        <v>654</v>
      </c>
      <c r="B100" s="80" t="s">
        <v>162</v>
      </c>
      <c r="C100" s="4">
        <v>2022</v>
      </c>
      <c r="D100" s="4">
        <v>2023</v>
      </c>
      <c r="E100" s="4">
        <v>2024</v>
      </c>
      <c r="F100" s="4">
        <v>2025</v>
      </c>
    </row>
    <row r="101" spans="1:6" s="36" customFormat="1" x14ac:dyDescent="0.25">
      <c r="A101" s="76" t="s">
        <v>712</v>
      </c>
      <c r="B101" s="539" t="s">
        <v>163</v>
      </c>
      <c r="C101" s="552">
        <v>2500</v>
      </c>
      <c r="D101" s="552">
        <v>5000</v>
      </c>
      <c r="E101" s="552">
        <v>7500</v>
      </c>
      <c r="F101" s="552">
        <v>10000</v>
      </c>
    </row>
    <row r="102" spans="1:6" s="36" customFormat="1" x14ac:dyDescent="0.25">
      <c r="A102" s="76" t="s">
        <v>882</v>
      </c>
      <c r="B102" s="539" t="s">
        <v>164</v>
      </c>
      <c r="C102" s="553">
        <v>10000</v>
      </c>
      <c r="D102" s="553">
        <v>20000</v>
      </c>
      <c r="E102" s="553">
        <v>20000</v>
      </c>
      <c r="F102" s="553">
        <v>20000</v>
      </c>
    </row>
    <row r="103" spans="1:6" s="36" customFormat="1" x14ac:dyDescent="0.25">
      <c r="A103" s="76" t="s">
        <v>883</v>
      </c>
      <c r="B103" s="539" t="s">
        <v>165</v>
      </c>
      <c r="C103" s="553">
        <v>1400</v>
      </c>
      <c r="D103" s="553">
        <v>1400</v>
      </c>
      <c r="E103" s="553">
        <v>1400</v>
      </c>
      <c r="F103" s="553">
        <v>1400</v>
      </c>
    </row>
    <row r="104" spans="1:6" s="36" customFormat="1" x14ac:dyDescent="0.25">
      <c r="A104" s="339"/>
      <c r="B104" s="80" t="s">
        <v>166</v>
      </c>
      <c r="C104" s="4">
        <v>2022</v>
      </c>
      <c r="D104" s="4">
        <v>2023</v>
      </c>
      <c r="E104" s="4">
        <v>2024</v>
      </c>
      <c r="F104" s="4">
        <v>2025</v>
      </c>
    </row>
    <row r="105" spans="1:6" s="36" customFormat="1" x14ac:dyDescent="0.25">
      <c r="A105" s="76" t="s">
        <v>884</v>
      </c>
      <c r="B105" s="539" t="s">
        <v>167</v>
      </c>
      <c r="C105" s="552">
        <v>-300</v>
      </c>
      <c r="D105" s="552">
        <v>-900</v>
      </c>
      <c r="E105" s="552">
        <v>-1500</v>
      </c>
      <c r="F105" s="552">
        <v>-2100</v>
      </c>
    </row>
    <row r="106" spans="1:6" s="36" customFormat="1" x14ac:dyDescent="0.25">
      <c r="A106" s="76" t="s">
        <v>885</v>
      </c>
      <c r="B106" s="614" t="s">
        <v>760</v>
      </c>
      <c r="C106" s="615">
        <v>1400</v>
      </c>
      <c r="D106" s="615">
        <v>2200</v>
      </c>
      <c r="E106" s="615">
        <v>2200</v>
      </c>
      <c r="F106" s="615">
        <v>2200</v>
      </c>
    </row>
    <row r="107" spans="1:6" s="36" customFormat="1" x14ac:dyDescent="0.25">
      <c r="A107" s="76" t="s">
        <v>886</v>
      </c>
      <c r="B107" s="614" t="s">
        <v>169</v>
      </c>
      <c r="C107" s="581">
        <v>-27256</v>
      </c>
      <c r="D107" s="581">
        <v>-27256</v>
      </c>
      <c r="E107" s="581">
        <v>-27256</v>
      </c>
      <c r="F107" s="581">
        <v>-27256</v>
      </c>
    </row>
    <row r="108" spans="1:6" s="36" customFormat="1" x14ac:dyDescent="0.25">
      <c r="A108" s="76" t="s">
        <v>887</v>
      </c>
      <c r="B108" s="578" t="s">
        <v>170</v>
      </c>
      <c r="C108" s="615">
        <v>27256</v>
      </c>
      <c r="D108" s="615">
        <v>0</v>
      </c>
      <c r="E108" s="615">
        <v>0</v>
      </c>
      <c r="F108" s="615">
        <v>0</v>
      </c>
    </row>
    <row r="109" spans="1:6" s="36" customFormat="1" x14ac:dyDescent="0.25">
      <c r="A109" s="76" t="s">
        <v>888</v>
      </c>
      <c r="B109" s="631" t="s">
        <v>172</v>
      </c>
      <c r="C109" s="615">
        <v>1000</v>
      </c>
      <c r="D109" s="615">
        <v>1000</v>
      </c>
      <c r="E109" s="615">
        <v>1000</v>
      </c>
      <c r="F109" s="615">
        <v>1000</v>
      </c>
    </row>
    <row r="110" spans="1:6" s="36" customFormat="1" x14ac:dyDescent="0.25">
      <c r="A110" s="76" t="s">
        <v>889</v>
      </c>
      <c r="B110" s="628" t="s">
        <v>785</v>
      </c>
      <c r="C110" s="629">
        <v>2200</v>
      </c>
      <c r="D110" s="629">
        <v>4500</v>
      </c>
      <c r="E110" s="629">
        <v>4500</v>
      </c>
      <c r="F110" s="629">
        <v>4500</v>
      </c>
    </row>
    <row r="111" spans="1:6" s="36" customFormat="1" ht="25.5" x14ac:dyDescent="0.25">
      <c r="A111" s="76" t="s">
        <v>890</v>
      </c>
      <c r="B111" s="628" t="s">
        <v>786</v>
      </c>
      <c r="C111" s="629">
        <v>250</v>
      </c>
      <c r="D111" s="629">
        <v>250</v>
      </c>
      <c r="E111" s="629">
        <v>250</v>
      </c>
      <c r="F111" s="629">
        <v>250</v>
      </c>
    </row>
    <row r="112" spans="1:6" s="36" customFormat="1" x14ac:dyDescent="0.25">
      <c r="A112" s="76" t="s">
        <v>654</v>
      </c>
      <c r="B112" s="80" t="s">
        <v>173</v>
      </c>
      <c r="C112" s="4">
        <v>2022</v>
      </c>
      <c r="D112" s="4">
        <v>2023</v>
      </c>
      <c r="E112" s="4">
        <v>2024</v>
      </c>
      <c r="F112" s="4">
        <v>2025</v>
      </c>
    </row>
    <row r="113" spans="1:6" s="36" customFormat="1" x14ac:dyDescent="0.25">
      <c r="A113" s="76" t="s">
        <v>891</v>
      </c>
      <c r="B113" s="539" t="s">
        <v>174</v>
      </c>
      <c r="C113" s="552">
        <v>600</v>
      </c>
      <c r="D113" s="552">
        <v>600</v>
      </c>
      <c r="E113" s="552">
        <v>600</v>
      </c>
      <c r="F113" s="552">
        <v>600</v>
      </c>
    </row>
    <row r="114" spans="1:6" s="36" customFormat="1" x14ac:dyDescent="0.25">
      <c r="A114" s="76" t="s">
        <v>714</v>
      </c>
      <c r="B114" s="539" t="s">
        <v>175</v>
      </c>
      <c r="C114" s="552">
        <v>5461</v>
      </c>
      <c r="D114" s="552">
        <v>5521</v>
      </c>
      <c r="E114" s="552">
        <v>5578</v>
      </c>
      <c r="F114" s="552">
        <v>5635</v>
      </c>
    </row>
    <row r="115" spans="1:6" s="36" customFormat="1" ht="25.5" x14ac:dyDescent="0.25">
      <c r="A115" s="76" t="s">
        <v>892</v>
      </c>
      <c r="B115" s="539" t="s">
        <v>176</v>
      </c>
      <c r="C115" s="536">
        <v>100</v>
      </c>
      <c r="D115" s="536">
        <v>100</v>
      </c>
      <c r="E115" s="536">
        <v>100</v>
      </c>
      <c r="F115" s="536">
        <v>100</v>
      </c>
    </row>
    <row r="116" spans="1:6" s="36" customFormat="1" x14ac:dyDescent="0.25">
      <c r="A116" s="76" t="s">
        <v>893</v>
      </c>
      <c r="B116" s="614" t="s">
        <v>767</v>
      </c>
      <c r="C116" s="618"/>
      <c r="D116" s="618">
        <v>1500</v>
      </c>
      <c r="E116" s="618">
        <v>1500</v>
      </c>
      <c r="F116" s="618">
        <v>1500</v>
      </c>
    </row>
    <row r="117" spans="1:6" s="36" customFormat="1" x14ac:dyDescent="0.25">
      <c r="A117" s="76"/>
      <c r="B117" s="80" t="s">
        <v>178</v>
      </c>
      <c r="C117" s="4">
        <v>2022</v>
      </c>
      <c r="D117" s="4">
        <v>2023</v>
      </c>
      <c r="E117" s="4">
        <v>2024</v>
      </c>
      <c r="F117" s="4">
        <v>2025</v>
      </c>
    </row>
    <row r="118" spans="1:6" s="36" customFormat="1" x14ac:dyDescent="0.25">
      <c r="A118" s="76" t="s">
        <v>894</v>
      </c>
      <c r="B118" s="539" t="s">
        <v>179</v>
      </c>
      <c r="C118" s="552">
        <v>-1883</v>
      </c>
      <c r="D118" s="558">
        <v>-1178</v>
      </c>
      <c r="E118" s="558">
        <v>232</v>
      </c>
      <c r="F118" s="558">
        <v>4583</v>
      </c>
    </row>
    <row r="119" spans="1:6" s="36" customFormat="1" x14ac:dyDescent="0.25">
      <c r="A119" s="76" t="s">
        <v>895</v>
      </c>
      <c r="B119" s="539" t="s">
        <v>180</v>
      </c>
      <c r="C119" s="552">
        <v>5000</v>
      </c>
      <c r="D119" s="552">
        <v>0</v>
      </c>
      <c r="E119" s="552">
        <v>-2000</v>
      </c>
      <c r="F119" s="552">
        <v>-2000</v>
      </c>
    </row>
    <row r="120" spans="1:6" s="36" customFormat="1" ht="25.5" x14ac:dyDescent="0.25">
      <c r="A120" s="76" t="s">
        <v>896</v>
      </c>
      <c r="B120" s="495" t="s">
        <v>768</v>
      </c>
      <c r="C120" s="615">
        <v>1000</v>
      </c>
      <c r="D120" s="615">
        <v>1000</v>
      </c>
      <c r="E120" s="615">
        <v>1000</v>
      </c>
      <c r="F120" s="615">
        <v>1000</v>
      </c>
    </row>
    <row r="121" spans="1:6" s="36" customFormat="1" x14ac:dyDescent="0.25">
      <c r="A121" s="76" t="s">
        <v>897</v>
      </c>
      <c r="B121" s="539" t="s">
        <v>181</v>
      </c>
      <c r="C121" s="541">
        <v>1750</v>
      </c>
      <c r="D121" s="541">
        <v>3450</v>
      </c>
      <c r="E121" s="541">
        <v>3450</v>
      </c>
      <c r="F121" s="541">
        <v>3450</v>
      </c>
    </row>
    <row r="122" spans="1:6" s="36" customFormat="1" ht="25.5" x14ac:dyDescent="0.25">
      <c r="A122" s="76" t="s">
        <v>898</v>
      </c>
      <c r="B122" s="539" t="s">
        <v>182</v>
      </c>
      <c r="C122" s="541">
        <v>3510</v>
      </c>
      <c r="D122" s="541">
        <v>10430</v>
      </c>
      <c r="E122" s="541">
        <v>17050</v>
      </c>
      <c r="F122" s="541">
        <v>22010</v>
      </c>
    </row>
    <row r="123" spans="1:6" s="36" customFormat="1" x14ac:dyDescent="0.25">
      <c r="A123" s="76" t="s">
        <v>899</v>
      </c>
      <c r="B123" s="525" t="s">
        <v>782</v>
      </c>
      <c r="C123" s="627">
        <v>500</v>
      </c>
      <c r="D123" s="627">
        <v>750</v>
      </c>
      <c r="E123" s="627">
        <v>750</v>
      </c>
      <c r="F123" s="627">
        <v>750</v>
      </c>
    </row>
    <row r="124" spans="1:6" s="36" customFormat="1" x14ac:dyDescent="0.25">
      <c r="A124" s="76" t="s">
        <v>654</v>
      </c>
      <c r="B124" s="80" t="s">
        <v>184</v>
      </c>
      <c r="C124" s="4">
        <v>2022</v>
      </c>
      <c r="D124" s="4">
        <v>2023</v>
      </c>
      <c r="E124" s="4">
        <v>2024</v>
      </c>
      <c r="F124" s="4">
        <v>2025</v>
      </c>
    </row>
    <row r="125" spans="1:6" s="36" customFormat="1" x14ac:dyDescent="0.25">
      <c r="A125" s="76" t="s">
        <v>900</v>
      </c>
      <c r="B125" s="539" t="s">
        <v>185</v>
      </c>
      <c r="C125" s="552">
        <v>0</v>
      </c>
      <c r="D125" s="552"/>
      <c r="E125" s="552">
        <v>6000</v>
      </c>
      <c r="F125" s="546">
        <v>12000</v>
      </c>
    </row>
    <row r="126" spans="1:6" s="36" customFormat="1" x14ac:dyDescent="0.25">
      <c r="A126" s="76" t="s">
        <v>901</v>
      </c>
      <c r="B126" s="539" t="s">
        <v>187</v>
      </c>
      <c r="C126" s="546">
        <v>0</v>
      </c>
      <c r="D126" s="546">
        <v>-2500</v>
      </c>
      <c r="E126" s="546">
        <v>-2500</v>
      </c>
      <c r="F126" s="546">
        <v>-2500</v>
      </c>
    </row>
    <row r="127" spans="1:6" s="36" customFormat="1" x14ac:dyDescent="0.25">
      <c r="A127" s="76" t="s">
        <v>902</v>
      </c>
      <c r="B127" s="539" t="s">
        <v>188</v>
      </c>
      <c r="C127" s="546">
        <v>4000</v>
      </c>
      <c r="D127" s="546">
        <v>4000</v>
      </c>
      <c r="E127" s="546">
        <v>4000</v>
      </c>
      <c r="F127" s="546">
        <v>4000</v>
      </c>
    </row>
    <row r="128" spans="1:6" s="36" customFormat="1" x14ac:dyDescent="0.25">
      <c r="A128" s="76" t="s">
        <v>903</v>
      </c>
      <c r="B128" s="628" t="s">
        <v>783</v>
      </c>
      <c r="C128" s="629">
        <v>5000</v>
      </c>
      <c r="D128" s="629">
        <v>10000</v>
      </c>
      <c r="E128" s="629">
        <v>10000</v>
      </c>
      <c r="F128" s="629">
        <v>10000</v>
      </c>
    </row>
    <row r="129" spans="1:6" s="36" customFormat="1" x14ac:dyDescent="0.25">
      <c r="A129" s="76" t="s">
        <v>904</v>
      </c>
      <c r="B129" s="628" t="s">
        <v>784</v>
      </c>
      <c r="C129" s="629"/>
      <c r="D129" s="629"/>
      <c r="E129" s="629">
        <v>-4000</v>
      </c>
      <c r="F129" s="629">
        <v>-6000</v>
      </c>
    </row>
    <row r="130" spans="1:6" s="36" customFormat="1" x14ac:dyDescent="0.25">
      <c r="A130" s="41" t="s">
        <v>152</v>
      </c>
      <c r="B130" s="3" t="s">
        <v>189</v>
      </c>
      <c r="C130" s="549">
        <v>50988</v>
      </c>
      <c r="D130" s="549">
        <v>49017</v>
      </c>
      <c r="E130" s="549">
        <v>61954</v>
      </c>
      <c r="F130" s="549">
        <v>86522</v>
      </c>
    </row>
    <row r="131" spans="1:6" s="36" customFormat="1" x14ac:dyDescent="0.25">
      <c r="A131" s="45"/>
      <c r="B131" s="9"/>
      <c r="C131" s="550"/>
      <c r="D131" s="550"/>
      <c r="E131" s="550"/>
      <c r="F131" s="550"/>
    </row>
    <row r="132" spans="1:6" s="36" customFormat="1" x14ac:dyDescent="0.25">
      <c r="A132" s="46"/>
      <c r="B132" s="11" t="s">
        <v>190</v>
      </c>
      <c r="C132" s="551"/>
      <c r="D132" s="551"/>
      <c r="E132" s="551"/>
      <c r="F132" s="551"/>
    </row>
    <row r="133" spans="1:6" s="36" customFormat="1" x14ac:dyDescent="0.25">
      <c r="A133" s="339"/>
      <c r="B133" s="80" t="s">
        <v>191</v>
      </c>
      <c r="C133" s="4">
        <v>2022</v>
      </c>
      <c r="D133" s="4">
        <v>2023</v>
      </c>
      <c r="E133" s="4">
        <v>2024</v>
      </c>
      <c r="F133" s="4">
        <v>2025</v>
      </c>
    </row>
    <row r="134" spans="1:6" s="36" customFormat="1" x14ac:dyDescent="0.25">
      <c r="A134" s="76" t="s">
        <v>905</v>
      </c>
      <c r="B134" s="542" t="s">
        <v>193</v>
      </c>
      <c r="C134" s="546">
        <v>-400</v>
      </c>
      <c r="D134" s="546">
        <v>-500</v>
      </c>
      <c r="E134" s="546">
        <v>-600</v>
      </c>
      <c r="F134" s="546">
        <v>-600</v>
      </c>
    </row>
    <row r="135" spans="1:6" s="36" customFormat="1" x14ac:dyDescent="0.25">
      <c r="A135" s="76" t="s">
        <v>718</v>
      </c>
      <c r="B135" s="542" t="s">
        <v>195</v>
      </c>
      <c r="C135" s="546">
        <v>300</v>
      </c>
      <c r="D135" s="546">
        <v>300</v>
      </c>
      <c r="E135" s="546">
        <v>300</v>
      </c>
      <c r="F135" s="546">
        <v>300</v>
      </c>
    </row>
    <row r="136" spans="1:6" s="36" customFormat="1" x14ac:dyDescent="0.25">
      <c r="A136" s="76" t="s">
        <v>906</v>
      </c>
      <c r="B136" s="542" t="s">
        <v>196</v>
      </c>
      <c r="C136" s="546">
        <v>100</v>
      </c>
      <c r="D136" s="546">
        <v>100</v>
      </c>
      <c r="E136" s="546">
        <v>100</v>
      </c>
      <c r="F136" s="546">
        <v>100</v>
      </c>
    </row>
    <row r="137" spans="1:6" s="36" customFormat="1" x14ac:dyDescent="0.25">
      <c r="A137" s="76" t="s">
        <v>907</v>
      </c>
      <c r="B137" s="542" t="s">
        <v>197</v>
      </c>
      <c r="C137" s="546">
        <v>-100</v>
      </c>
      <c r="D137" s="546">
        <v>-100</v>
      </c>
      <c r="E137" s="546">
        <v>-100</v>
      </c>
      <c r="F137" s="546">
        <v>-100</v>
      </c>
    </row>
    <row r="138" spans="1:6" s="36" customFormat="1" x14ac:dyDescent="0.25">
      <c r="A138" s="76" t="s">
        <v>654</v>
      </c>
      <c r="B138" s="385" t="s">
        <v>198</v>
      </c>
      <c r="C138" s="546"/>
      <c r="D138" s="546"/>
      <c r="E138" s="546"/>
      <c r="F138" s="546"/>
    </row>
    <row r="139" spans="1:6" s="36" customFormat="1" x14ac:dyDescent="0.25">
      <c r="A139" s="76" t="s">
        <v>908</v>
      </c>
      <c r="B139" s="559" t="s">
        <v>199</v>
      </c>
      <c r="C139" s="552">
        <v>0</v>
      </c>
      <c r="D139" s="552">
        <v>50</v>
      </c>
      <c r="E139" s="552">
        <v>50</v>
      </c>
      <c r="F139" s="552">
        <v>50</v>
      </c>
    </row>
    <row r="140" spans="1:6" s="36" customFormat="1" x14ac:dyDescent="0.25">
      <c r="A140" s="76" t="s">
        <v>909</v>
      </c>
      <c r="B140" s="559" t="s">
        <v>201</v>
      </c>
      <c r="C140" s="536">
        <v>460</v>
      </c>
      <c r="D140" s="536">
        <v>460</v>
      </c>
      <c r="E140" s="536">
        <v>460</v>
      </c>
      <c r="F140" s="536">
        <v>460</v>
      </c>
    </row>
    <row r="141" spans="1:6" s="36" customFormat="1" x14ac:dyDescent="0.25">
      <c r="A141" s="76" t="s">
        <v>910</v>
      </c>
      <c r="B141" s="622" t="s">
        <v>742</v>
      </c>
      <c r="C141" s="617">
        <v>165</v>
      </c>
      <c r="D141" s="617">
        <v>165</v>
      </c>
      <c r="E141" s="617">
        <v>165</v>
      </c>
      <c r="F141" s="617">
        <v>165</v>
      </c>
    </row>
    <row r="142" spans="1:6" s="36" customFormat="1" x14ac:dyDescent="0.25">
      <c r="A142" s="465" t="s">
        <v>911</v>
      </c>
      <c r="B142" s="632" t="s">
        <v>787</v>
      </c>
      <c r="C142" s="633">
        <v>50</v>
      </c>
      <c r="D142" s="633">
        <v>50</v>
      </c>
      <c r="E142" s="633">
        <v>50</v>
      </c>
      <c r="F142" s="633">
        <v>50</v>
      </c>
    </row>
    <row r="143" spans="1:6" s="36" customFormat="1" x14ac:dyDescent="0.25">
      <c r="A143" s="465" t="s">
        <v>912</v>
      </c>
      <c r="B143" s="632" t="s">
        <v>788</v>
      </c>
      <c r="C143" s="633">
        <v>40</v>
      </c>
      <c r="D143" s="633">
        <v>40</v>
      </c>
      <c r="E143" s="633">
        <v>40</v>
      </c>
      <c r="F143" s="633">
        <v>40</v>
      </c>
    </row>
    <row r="144" spans="1:6" s="36" customFormat="1" x14ac:dyDescent="0.25">
      <c r="A144" s="465" t="s">
        <v>913</v>
      </c>
      <c r="B144" s="632" t="s">
        <v>789</v>
      </c>
      <c r="C144" s="633">
        <v>50</v>
      </c>
      <c r="D144" s="633">
        <v>50</v>
      </c>
      <c r="E144" s="633">
        <v>50</v>
      </c>
      <c r="F144" s="633">
        <v>50</v>
      </c>
    </row>
    <row r="145" spans="1:6" s="36" customFormat="1" x14ac:dyDescent="0.25">
      <c r="A145" s="465" t="s">
        <v>914</v>
      </c>
      <c r="B145" s="634" t="s">
        <v>811</v>
      </c>
      <c r="C145" s="635">
        <v>40</v>
      </c>
      <c r="D145" s="635">
        <v>40</v>
      </c>
      <c r="E145" s="635">
        <v>40</v>
      </c>
      <c r="F145" s="635">
        <v>40</v>
      </c>
    </row>
    <row r="146" spans="1:6" s="470" customFormat="1" x14ac:dyDescent="0.25">
      <c r="A146" s="655"/>
      <c r="B146" s="656"/>
      <c r="C146" s="657"/>
      <c r="D146" s="657"/>
      <c r="E146" s="657"/>
      <c r="F146" s="657"/>
    </row>
    <row r="147" spans="1:6" s="36" customFormat="1" x14ac:dyDescent="0.25">
      <c r="A147" s="41" t="s">
        <v>152</v>
      </c>
      <c r="B147" s="3" t="s">
        <v>203</v>
      </c>
      <c r="C147" s="549">
        <v>705</v>
      </c>
      <c r="D147" s="549">
        <v>655</v>
      </c>
      <c r="E147" s="549">
        <v>555</v>
      </c>
      <c r="F147" s="549">
        <v>555</v>
      </c>
    </row>
    <row r="148" spans="1:6" s="36" customFormat="1" x14ac:dyDescent="0.25">
      <c r="A148" s="45"/>
      <c r="B148" s="9"/>
      <c r="C148" s="550"/>
      <c r="D148" s="550"/>
      <c r="E148" s="550"/>
      <c r="F148" s="550"/>
    </row>
    <row r="149" spans="1:6" s="36" customFormat="1" x14ac:dyDescent="0.25">
      <c r="A149" s="46"/>
      <c r="B149" s="246" t="s">
        <v>204</v>
      </c>
      <c r="C149" s="4">
        <v>2022</v>
      </c>
      <c r="D149" s="4">
        <v>2023</v>
      </c>
      <c r="E149" s="4">
        <v>2024</v>
      </c>
      <c r="F149" s="4">
        <v>2025</v>
      </c>
    </row>
    <row r="150" spans="1:6" s="36" customFormat="1" x14ac:dyDescent="0.25">
      <c r="A150" s="76"/>
      <c r="B150" s="561"/>
      <c r="C150" s="553"/>
      <c r="D150" s="553"/>
      <c r="E150" s="553"/>
      <c r="F150" s="553"/>
    </row>
    <row r="151" spans="1:6" s="36" customFormat="1" x14ac:dyDescent="0.25">
      <c r="A151" s="76" t="s">
        <v>654</v>
      </c>
      <c r="B151" s="206" t="s">
        <v>205</v>
      </c>
      <c r="C151" s="4">
        <v>2022</v>
      </c>
      <c r="D151" s="4">
        <v>2023</v>
      </c>
      <c r="E151" s="4">
        <v>2024</v>
      </c>
      <c r="F151" s="4">
        <v>2025</v>
      </c>
    </row>
    <row r="152" spans="1:6" s="36" customFormat="1" x14ac:dyDescent="0.25">
      <c r="A152" s="76" t="s">
        <v>915</v>
      </c>
      <c r="B152" s="542" t="s">
        <v>207</v>
      </c>
      <c r="C152" s="553">
        <v>500</v>
      </c>
      <c r="D152" s="553">
        <v>500</v>
      </c>
      <c r="E152" s="553">
        <v>500</v>
      </c>
      <c r="F152" s="553">
        <v>500</v>
      </c>
    </row>
    <row r="153" spans="1:6" s="36" customFormat="1" ht="25.5" x14ac:dyDescent="0.25">
      <c r="A153" s="76" t="s">
        <v>916</v>
      </c>
      <c r="B153" s="542" t="s">
        <v>209</v>
      </c>
      <c r="C153" s="553">
        <v>700</v>
      </c>
      <c r="D153" s="553">
        <v>700</v>
      </c>
      <c r="E153" s="553">
        <v>700</v>
      </c>
      <c r="F153" s="553">
        <v>700</v>
      </c>
    </row>
    <row r="154" spans="1:6" s="36" customFormat="1" x14ac:dyDescent="0.25">
      <c r="A154" s="76" t="s">
        <v>917</v>
      </c>
      <c r="B154" s="542" t="s">
        <v>211</v>
      </c>
      <c r="C154" s="553">
        <v>1500</v>
      </c>
      <c r="D154" s="553">
        <v>3000</v>
      </c>
      <c r="E154" s="553">
        <v>4000</v>
      </c>
      <c r="F154" s="553">
        <v>4000</v>
      </c>
    </row>
    <row r="155" spans="1:6" s="36" customFormat="1" ht="25.5" x14ac:dyDescent="0.25">
      <c r="A155" s="76" t="s">
        <v>918</v>
      </c>
      <c r="B155" s="542" t="s">
        <v>213</v>
      </c>
      <c r="C155" s="553">
        <v>250</v>
      </c>
      <c r="D155" s="553">
        <v>300</v>
      </c>
      <c r="E155" s="553">
        <v>350</v>
      </c>
      <c r="F155" s="553">
        <v>400</v>
      </c>
    </row>
    <row r="156" spans="1:6" s="36" customFormat="1" x14ac:dyDescent="0.25">
      <c r="A156" s="76" t="s">
        <v>919</v>
      </c>
      <c r="B156" t="s">
        <v>215</v>
      </c>
      <c r="C156" s="553">
        <v>500</v>
      </c>
      <c r="D156" s="553">
        <v>500</v>
      </c>
      <c r="E156" s="553">
        <v>500</v>
      </c>
      <c r="F156" s="553">
        <v>500</v>
      </c>
    </row>
    <row r="157" spans="1:6" s="36" customFormat="1" x14ac:dyDescent="0.25">
      <c r="A157" s="76" t="s">
        <v>920</v>
      </c>
      <c r="B157" s="644" t="s">
        <v>797</v>
      </c>
      <c r="C157" s="649">
        <v>500</v>
      </c>
      <c r="D157" s="649">
        <v>500</v>
      </c>
      <c r="E157" s="649">
        <v>500</v>
      </c>
      <c r="F157" s="649">
        <v>500</v>
      </c>
    </row>
    <row r="158" spans="1:6" s="470" customFormat="1" x14ac:dyDescent="0.25">
      <c r="A158" s="465"/>
      <c r="B158" s="419"/>
      <c r="C158" s="658"/>
      <c r="D158" s="658"/>
      <c r="E158" s="658"/>
      <c r="F158" s="658"/>
    </row>
    <row r="159" spans="1:6" s="36" customFormat="1" x14ac:dyDescent="0.25">
      <c r="A159" s="76" t="s">
        <v>654</v>
      </c>
      <c r="B159" s="206" t="s">
        <v>217</v>
      </c>
      <c r="C159" s="4">
        <v>2022</v>
      </c>
      <c r="D159" s="4">
        <v>2023</v>
      </c>
      <c r="E159" s="4">
        <v>2024</v>
      </c>
      <c r="F159" s="4">
        <v>2025</v>
      </c>
    </row>
    <row r="160" spans="1:6" s="36" customFormat="1" x14ac:dyDescent="0.25">
      <c r="A160" s="76" t="s">
        <v>921</v>
      </c>
      <c r="B160" s="561" t="s">
        <v>218</v>
      </c>
      <c r="C160" s="553"/>
      <c r="D160" s="553">
        <v>-450</v>
      </c>
      <c r="E160" s="553">
        <v>-450</v>
      </c>
      <c r="F160" s="553">
        <v>-450</v>
      </c>
    </row>
    <row r="161" spans="1:6" s="36" customFormat="1" x14ac:dyDescent="0.25">
      <c r="A161" s="76" t="s">
        <v>654</v>
      </c>
      <c r="B161" s="561"/>
      <c r="C161" s="553"/>
      <c r="D161" s="553"/>
      <c r="E161" s="553"/>
      <c r="F161" s="553"/>
    </row>
    <row r="162" spans="1:6" s="36" customFormat="1" x14ac:dyDescent="0.25">
      <c r="A162" s="76" t="s">
        <v>654</v>
      </c>
      <c r="B162" s="206" t="s">
        <v>220</v>
      </c>
      <c r="C162" s="4">
        <v>2022</v>
      </c>
      <c r="D162" s="4">
        <v>2023</v>
      </c>
      <c r="E162" s="4">
        <v>2024</v>
      </c>
      <c r="F162" s="4">
        <v>2025</v>
      </c>
    </row>
    <row r="163" spans="1:6" s="36" customFormat="1" x14ac:dyDescent="0.25">
      <c r="A163" s="76" t="s">
        <v>922</v>
      </c>
      <c r="B163" s="542" t="s">
        <v>221</v>
      </c>
      <c r="C163" s="553">
        <v>0</v>
      </c>
      <c r="D163" s="553">
        <v>-350</v>
      </c>
      <c r="E163" s="553">
        <v>-350</v>
      </c>
      <c r="F163" s="553">
        <v>-350</v>
      </c>
    </row>
    <row r="164" spans="1:6" s="36" customFormat="1" ht="25.5" x14ac:dyDescent="0.25">
      <c r="A164" s="76" t="s">
        <v>923</v>
      </c>
      <c r="B164" s="542" t="s">
        <v>222</v>
      </c>
      <c r="C164" s="553">
        <v>0</v>
      </c>
      <c r="D164" s="553">
        <v>2500</v>
      </c>
      <c r="E164" s="553">
        <v>2500</v>
      </c>
      <c r="F164" s="553">
        <v>2500</v>
      </c>
    </row>
    <row r="165" spans="1:6" s="36" customFormat="1" x14ac:dyDescent="0.25">
      <c r="A165" s="76" t="s">
        <v>924</v>
      </c>
      <c r="B165" s="542" t="s">
        <v>223</v>
      </c>
      <c r="C165" s="553">
        <v>0</v>
      </c>
      <c r="D165" s="553">
        <v>-350</v>
      </c>
      <c r="E165" s="553">
        <v>-350</v>
      </c>
      <c r="F165" s="553">
        <v>-350</v>
      </c>
    </row>
    <row r="166" spans="1:6" s="36" customFormat="1" x14ac:dyDescent="0.25">
      <c r="A166" s="76" t="s">
        <v>719</v>
      </c>
      <c r="B166" s="210" t="s">
        <v>224</v>
      </c>
      <c r="C166" s="540">
        <v>10</v>
      </c>
      <c r="D166" s="540">
        <v>20</v>
      </c>
      <c r="E166" s="540">
        <v>30</v>
      </c>
      <c r="F166" s="540">
        <v>40</v>
      </c>
    </row>
    <row r="167" spans="1:6" s="36" customFormat="1" x14ac:dyDescent="0.25">
      <c r="A167" s="76" t="s">
        <v>925</v>
      </c>
      <c r="B167" s="542" t="s">
        <v>226</v>
      </c>
      <c r="C167" s="540">
        <v>1300</v>
      </c>
      <c r="D167" s="540">
        <v>1300</v>
      </c>
      <c r="E167" s="540">
        <v>1300</v>
      </c>
      <c r="F167" s="540">
        <v>1300</v>
      </c>
    </row>
    <row r="168" spans="1:6" s="36" customFormat="1" x14ac:dyDescent="0.25">
      <c r="A168" s="76" t="s">
        <v>926</v>
      </c>
      <c r="B168" s="542" t="s">
        <v>227</v>
      </c>
      <c r="C168" s="540">
        <v>400</v>
      </c>
      <c r="D168" s="540">
        <v>400</v>
      </c>
      <c r="E168" s="540">
        <v>400</v>
      </c>
      <c r="F168" s="540">
        <v>400</v>
      </c>
    </row>
    <row r="169" spans="1:6" s="36" customFormat="1" x14ac:dyDescent="0.25">
      <c r="A169" s="76" t="s">
        <v>927</v>
      </c>
      <c r="B169" s="210" t="s">
        <v>228</v>
      </c>
      <c r="C169" s="540">
        <v>585</v>
      </c>
      <c r="D169" s="540">
        <v>585</v>
      </c>
      <c r="E169" s="540">
        <v>585</v>
      </c>
      <c r="F169" s="540">
        <v>585</v>
      </c>
    </row>
    <row r="170" spans="1:6" s="36" customFormat="1" x14ac:dyDescent="0.25">
      <c r="A170" s="76" t="s">
        <v>928</v>
      </c>
      <c r="B170" s="210" t="s">
        <v>229</v>
      </c>
      <c r="C170" s="540">
        <v>700</v>
      </c>
      <c r="D170" s="540">
        <v>700</v>
      </c>
      <c r="E170" s="540">
        <v>700</v>
      </c>
      <c r="F170" s="540">
        <v>700</v>
      </c>
    </row>
    <row r="171" spans="1:6" s="36" customFormat="1" x14ac:dyDescent="0.25">
      <c r="A171" s="76" t="s">
        <v>929</v>
      </c>
      <c r="B171" s="210" t="s">
        <v>735</v>
      </c>
      <c r="C171" s="540">
        <v>300</v>
      </c>
      <c r="D171" s="540">
        <v>300</v>
      </c>
      <c r="E171" s="540"/>
      <c r="F171" s="540"/>
    </row>
    <row r="172" spans="1:6" s="36" customFormat="1" x14ac:dyDescent="0.25">
      <c r="A172" s="76" t="s">
        <v>930</v>
      </c>
      <c r="B172" t="s">
        <v>233</v>
      </c>
      <c r="C172" s="540">
        <v>500</v>
      </c>
      <c r="D172" s="540">
        <v>500</v>
      </c>
      <c r="E172" s="540"/>
      <c r="F172" s="540"/>
    </row>
    <row r="173" spans="1:6" s="36" customFormat="1" x14ac:dyDescent="0.25">
      <c r="A173" s="76" t="s">
        <v>931</v>
      </c>
      <c r="B173" s="542" t="s">
        <v>235</v>
      </c>
      <c r="C173" s="541">
        <v>3300</v>
      </c>
      <c r="D173" s="541">
        <v>3300</v>
      </c>
      <c r="E173" s="541">
        <v>3300</v>
      </c>
      <c r="F173" s="541">
        <v>3300</v>
      </c>
    </row>
    <row r="174" spans="1:6" s="36" customFormat="1" x14ac:dyDescent="0.2">
      <c r="A174" s="76" t="s">
        <v>932</v>
      </c>
      <c r="B174" s="647" t="s">
        <v>796</v>
      </c>
      <c r="C174" s="648">
        <v>100</v>
      </c>
      <c r="D174" s="648">
        <v>100</v>
      </c>
      <c r="E174" s="648">
        <v>100</v>
      </c>
      <c r="F174" s="648">
        <v>100</v>
      </c>
    </row>
    <row r="175" spans="1:6" s="36" customFormat="1" x14ac:dyDescent="0.2">
      <c r="A175" s="76" t="s">
        <v>933</v>
      </c>
      <c r="B175" s="647" t="s">
        <v>799</v>
      </c>
      <c r="C175" s="648">
        <v>200</v>
      </c>
      <c r="D175" s="648">
        <v>200</v>
      </c>
      <c r="E175" s="648">
        <v>200</v>
      </c>
      <c r="F175" s="648">
        <v>200</v>
      </c>
    </row>
    <row r="176" spans="1:6" s="470" customFormat="1" x14ac:dyDescent="0.2">
      <c r="A176" s="465"/>
      <c r="B176" s="659"/>
      <c r="C176" s="615"/>
      <c r="D176" s="615"/>
      <c r="E176" s="615"/>
      <c r="F176" s="615"/>
    </row>
    <row r="177" spans="1:6" s="36" customFormat="1" x14ac:dyDescent="0.25">
      <c r="A177" s="76" t="s">
        <v>654</v>
      </c>
      <c r="B177" s="206" t="s">
        <v>236</v>
      </c>
      <c r="C177" s="553"/>
      <c r="D177" s="553"/>
      <c r="E177" s="553"/>
      <c r="F177" s="553"/>
    </row>
    <row r="178" spans="1:6" s="36" customFormat="1" x14ac:dyDescent="0.25">
      <c r="A178" s="76" t="s">
        <v>934</v>
      </c>
      <c r="B178" s="82" t="s">
        <v>237</v>
      </c>
      <c r="C178" s="553">
        <v>60</v>
      </c>
      <c r="D178" s="553">
        <v>60</v>
      </c>
      <c r="E178" s="553">
        <v>60</v>
      </c>
      <c r="F178" s="553">
        <v>60</v>
      </c>
    </row>
    <row r="179" spans="1:6" s="36" customFormat="1" x14ac:dyDescent="0.25">
      <c r="A179" s="76" t="s">
        <v>935</v>
      </c>
      <c r="B179" s="647" t="s">
        <v>798</v>
      </c>
      <c r="C179" s="649">
        <v>1800</v>
      </c>
      <c r="D179" s="649">
        <v>1000</v>
      </c>
      <c r="E179" s="649">
        <v>1000</v>
      </c>
      <c r="F179" s="649">
        <v>1000</v>
      </c>
    </row>
    <row r="180" spans="1:6" s="36" customFormat="1" x14ac:dyDescent="0.25">
      <c r="A180" s="398"/>
      <c r="B180" s="542"/>
      <c r="C180" s="553"/>
      <c r="D180" s="553"/>
      <c r="E180" s="553"/>
      <c r="F180" s="553"/>
    </row>
    <row r="181" spans="1:6" s="36" customFormat="1" x14ac:dyDescent="0.25">
      <c r="A181" s="41" t="s">
        <v>152</v>
      </c>
      <c r="B181" s="3" t="s">
        <v>238</v>
      </c>
      <c r="C181" s="549">
        <v>13205</v>
      </c>
      <c r="D181" s="549">
        <v>15315</v>
      </c>
      <c r="E181" s="549">
        <v>15575</v>
      </c>
      <c r="F181" s="549">
        <v>15635</v>
      </c>
    </row>
    <row r="182" spans="1:6" s="36" customFormat="1" x14ac:dyDescent="0.25">
      <c r="A182"/>
      <c r="B182"/>
      <c r="C182"/>
      <c r="D182"/>
      <c r="E182"/>
      <c r="F182"/>
    </row>
    <row r="183" spans="1:6" s="36" customFormat="1" x14ac:dyDescent="0.25">
      <c r="A183" s="76"/>
      <c r="B183" s="206" t="s">
        <v>12</v>
      </c>
      <c r="C183" s="4">
        <v>2022</v>
      </c>
      <c r="D183" s="4">
        <v>2023</v>
      </c>
      <c r="E183" s="4">
        <v>2024</v>
      </c>
      <c r="F183" s="4">
        <v>2025</v>
      </c>
    </row>
    <row r="184" spans="1:6" s="36" customFormat="1" x14ac:dyDescent="0.25">
      <c r="A184" s="76" t="s">
        <v>936</v>
      </c>
      <c r="B184" s="563" t="s">
        <v>239</v>
      </c>
      <c r="C184" s="552">
        <v>0</v>
      </c>
      <c r="D184" s="552">
        <v>-800</v>
      </c>
      <c r="E184" s="552">
        <v>-800</v>
      </c>
      <c r="F184" s="552">
        <v>-800</v>
      </c>
    </row>
    <row r="185" spans="1:6" s="36" customFormat="1" x14ac:dyDescent="0.25">
      <c r="A185" s="76" t="s">
        <v>937</v>
      </c>
      <c r="B185" s="563" t="s">
        <v>779</v>
      </c>
      <c r="C185" s="564"/>
      <c r="D185" s="564">
        <v>5000</v>
      </c>
      <c r="E185" s="564">
        <v>10000</v>
      </c>
      <c r="F185" s="564">
        <v>15000</v>
      </c>
    </row>
    <row r="186" spans="1:6" s="36" customFormat="1" x14ac:dyDescent="0.25">
      <c r="A186" s="76" t="s">
        <v>938</v>
      </c>
      <c r="B186" s="563" t="s">
        <v>243</v>
      </c>
      <c r="C186" s="564">
        <v>220</v>
      </c>
      <c r="D186" s="564">
        <v>220</v>
      </c>
      <c r="E186" s="564">
        <v>220</v>
      </c>
      <c r="F186" s="564">
        <v>220</v>
      </c>
    </row>
    <row r="187" spans="1:6" s="36" customFormat="1" x14ac:dyDescent="0.25">
      <c r="A187" s="76" t="s">
        <v>939</v>
      </c>
      <c r="B187" s="563" t="s">
        <v>244</v>
      </c>
      <c r="C187" s="564">
        <v>12600</v>
      </c>
      <c r="D187" s="564">
        <v>14300</v>
      </c>
      <c r="E187" s="564">
        <v>7900</v>
      </c>
      <c r="F187" s="564">
        <v>7900</v>
      </c>
    </row>
    <row r="188" spans="1:6" s="36" customFormat="1" x14ac:dyDescent="0.25">
      <c r="A188" s="76" t="s">
        <v>940</v>
      </c>
      <c r="B188" s="563" t="s">
        <v>245</v>
      </c>
      <c r="C188" s="552">
        <v>750</v>
      </c>
      <c r="D188" s="552">
        <v>750</v>
      </c>
      <c r="E188" s="552">
        <v>750</v>
      </c>
      <c r="F188" s="552">
        <v>750</v>
      </c>
    </row>
    <row r="189" spans="1:6" s="36" customFormat="1" x14ac:dyDescent="0.25">
      <c r="A189" s="398"/>
      <c r="B189" s="660"/>
      <c r="C189" s="661"/>
      <c r="D189" s="661"/>
      <c r="E189" s="661"/>
      <c r="F189" s="661"/>
    </row>
    <row r="190" spans="1:6" s="36" customFormat="1" x14ac:dyDescent="0.25">
      <c r="A190" s="41" t="s">
        <v>152</v>
      </c>
      <c r="B190" s="3" t="s">
        <v>246</v>
      </c>
      <c r="C190" s="549">
        <v>13570</v>
      </c>
      <c r="D190" s="549">
        <v>19470</v>
      </c>
      <c r="E190" s="549">
        <v>18070</v>
      </c>
      <c r="F190" s="549">
        <v>23070</v>
      </c>
    </row>
    <row r="191" spans="1:6" s="36" customFormat="1" x14ac:dyDescent="0.25">
      <c r="A191" s="45"/>
      <c r="B191" s="9"/>
      <c r="C191" s="550"/>
      <c r="D191" s="550"/>
      <c r="E191" s="550"/>
      <c r="F191" s="550"/>
    </row>
    <row r="192" spans="1:6" s="36" customFormat="1" x14ac:dyDescent="0.25">
      <c r="A192" s="46"/>
      <c r="B192" s="11" t="s">
        <v>13</v>
      </c>
      <c r="C192" s="4">
        <v>2022</v>
      </c>
      <c r="D192" s="4">
        <v>2023</v>
      </c>
      <c r="E192" s="4">
        <v>2024</v>
      </c>
      <c r="F192" s="4">
        <v>2025</v>
      </c>
    </row>
    <row r="193" spans="1:6" s="36" customFormat="1" x14ac:dyDescent="0.25">
      <c r="A193" s="43" t="s">
        <v>941</v>
      </c>
      <c r="B193" s="344" t="s">
        <v>247</v>
      </c>
      <c r="C193" s="552">
        <v>0</v>
      </c>
      <c r="D193" s="552">
        <v>-1300</v>
      </c>
      <c r="E193" s="552">
        <v>-1300</v>
      </c>
      <c r="F193" s="552">
        <v>-1300</v>
      </c>
    </row>
    <row r="194" spans="1:6" s="36" customFormat="1" x14ac:dyDescent="0.25">
      <c r="A194" s="43" t="s">
        <v>942</v>
      </c>
      <c r="B194" s="345" t="s">
        <v>781</v>
      </c>
      <c r="C194" s="552">
        <v>0</v>
      </c>
      <c r="D194" s="552">
        <v>1300</v>
      </c>
      <c r="E194" s="552">
        <v>1300</v>
      </c>
      <c r="F194" s="552">
        <v>1300</v>
      </c>
    </row>
    <row r="195" spans="1:6" s="36" customFormat="1" x14ac:dyDescent="0.25">
      <c r="A195" s="43" t="s">
        <v>943</v>
      </c>
      <c r="B195" s="623" t="s">
        <v>748</v>
      </c>
      <c r="C195" s="581">
        <v>0</v>
      </c>
      <c r="D195" s="581">
        <v>70</v>
      </c>
      <c r="E195" s="581">
        <v>70</v>
      </c>
      <c r="F195" s="581">
        <v>70</v>
      </c>
    </row>
    <row r="196" spans="1:6" s="36" customFormat="1" x14ac:dyDescent="0.25">
      <c r="A196" s="43" t="s">
        <v>944</v>
      </c>
      <c r="B196" s="344" t="s">
        <v>250</v>
      </c>
      <c r="C196" s="546">
        <v>550</v>
      </c>
      <c r="D196" s="546">
        <v>550</v>
      </c>
      <c r="E196" s="546">
        <v>550</v>
      </c>
      <c r="F196" s="546">
        <v>550</v>
      </c>
    </row>
    <row r="197" spans="1:6" s="36" customFormat="1" x14ac:dyDescent="0.25">
      <c r="A197" s="43" t="s">
        <v>945</v>
      </c>
      <c r="B197" s="344" t="s">
        <v>252</v>
      </c>
      <c r="C197" s="552">
        <v>-600</v>
      </c>
      <c r="D197" s="552">
        <v>-600</v>
      </c>
      <c r="E197" s="552">
        <v>-600</v>
      </c>
      <c r="F197" s="552">
        <v>-600</v>
      </c>
    </row>
    <row r="198" spans="1:6" s="36" customFormat="1" x14ac:dyDescent="0.25">
      <c r="A198" s="650"/>
      <c r="B198" s="344"/>
      <c r="C198" s="661"/>
      <c r="D198" s="661"/>
      <c r="E198" s="661"/>
      <c r="F198" s="661"/>
    </row>
    <row r="199" spans="1:6" s="36" customFormat="1" x14ac:dyDescent="0.25">
      <c r="A199" s="41" t="s">
        <v>152</v>
      </c>
      <c r="B199" s="3" t="s">
        <v>254</v>
      </c>
      <c r="C199" s="549">
        <v>-50</v>
      </c>
      <c r="D199" s="549">
        <v>20</v>
      </c>
      <c r="E199" s="549">
        <v>20</v>
      </c>
      <c r="F199" s="549">
        <v>20</v>
      </c>
    </row>
    <row r="200" spans="1:6" s="36" customFormat="1" x14ac:dyDescent="0.25">
      <c r="A200" s="45"/>
      <c r="B200" s="9"/>
      <c r="C200" s="550"/>
      <c r="D200" s="550"/>
      <c r="E200" s="550"/>
      <c r="F200" s="550"/>
    </row>
    <row r="201" spans="1:6" s="36" customFormat="1" x14ac:dyDescent="0.25">
      <c r="A201" s="46"/>
      <c r="B201" s="11" t="s">
        <v>255</v>
      </c>
      <c r="C201" s="551"/>
      <c r="D201" s="551"/>
      <c r="E201" s="551"/>
      <c r="F201" s="551"/>
    </row>
    <row r="202" spans="1:6" s="36" customFormat="1" x14ac:dyDescent="0.25">
      <c r="A202" s="247"/>
      <c r="B202" s="80" t="s">
        <v>256</v>
      </c>
      <c r="C202" s="4">
        <v>2022</v>
      </c>
      <c r="D202" s="4">
        <v>2023</v>
      </c>
      <c r="E202" s="4">
        <v>2024</v>
      </c>
      <c r="F202" s="4">
        <v>2025</v>
      </c>
    </row>
    <row r="203" spans="1:6" s="36" customFormat="1" x14ac:dyDescent="0.25">
      <c r="A203" s="76"/>
      <c r="B203" s="539"/>
      <c r="C203" s="546"/>
      <c r="D203" s="546"/>
      <c r="E203" s="546"/>
      <c r="F203" s="546"/>
    </row>
    <row r="204" spans="1:6" s="36" customFormat="1" x14ac:dyDescent="0.25">
      <c r="A204" s="76" t="s">
        <v>654</v>
      </c>
      <c r="B204" s="80" t="s">
        <v>258</v>
      </c>
      <c r="C204" s="298">
        <v>2022</v>
      </c>
      <c r="D204" s="298">
        <v>2023</v>
      </c>
      <c r="E204" s="298">
        <v>2024</v>
      </c>
      <c r="F204" s="298">
        <v>2025</v>
      </c>
    </row>
    <row r="205" spans="1:6" s="36" customFormat="1" ht="25.5" x14ac:dyDescent="0.25">
      <c r="A205" s="76" t="s">
        <v>946</v>
      </c>
      <c r="B205" s="563" t="s">
        <v>259</v>
      </c>
      <c r="C205" s="546">
        <v>-35</v>
      </c>
      <c r="D205" s="546">
        <v>-65</v>
      </c>
      <c r="E205" s="546">
        <v>-65</v>
      </c>
      <c r="F205" s="546">
        <v>-65</v>
      </c>
    </row>
    <row r="206" spans="1:6" s="36" customFormat="1" ht="25.5" x14ac:dyDescent="0.25">
      <c r="A206" s="76" t="s">
        <v>947</v>
      </c>
      <c r="B206" s="563" t="s">
        <v>261</v>
      </c>
      <c r="C206" s="546">
        <v>-1000</v>
      </c>
      <c r="D206" s="546">
        <v>-1000</v>
      </c>
      <c r="E206" s="546">
        <v>-1000</v>
      </c>
      <c r="F206" s="546">
        <v>-1000</v>
      </c>
    </row>
    <row r="207" spans="1:6" s="36" customFormat="1" x14ac:dyDescent="0.25">
      <c r="A207" s="76" t="s">
        <v>948</v>
      </c>
      <c r="B207" s="580" t="s">
        <v>281</v>
      </c>
      <c r="C207" s="624">
        <v>2068</v>
      </c>
      <c r="D207" s="624">
        <v>1940</v>
      </c>
      <c r="E207" s="624">
        <v>1850</v>
      </c>
      <c r="F207" s="624">
        <v>1709</v>
      </c>
    </row>
    <row r="208" spans="1:6" s="36" customFormat="1" ht="25.5" x14ac:dyDescent="0.25">
      <c r="A208" s="76" t="s">
        <v>949</v>
      </c>
      <c r="B208" s="625" t="s">
        <v>736</v>
      </c>
      <c r="C208" s="626">
        <v>-1000</v>
      </c>
      <c r="D208" s="626">
        <v>-1000</v>
      </c>
      <c r="E208" s="626">
        <v>-1000</v>
      </c>
      <c r="F208" s="626">
        <v>-1000</v>
      </c>
    </row>
    <row r="209" spans="1:6" s="36" customFormat="1" ht="25.5" x14ac:dyDescent="0.25">
      <c r="A209" s="76" t="s">
        <v>950</v>
      </c>
      <c r="B209" s="580" t="s">
        <v>737</v>
      </c>
      <c r="C209" s="626">
        <v>1800</v>
      </c>
      <c r="D209" s="626">
        <v>3100</v>
      </c>
      <c r="E209" s="626">
        <v>3100</v>
      </c>
      <c r="F209" s="626">
        <v>3100</v>
      </c>
    </row>
    <row r="210" spans="1:6" s="36" customFormat="1" x14ac:dyDescent="0.25">
      <c r="A210" s="76" t="s">
        <v>951</v>
      </c>
      <c r="B210" s="580" t="s">
        <v>739</v>
      </c>
      <c r="C210" s="626">
        <v>7246</v>
      </c>
      <c r="D210" s="626">
        <v>8746</v>
      </c>
      <c r="E210" s="626">
        <v>6460</v>
      </c>
      <c r="F210" s="626">
        <v>5978</v>
      </c>
    </row>
    <row r="211" spans="1:6" s="36" customFormat="1" x14ac:dyDescent="0.25">
      <c r="A211" s="76" t="s">
        <v>952</v>
      </c>
      <c r="B211" s="580" t="s">
        <v>264</v>
      </c>
      <c r="C211" s="626">
        <v>-470</v>
      </c>
      <c r="D211" s="626">
        <v>-1515</v>
      </c>
      <c r="E211" s="626">
        <v>-2090</v>
      </c>
      <c r="F211" s="626">
        <v>-2090</v>
      </c>
    </row>
    <row r="212" spans="1:6" s="36" customFormat="1" x14ac:dyDescent="0.25">
      <c r="A212" s="76" t="s">
        <v>953</v>
      </c>
      <c r="B212" s="580" t="s">
        <v>265</v>
      </c>
      <c r="C212" s="626">
        <v>109000</v>
      </c>
      <c r="D212" s="626">
        <v>109000</v>
      </c>
      <c r="E212" s="626">
        <v>109000</v>
      </c>
      <c r="F212" s="626">
        <v>109000</v>
      </c>
    </row>
    <row r="213" spans="1:6" s="36" customFormat="1" x14ac:dyDescent="0.25">
      <c r="A213" s="76" t="s">
        <v>954</v>
      </c>
      <c r="B213" s="580" t="s">
        <v>267</v>
      </c>
      <c r="C213" s="626">
        <v>246</v>
      </c>
      <c r="D213" s="626">
        <v>246</v>
      </c>
      <c r="E213" s="626">
        <v>246</v>
      </c>
      <c r="F213" s="626">
        <v>246</v>
      </c>
    </row>
    <row r="214" spans="1:6" s="36" customFormat="1" x14ac:dyDescent="0.25">
      <c r="A214" s="76" t="s">
        <v>955</v>
      </c>
      <c r="B214" s="580" t="s">
        <v>269</v>
      </c>
      <c r="C214" s="626">
        <v>200</v>
      </c>
      <c r="D214" s="626">
        <v>200</v>
      </c>
      <c r="E214" s="626">
        <v>200</v>
      </c>
      <c r="F214" s="626">
        <v>200</v>
      </c>
    </row>
    <row r="215" spans="1:6" s="36" customFormat="1" x14ac:dyDescent="0.25">
      <c r="A215" s="76" t="s">
        <v>956</v>
      </c>
      <c r="B215" s="580" t="s">
        <v>270</v>
      </c>
      <c r="C215" s="626">
        <v>494</v>
      </c>
      <c r="D215" s="626">
        <v>494</v>
      </c>
      <c r="E215" s="626">
        <v>494</v>
      </c>
      <c r="F215" s="626">
        <v>494</v>
      </c>
    </row>
    <row r="216" spans="1:6" s="36" customFormat="1" x14ac:dyDescent="0.25">
      <c r="A216" s="76" t="s">
        <v>957</v>
      </c>
      <c r="B216" s="419" t="s">
        <v>271</v>
      </c>
      <c r="C216" s="626">
        <v>15188</v>
      </c>
      <c r="D216" s="626">
        <v>15188</v>
      </c>
      <c r="E216" s="626">
        <v>15188</v>
      </c>
      <c r="F216" s="626">
        <v>15188</v>
      </c>
    </row>
    <row r="217" spans="1:6" s="36" customFormat="1" x14ac:dyDescent="0.25">
      <c r="A217" s="76" t="s">
        <v>958</v>
      </c>
      <c r="B217" s="563" t="s">
        <v>272</v>
      </c>
      <c r="C217" s="546">
        <v>1936</v>
      </c>
      <c r="D217" s="546">
        <v>1936</v>
      </c>
      <c r="E217" s="546">
        <v>1936</v>
      </c>
      <c r="F217" s="546">
        <v>1936</v>
      </c>
    </row>
    <row r="218" spans="1:6" s="36" customFormat="1" x14ac:dyDescent="0.25">
      <c r="A218" s="76" t="s">
        <v>959</v>
      </c>
      <c r="B218" s="563" t="s">
        <v>273</v>
      </c>
      <c r="C218" s="546">
        <v>1880</v>
      </c>
      <c r="D218" s="546">
        <v>1880</v>
      </c>
      <c r="E218" s="546">
        <v>1880</v>
      </c>
      <c r="F218" s="546">
        <v>1880</v>
      </c>
    </row>
    <row r="219" spans="1:6" s="36" customFormat="1" ht="25.5" x14ac:dyDescent="0.25">
      <c r="A219" s="76" t="s">
        <v>960</v>
      </c>
      <c r="B219" s="563" t="s">
        <v>275</v>
      </c>
      <c r="C219" s="546">
        <v>-1880</v>
      </c>
      <c r="D219" s="546"/>
      <c r="E219" s="546"/>
      <c r="F219" s="546"/>
    </row>
    <row r="220" spans="1:6" s="36" customFormat="1" x14ac:dyDescent="0.25">
      <c r="A220" s="76" t="s">
        <v>961</v>
      </c>
      <c r="B220" s="572" t="s">
        <v>279</v>
      </c>
      <c r="C220" s="546">
        <v>450</v>
      </c>
      <c r="D220" s="546">
        <v>450</v>
      </c>
      <c r="E220" s="546">
        <v>450</v>
      </c>
      <c r="F220" s="546">
        <v>450</v>
      </c>
    </row>
    <row r="221" spans="1:6" s="36" customFormat="1" x14ac:dyDescent="0.25">
      <c r="A221" s="76" t="s">
        <v>962</v>
      </c>
      <c r="B221" s="563" t="s">
        <v>283</v>
      </c>
      <c r="C221" s="573">
        <v>550</v>
      </c>
      <c r="D221" s="573">
        <v>550</v>
      </c>
      <c r="E221" s="573">
        <v>550</v>
      </c>
      <c r="F221" s="573">
        <v>550</v>
      </c>
    </row>
    <row r="222" spans="1:6" s="36" customFormat="1" x14ac:dyDescent="0.25">
      <c r="A222" s="76" t="s">
        <v>963</v>
      </c>
      <c r="B222" s="563" t="s">
        <v>285</v>
      </c>
      <c r="C222" s="573">
        <v>850</v>
      </c>
      <c r="D222" s="573">
        <v>850</v>
      </c>
      <c r="E222" s="573">
        <v>850</v>
      </c>
      <c r="F222" s="573">
        <v>850</v>
      </c>
    </row>
    <row r="223" spans="1:6" s="36" customFormat="1" x14ac:dyDescent="0.25">
      <c r="A223" s="76" t="s">
        <v>964</v>
      </c>
      <c r="B223" s="637" t="s">
        <v>790</v>
      </c>
      <c r="C223" s="638">
        <v>750</v>
      </c>
      <c r="D223" s="638"/>
      <c r="E223" s="638"/>
      <c r="F223" s="638"/>
    </row>
    <row r="224" spans="1:6" s="470" customFormat="1" x14ac:dyDescent="0.25">
      <c r="A224" s="465"/>
      <c r="B224" s="580"/>
      <c r="C224" s="662"/>
      <c r="D224" s="662"/>
      <c r="E224" s="662"/>
      <c r="F224" s="662"/>
    </row>
    <row r="225" spans="1:6" s="36" customFormat="1" ht="18" customHeight="1" x14ac:dyDescent="0.25">
      <c r="A225" s="76" t="s">
        <v>654</v>
      </c>
      <c r="B225" s="80" t="s">
        <v>287</v>
      </c>
      <c r="C225" s="4">
        <v>2022</v>
      </c>
      <c r="D225" s="4">
        <v>2023</v>
      </c>
      <c r="E225" s="4">
        <v>2024</v>
      </c>
      <c r="F225" s="4">
        <v>2025</v>
      </c>
    </row>
    <row r="226" spans="1:6" s="36" customFormat="1" x14ac:dyDescent="0.25">
      <c r="A226" s="76" t="s">
        <v>965</v>
      </c>
      <c r="B226" s="36" t="s">
        <v>288</v>
      </c>
      <c r="C226" s="552"/>
      <c r="D226" s="546">
        <v>2430</v>
      </c>
      <c r="E226" s="546"/>
      <c r="F226" s="546">
        <v>2430</v>
      </c>
    </row>
    <row r="227" spans="1:6" s="36" customFormat="1" x14ac:dyDescent="0.25">
      <c r="A227" s="76" t="s">
        <v>966</v>
      </c>
      <c r="B227" s="293" t="s">
        <v>289</v>
      </c>
      <c r="C227" s="552"/>
      <c r="D227" s="546">
        <v>400</v>
      </c>
      <c r="E227" s="546"/>
      <c r="F227" s="546">
        <v>400</v>
      </c>
    </row>
    <row r="228" spans="1:6" s="36" customFormat="1" x14ac:dyDescent="0.25">
      <c r="A228" s="76" t="s">
        <v>967</v>
      </c>
      <c r="B228" s="36" t="s">
        <v>290</v>
      </c>
      <c r="C228" s="552"/>
      <c r="D228" s="546">
        <v>300</v>
      </c>
      <c r="E228" s="546"/>
      <c r="F228" s="546">
        <v>0</v>
      </c>
    </row>
    <row r="229" spans="1:6" s="36" customFormat="1" x14ac:dyDescent="0.25">
      <c r="A229" s="76" t="s">
        <v>968</v>
      </c>
      <c r="B229" s="36" t="s">
        <v>291</v>
      </c>
      <c r="C229" s="552"/>
      <c r="D229" s="546">
        <v>200</v>
      </c>
      <c r="E229" s="546"/>
      <c r="F229" s="546">
        <v>0</v>
      </c>
    </row>
    <row r="230" spans="1:6" s="36" customFormat="1" x14ac:dyDescent="0.25">
      <c r="A230" s="76" t="s">
        <v>969</v>
      </c>
      <c r="B230" s="36" t="s">
        <v>292</v>
      </c>
      <c r="C230" s="546"/>
      <c r="D230" s="546">
        <v>-2000</v>
      </c>
      <c r="E230" s="546">
        <v>-2000</v>
      </c>
      <c r="F230" s="546">
        <v>-2000</v>
      </c>
    </row>
    <row r="231" spans="1:6" s="36" customFormat="1" x14ac:dyDescent="0.25">
      <c r="A231" s="76" t="s">
        <v>970</v>
      </c>
      <c r="B231" s="36" t="s">
        <v>294</v>
      </c>
      <c r="C231" s="546"/>
      <c r="D231" s="546">
        <v>400</v>
      </c>
      <c r="E231" s="546"/>
      <c r="F231" s="546">
        <v>400</v>
      </c>
    </row>
    <row r="232" spans="1:6" s="36" customFormat="1" x14ac:dyDescent="0.25">
      <c r="A232" s="76" t="s">
        <v>971</v>
      </c>
      <c r="B232" s="36" t="s">
        <v>295</v>
      </c>
      <c r="C232" s="546"/>
      <c r="D232" s="546">
        <v>300</v>
      </c>
      <c r="E232" s="546"/>
      <c r="F232" s="546">
        <v>300</v>
      </c>
    </row>
    <row r="233" spans="1:6" s="36" customFormat="1" x14ac:dyDescent="0.25">
      <c r="A233" s="76" t="s">
        <v>972</v>
      </c>
      <c r="B233" s="513" t="s">
        <v>801</v>
      </c>
      <c r="C233" s="636"/>
      <c r="D233" s="636">
        <v>-300</v>
      </c>
      <c r="E233" s="636"/>
      <c r="F233" s="636">
        <v>-300</v>
      </c>
    </row>
    <row r="234" spans="1:6" s="36" customFormat="1" x14ac:dyDescent="0.25">
      <c r="A234" s="76" t="s">
        <v>973</v>
      </c>
      <c r="B234" s="291" t="s">
        <v>296</v>
      </c>
      <c r="C234" s="546">
        <v>50</v>
      </c>
      <c r="D234" s="546">
        <v>50</v>
      </c>
      <c r="E234" s="546">
        <v>50</v>
      </c>
      <c r="F234" s="546">
        <v>50</v>
      </c>
    </row>
    <row r="235" spans="1:6" s="36" customFormat="1" x14ac:dyDescent="0.25">
      <c r="A235" s="76" t="s">
        <v>974</v>
      </c>
      <c r="B235" s="291" t="s">
        <v>780</v>
      </c>
      <c r="C235" s="546"/>
      <c r="D235" s="546"/>
      <c r="E235" s="546">
        <v>1000</v>
      </c>
      <c r="F235" s="546"/>
    </row>
    <row r="236" spans="1:6" s="36" customFormat="1" x14ac:dyDescent="0.25">
      <c r="A236" s="76" t="s">
        <v>975</v>
      </c>
      <c r="B236" s="291" t="s">
        <v>753</v>
      </c>
      <c r="C236" s="630">
        <v>367</v>
      </c>
      <c r="D236" s="630">
        <v>367</v>
      </c>
      <c r="E236" s="630">
        <v>367</v>
      </c>
      <c r="F236" s="630">
        <v>367</v>
      </c>
    </row>
    <row r="237" spans="1:6" s="36" customFormat="1" x14ac:dyDescent="0.25">
      <c r="A237" s="76"/>
      <c r="B237" s="291"/>
      <c r="C237" s="630"/>
      <c r="D237" s="630"/>
      <c r="E237" s="630"/>
      <c r="F237" s="630"/>
    </row>
    <row r="238" spans="1:6" s="36" customFormat="1" x14ac:dyDescent="0.25">
      <c r="A238" s="76" t="s">
        <v>654</v>
      </c>
      <c r="B238" s="80" t="s">
        <v>298</v>
      </c>
      <c r="C238" s="574"/>
      <c r="D238" s="574"/>
      <c r="E238" s="574"/>
      <c r="F238" s="574"/>
    </row>
    <row r="239" spans="1:6" s="36" customFormat="1" x14ac:dyDescent="0.25">
      <c r="A239" s="76" t="s">
        <v>976</v>
      </c>
      <c r="B239" s="563" t="s">
        <v>299</v>
      </c>
      <c r="C239" s="541">
        <v>-22250</v>
      </c>
      <c r="D239" s="541">
        <v>-23950</v>
      </c>
      <c r="E239" s="541">
        <v>-23950</v>
      </c>
      <c r="F239" s="541">
        <v>-23950</v>
      </c>
    </row>
    <row r="240" spans="1:6" s="36" customFormat="1" x14ac:dyDescent="0.25">
      <c r="A240" s="76" t="s">
        <v>977</v>
      </c>
      <c r="B240" s="563" t="s">
        <v>301</v>
      </c>
      <c r="C240" s="576">
        <v>-4210</v>
      </c>
      <c r="D240" s="576">
        <v>-16430</v>
      </c>
      <c r="E240" s="576">
        <v>-31250</v>
      </c>
      <c r="F240" s="576">
        <v>-37308</v>
      </c>
    </row>
    <row r="241" spans="1:6" s="36" customFormat="1" x14ac:dyDescent="0.25">
      <c r="A241" s="76" t="s">
        <v>978</v>
      </c>
      <c r="B241" s="563" t="s">
        <v>302</v>
      </c>
      <c r="C241" s="541">
        <v>-2550</v>
      </c>
      <c r="D241" s="541">
        <v>-2550</v>
      </c>
      <c r="E241" s="541">
        <v>-2550</v>
      </c>
      <c r="F241" s="541">
        <v>-2550</v>
      </c>
    </row>
    <row r="242" spans="1:6" s="36" customFormat="1" x14ac:dyDescent="0.25">
      <c r="A242" s="76" t="s">
        <v>979</v>
      </c>
      <c r="B242" s="563" t="s">
        <v>304</v>
      </c>
      <c r="C242" s="541">
        <v>-4420</v>
      </c>
      <c r="D242" s="541">
        <v>-4420</v>
      </c>
      <c r="E242" s="541">
        <v>-4420</v>
      </c>
      <c r="F242" s="541">
        <v>-4420</v>
      </c>
    </row>
    <row r="243" spans="1:6" s="36" customFormat="1" x14ac:dyDescent="0.25">
      <c r="A243" s="76" t="s">
        <v>980</v>
      </c>
      <c r="B243" s="563" t="s">
        <v>305</v>
      </c>
      <c r="C243" s="536">
        <v>35700</v>
      </c>
      <c r="D243" s="536">
        <v>50700</v>
      </c>
      <c r="E243" s="536">
        <v>63700</v>
      </c>
      <c r="F243" s="536">
        <v>72700</v>
      </c>
    </row>
    <row r="244" spans="1:6" s="36" customFormat="1" x14ac:dyDescent="0.25">
      <c r="A244" s="76" t="s">
        <v>981</v>
      </c>
      <c r="B244" s="563" t="s">
        <v>307</v>
      </c>
      <c r="C244" s="536">
        <v>-35700</v>
      </c>
      <c r="D244" s="536">
        <v>-50700</v>
      </c>
      <c r="E244" s="536">
        <v>-63700</v>
      </c>
      <c r="F244" s="536">
        <v>-72700</v>
      </c>
    </row>
    <row r="245" spans="1:6" s="36" customFormat="1" x14ac:dyDescent="0.25">
      <c r="A245" s="76" t="s">
        <v>982</v>
      </c>
      <c r="B245" s="563" t="s">
        <v>304</v>
      </c>
      <c r="C245" s="536">
        <v>4420</v>
      </c>
      <c r="D245" s="536">
        <v>4420</v>
      </c>
      <c r="E245" s="536">
        <v>4420</v>
      </c>
      <c r="F245" s="536">
        <v>4420</v>
      </c>
    </row>
    <row r="246" spans="1:6" s="36" customFormat="1" x14ac:dyDescent="0.25">
      <c r="A246" s="76" t="s">
        <v>983</v>
      </c>
      <c r="B246" s="637" t="s">
        <v>800</v>
      </c>
      <c r="C246" s="649">
        <v>5000</v>
      </c>
      <c r="D246" s="649">
        <v>5000</v>
      </c>
      <c r="E246" s="649">
        <v>5000</v>
      </c>
      <c r="F246" s="649">
        <v>5000</v>
      </c>
    </row>
    <row r="247" spans="1:6" s="36" customFormat="1" ht="25.5" x14ac:dyDescent="0.25">
      <c r="A247" s="76" t="s">
        <v>984</v>
      </c>
      <c r="B247" s="563" t="s">
        <v>309</v>
      </c>
      <c r="C247" s="536">
        <v>600</v>
      </c>
      <c r="D247" s="536">
        <v>600</v>
      </c>
      <c r="E247" s="536">
        <v>600</v>
      </c>
      <c r="F247" s="536">
        <v>600</v>
      </c>
    </row>
    <row r="248" spans="1:6" s="36" customFormat="1" x14ac:dyDescent="0.25">
      <c r="A248" s="76" t="s">
        <v>770</v>
      </c>
      <c r="B248" s="384" t="s">
        <v>771</v>
      </c>
      <c r="C248" s="88">
        <v>5000</v>
      </c>
      <c r="D248" s="88">
        <v>10000</v>
      </c>
      <c r="E248" s="88">
        <v>10000</v>
      </c>
      <c r="F248" s="88">
        <v>10000</v>
      </c>
    </row>
    <row r="249" spans="1:6" s="36" customFormat="1" x14ac:dyDescent="0.25">
      <c r="A249" s="76"/>
      <c r="B249" s="563"/>
      <c r="C249" s="536"/>
      <c r="D249" s="536"/>
      <c r="E249" s="536"/>
      <c r="F249" s="536"/>
    </row>
    <row r="250" spans="1:6" s="36" customFormat="1" ht="30" x14ac:dyDescent="0.25">
      <c r="A250" s="41" t="s">
        <v>152</v>
      </c>
      <c r="B250" s="3" t="s">
        <v>310</v>
      </c>
      <c r="C250" s="549">
        <v>120280</v>
      </c>
      <c r="D250" s="549">
        <v>115817</v>
      </c>
      <c r="E250" s="549">
        <v>95316</v>
      </c>
      <c r="F250" s="549">
        <v>90865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522E-0915-4062-8D67-1F655FDDB460}">
  <sheetPr>
    <tabColor rgb="FFFF0000"/>
  </sheetPr>
  <dimension ref="A1:M259"/>
  <sheetViews>
    <sheetView topLeftCell="A109" workbookViewId="0">
      <selection activeCell="C91" sqref="C91"/>
    </sheetView>
  </sheetViews>
  <sheetFormatPr baseColWidth="10" defaultRowHeight="15" x14ac:dyDescent="0.25"/>
  <cols>
    <col min="1" max="1" width="10.140625" customWidth="1"/>
    <col min="2" max="2" width="6" customWidth="1"/>
    <col min="3" max="3" width="58.710937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6" customWidth="1"/>
    <col min="12" max="12" width="7.5703125" style="26" bestFit="1" customWidth="1"/>
    <col min="13" max="13" width="20.42578125" customWidth="1"/>
  </cols>
  <sheetData>
    <row r="1" spans="1:12" s="26" customFormat="1" ht="23.25" x14ac:dyDescent="0.25">
      <c r="A1" s="292" t="s">
        <v>0</v>
      </c>
      <c r="B1" s="293"/>
      <c r="C1" s="294"/>
      <c r="D1" s="91"/>
      <c r="E1" s="91"/>
      <c r="F1" s="292"/>
      <c r="G1" s="292"/>
      <c r="H1" s="292"/>
      <c r="I1" s="292"/>
      <c r="J1" s="534"/>
      <c r="K1" s="36"/>
      <c r="L1" s="36"/>
    </row>
    <row r="2" spans="1:12" s="26" customFormat="1" x14ac:dyDescent="0.25">
      <c r="A2" s="36"/>
      <c r="B2" s="293"/>
      <c r="C2" s="293"/>
      <c r="D2" s="91"/>
      <c r="E2" s="91"/>
      <c r="F2" s="36"/>
      <c r="G2" s="36"/>
      <c r="H2" s="36"/>
      <c r="I2" s="36"/>
      <c r="J2" s="534"/>
      <c r="K2" s="36"/>
      <c r="L2" s="36"/>
    </row>
    <row r="3" spans="1:12" s="36" customFormat="1" x14ac:dyDescent="0.25">
      <c r="A3" s="295"/>
      <c r="B3" s="296"/>
      <c r="C3" s="296"/>
      <c r="D3" s="297"/>
      <c r="E3" s="297"/>
      <c r="F3" s="298">
        <v>2020</v>
      </c>
      <c r="G3" s="298">
        <v>46210</v>
      </c>
      <c r="H3" s="298">
        <v>2022</v>
      </c>
      <c r="I3" s="298"/>
    </row>
    <row r="4" spans="1:12" s="36" customFormat="1" x14ac:dyDescent="0.25">
      <c r="A4" s="299" t="s">
        <v>15</v>
      </c>
      <c r="B4" s="300"/>
      <c r="C4" s="301"/>
      <c r="D4" s="302"/>
      <c r="E4" s="302"/>
      <c r="F4" s="303">
        <v>4546363</v>
      </c>
      <c r="G4" s="303">
        <v>4546363</v>
      </c>
      <c r="H4" s="303">
        <v>4546363</v>
      </c>
      <c r="I4" s="303">
        <v>4546363</v>
      </c>
      <c r="J4" s="1"/>
    </row>
    <row r="5" spans="1:12" s="36" customFormat="1" x14ac:dyDescent="0.25">
      <c r="A5" s="36" t="str">
        <f>C62</f>
        <v>SUM SENTRALE INNTEKTER OG FINANSPOSTER</v>
      </c>
      <c r="B5" s="293"/>
      <c r="C5" s="121"/>
      <c r="D5" s="91"/>
      <c r="E5" s="91"/>
      <c r="F5" s="2">
        <f>F62</f>
        <v>-4809340</v>
      </c>
      <c r="G5" s="2">
        <f>G62</f>
        <v>-4807463</v>
      </c>
      <c r="H5" s="2">
        <f>H62</f>
        <v>-4816920</v>
      </c>
      <c r="I5" s="2">
        <f>I62</f>
        <v>-4852045</v>
      </c>
    </row>
    <row r="6" spans="1:12" s="36" customFormat="1" x14ac:dyDescent="0.25">
      <c r="A6" s="305" t="s">
        <v>18</v>
      </c>
      <c r="B6" s="306"/>
      <c r="C6" s="307"/>
      <c r="D6" s="308"/>
      <c r="E6" s="308"/>
      <c r="F6" s="309">
        <f>SUM(F4:F5)</f>
        <v>-262977</v>
      </c>
      <c r="G6" s="309">
        <f>SUM(G4:G5)</f>
        <v>-261100</v>
      </c>
      <c r="H6" s="309">
        <f>SUM(H4:H5)</f>
        <v>-270557</v>
      </c>
      <c r="I6" s="309">
        <f>SUM(I4:I5)</f>
        <v>-305682</v>
      </c>
    </row>
    <row r="7" spans="1:12" s="36" customFormat="1" x14ac:dyDescent="0.25">
      <c r="A7" s="310"/>
      <c r="B7" s="300"/>
      <c r="C7" s="300"/>
      <c r="D7" s="302"/>
      <c r="E7" s="302"/>
      <c r="F7" s="311"/>
      <c r="G7" s="311"/>
      <c r="H7" s="311"/>
      <c r="I7" s="311"/>
    </row>
    <row r="8" spans="1:12" s="36" customFormat="1" x14ac:dyDescent="0.25">
      <c r="A8" s="312" t="s">
        <v>21</v>
      </c>
      <c r="B8" s="205"/>
      <c r="C8" s="205"/>
      <c r="D8" s="313"/>
      <c r="E8" s="313"/>
      <c r="F8" s="37">
        <f>SUMIF($D:$D,"ØP 21-24",F:F)</f>
        <v>-15191</v>
      </c>
      <c r="G8" s="37">
        <f>SUMIF($D:$D,"ØP 21-24",G:G)</f>
        <v>-9266</v>
      </c>
      <c r="H8" s="37">
        <f>SUMIF($D:$D,"ØP 21-24",H:H)</f>
        <v>4891.5833333333321</v>
      </c>
      <c r="I8" s="37">
        <f>SUMIF($D:$D,"ØP 21-24",I:I)</f>
        <v>29560</v>
      </c>
    </row>
    <row r="9" spans="1:12" s="36" customFormat="1" x14ac:dyDescent="0.25">
      <c r="A9" s="314" t="s">
        <v>23</v>
      </c>
      <c r="B9" s="315"/>
      <c r="C9" s="315"/>
      <c r="D9" s="316"/>
      <c r="E9" s="316"/>
      <c r="F9" s="265">
        <f>SUMIF($D:$D,"ØP 21-24 REKALK",F:F)</f>
        <v>30696</v>
      </c>
      <c r="G9" s="265">
        <f>SUMIF($D:$D,"ØP 21-24 REKALK",G:G)</f>
        <v>32968</v>
      </c>
      <c r="H9" s="265">
        <f>SUMIF($D:$D,"ØP 21-24 REKALK",H:H)</f>
        <v>31483</v>
      </c>
      <c r="I9" s="265">
        <f>SUMIF($D:$D,"ØP 21-24 REKALK",I:I)</f>
        <v>37803</v>
      </c>
    </row>
    <row r="10" spans="1:12" s="36" customFormat="1" x14ac:dyDescent="0.25">
      <c r="A10" s="317" t="s">
        <v>24</v>
      </c>
      <c r="B10" s="318"/>
      <c r="C10" s="318"/>
      <c r="D10" s="319"/>
      <c r="E10" s="319"/>
      <c r="F10" s="320">
        <f>F6+F8+F9</f>
        <v>-247472</v>
      </c>
      <c r="G10" s="320">
        <f>G6+G8+G9</f>
        <v>-237398</v>
      </c>
      <c r="H10" s="320">
        <f>H6+H8+H9</f>
        <v>-234182.41666666669</v>
      </c>
      <c r="I10" s="320">
        <f>I6+I8+I9</f>
        <v>-238319</v>
      </c>
    </row>
    <row r="11" spans="1:12" s="26" customFormat="1" x14ac:dyDescent="0.25">
      <c r="A11" s="36"/>
      <c r="B11" s="293"/>
      <c r="C11" s="293"/>
      <c r="D11" s="91"/>
      <c r="E11" s="91"/>
      <c r="F11" s="2"/>
      <c r="G11" s="2"/>
      <c r="H11" s="2"/>
      <c r="I11" s="2"/>
      <c r="J11" s="36"/>
      <c r="K11" s="36"/>
      <c r="L11" s="36"/>
    </row>
    <row r="12" spans="1:12" s="26" customFormat="1" x14ac:dyDescent="0.25">
      <c r="A12" s="310" t="s">
        <v>25</v>
      </c>
      <c r="B12" s="293"/>
      <c r="C12" s="293"/>
      <c r="D12" s="91"/>
      <c r="E12" s="91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6"/>
      <c r="K12" s="36"/>
      <c r="L12" s="36"/>
    </row>
    <row r="13" spans="1:12" s="36" customFormat="1" x14ac:dyDescent="0.25">
      <c r="A13" s="314" t="s">
        <v>26</v>
      </c>
      <c r="B13" s="315"/>
      <c r="C13" s="315"/>
      <c r="D13" s="316"/>
      <c r="E13" s="316"/>
      <c r="F13" s="265">
        <f>SUMIFS(F:F,$D:$D,"NYTT",$E:$E,"MÅ")</f>
        <v>247472</v>
      </c>
      <c r="G13" s="265">
        <f>SUMIFS(G:G,$D:$D,"NYTT",$E:$E,"MÅ")</f>
        <v>237398</v>
      </c>
      <c r="H13" s="265">
        <f>SUMIFS(H:H,$D:$D,"NYTT",$E:$E,"MÅ")</f>
        <v>234182</v>
      </c>
      <c r="I13" s="265">
        <f>SUMIFS(I:I,$D:$D,"NYTT",$E:$E,"MÅ")</f>
        <v>238319</v>
      </c>
    </row>
    <row r="14" spans="1:12" s="36" customFormat="1" x14ac:dyDescent="0.25">
      <c r="A14" s="305" t="s">
        <v>27</v>
      </c>
      <c r="B14" s="307"/>
      <c r="C14" s="307"/>
      <c r="D14" s="321"/>
      <c r="E14" s="321"/>
      <c r="F14" s="322">
        <f>F6+F8+F9+F12+F13</f>
        <v>0</v>
      </c>
      <c r="G14" s="322">
        <f>G6+G8+G9+G12+G13</f>
        <v>0</v>
      </c>
      <c r="H14" s="322">
        <f>H6+H8+H9+H12+H13</f>
        <v>-0.41666666668606922</v>
      </c>
      <c r="I14" s="322">
        <f>I6+I8+I9+I12+I13</f>
        <v>0</v>
      </c>
    </row>
    <row r="15" spans="1:12" s="36" customFormat="1" x14ac:dyDescent="0.25">
      <c r="A15" s="310"/>
      <c r="B15" s="300"/>
      <c r="C15" s="300"/>
      <c r="D15" s="302"/>
      <c r="E15" s="302"/>
      <c r="F15" s="508"/>
      <c r="G15" s="311"/>
      <c r="H15" s="311"/>
      <c r="I15" s="311"/>
    </row>
    <row r="16" spans="1:12" s="36" customFormat="1" x14ac:dyDescent="0.25">
      <c r="A16" s="312" t="s">
        <v>28</v>
      </c>
      <c r="B16" s="205"/>
      <c r="C16" s="205"/>
      <c r="D16" s="313"/>
      <c r="E16" s="313"/>
      <c r="F16" s="37">
        <f>SUMIF($D:$D,"NYTT",F:F)-F17-F13-F12</f>
        <v>0</v>
      </c>
      <c r="G16" s="37">
        <f>SUMIF($D:$D,"NYTT",G:G)-G17-G13-G12</f>
        <v>0</v>
      </c>
      <c r="H16" s="37">
        <f>SUMIF($D:$D,"NYTT",H:H)-H17-H13-H12</f>
        <v>0</v>
      </c>
      <c r="I16" s="37">
        <f>SUMIF($D:$D,"NYTT",I:I)-I17-I13-I12</f>
        <v>0</v>
      </c>
    </row>
    <row r="17" spans="1:13" s="36" customFormat="1" x14ac:dyDescent="0.25">
      <c r="A17" s="323" t="s">
        <v>29</v>
      </c>
      <c r="B17" s="205"/>
      <c r="C17" s="324"/>
      <c r="D17" s="313"/>
      <c r="E17" s="313"/>
      <c r="F17" s="325">
        <f>SUMIFS(F:F,$D:$D,"NYTT",$E:$E,"IKKE PRI")</f>
        <v>0</v>
      </c>
      <c r="G17" s="325">
        <f>SUMIFS(G:G,$D:$D,"NYTT",$E:$E,"IKKE PRI")</f>
        <v>0</v>
      </c>
      <c r="H17" s="325">
        <f>SUMIFS(H:H,$D:$D,"NYTT",$E:$E,"IKKE PRI")</f>
        <v>0</v>
      </c>
      <c r="I17" s="325">
        <f>SUMIFS(I:I,$D:$D,"NYTT",$E:$E,"IKKE PRI")</f>
        <v>0</v>
      </c>
    </row>
    <row r="18" spans="1:13" s="36" customFormat="1" x14ac:dyDescent="0.25">
      <c r="A18" s="323"/>
      <c r="B18" s="205"/>
      <c r="C18" s="324"/>
      <c r="D18" s="313"/>
      <c r="E18" s="313"/>
      <c r="F18" s="290">
        <f>(F8+F9+F13+F16+F17+F12)-SUMIF($B:$B,"X",F:F)</f>
        <v>0</v>
      </c>
      <c r="G18" s="290">
        <f>(G8+G9+G13+G16+G17+G12)-SUMIF($B:$B,"X",G:G)</f>
        <v>0</v>
      </c>
      <c r="H18" s="290">
        <f>(H8+H9+H13+H16+H17+H12)-SUMIF($B:$B,"X",H:H)</f>
        <v>0</v>
      </c>
      <c r="I18" s="290">
        <f>(I8+I9+I13+I16+I17+I12)-SUMIF($B:$B,"X",I:I)</f>
        <v>0</v>
      </c>
    </row>
    <row r="19" spans="1:13" s="36" customFormat="1" x14ac:dyDescent="0.25">
      <c r="A19" s="326"/>
      <c r="B19" s="327"/>
      <c r="C19" s="296"/>
      <c r="D19" s="328"/>
      <c r="E19" s="328"/>
      <c r="F19" s="329"/>
      <c r="G19" s="329"/>
      <c r="H19" s="329"/>
      <c r="I19" s="329"/>
    </row>
    <row r="20" spans="1:13" s="36" customFormat="1" x14ac:dyDescent="0.25">
      <c r="A20" s="330"/>
      <c r="B20" s="293"/>
      <c r="C20" s="331"/>
      <c r="D20" s="91"/>
      <c r="E20" s="91"/>
      <c r="F20" s="332">
        <f>F8+F9+F13+F12</f>
        <v>262977</v>
      </c>
      <c r="G20" s="332">
        <f>G8+G9+G13+G12</f>
        <v>261100</v>
      </c>
      <c r="H20" s="332">
        <f>H8+H9+H13+H12</f>
        <v>270556.58333333331</v>
      </c>
      <c r="I20" s="332">
        <f>I8+I9+I13+I12</f>
        <v>305682</v>
      </c>
    </row>
    <row r="21" spans="1:13" s="36" customFormat="1" x14ac:dyDescent="0.25">
      <c r="A21" s="330"/>
      <c r="B21" s="293"/>
      <c r="C21" s="331"/>
      <c r="D21" s="91"/>
      <c r="E21" s="91"/>
      <c r="F21" s="332"/>
      <c r="G21" s="332"/>
      <c r="H21" s="332"/>
      <c r="I21" s="332"/>
    </row>
    <row r="22" spans="1:13" s="36" customFormat="1" hidden="1" x14ac:dyDescent="0.25">
      <c r="A22" s="190" t="s">
        <v>30</v>
      </c>
      <c r="B22" s="333"/>
      <c r="C22" s="234"/>
      <c r="D22" s="235"/>
      <c r="E22" s="235"/>
      <c r="F22" s="191"/>
      <c r="G22" s="191"/>
      <c r="H22" s="191"/>
      <c r="I22" s="191"/>
      <c r="J22" s="26"/>
      <c r="K22" s="26"/>
      <c r="L22" s="26"/>
    </row>
    <row r="23" spans="1:13" s="123" customFormat="1" hidden="1" x14ac:dyDescent="0.25">
      <c r="A23" s="192" t="s">
        <v>31</v>
      </c>
      <c r="B23" s="236"/>
      <c r="C23" s="193"/>
      <c r="D23" s="237"/>
      <c r="E23" s="237"/>
      <c r="F23" s="194" t="e">
        <f>SUMIF(#REF!,"FOND",F:F)</f>
        <v>#REF!</v>
      </c>
      <c r="G23" s="194" t="e">
        <f>SUMIF(#REF!,"FOND",G:G)</f>
        <v>#REF!</v>
      </c>
      <c r="H23" s="194" t="e">
        <f>SUMIF(#REF!,"FOND",H:H)</f>
        <v>#REF!</v>
      </c>
      <c r="I23" s="194" t="e">
        <f>SUMIF(#REF!,"FOND",I:I)</f>
        <v>#REF!</v>
      </c>
      <c r="J23" s="238"/>
      <c r="K23" s="238"/>
      <c r="L23" s="238"/>
      <c r="M23" s="36"/>
    </row>
    <row r="24" spans="1:13" s="36" customFormat="1" hidden="1" x14ac:dyDescent="0.25">
      <c r="A24" s="195" t="s">
        <v>32</v>
      </c>
      <c r="B24" s="333"/>
      <c r="C24" s="234"/>
      <c r="D24" s="235"/>
      <c r="E24" s="235"/>
      <c r="F24" s="196" t="e">
        <f>SUBTOTAL(9,F22:F23)</f>
        <v>#REF!</v>
      </c>
      <c r="G24" s="196" t="e">
        <f>SUBTOTAL(9,G22:G23)</f>
        <v>#REF!</v>
      </c>
      <c r="H24" s="196" t="e">
        <f>SUBTOTAL(9,H22:H23)</f>
        <v>#REF!</v>
      </c>
      <c r="I24" s="196" t="e">
        <f>SUBTOTAL(9,I22:I23)</f>
        <v>#REF!</v>
      </c>
      <c r="J24" s="26"/>
      <c r="K24" s="26"/>
      <c r="L24" s="26"/>
    </row>
    <row r="25" spans="1:13" s="36" customFormat="1" x14ac:dyDescent="0.25">
      <c r="A25" s="26"/>
      <c r="B25" s="9"/>
      <c r="C25" s="9"/>
      <c r="D25" s="240"/>
      <c r="E25" s="240"/>
      <c r="F25" s="334">
        <f>(F8+F9+F13+F16+F17+F12)-SUMIF($B:$B,"X",F:F)</f>
        <v>0</v>
      </c>
      <c r="G25" s="334">
        <f>(G8+G9+G13+G16+G17+G12)-SUMIF($B:$B,"X",G:G)</f>
        <v>0</v>
      </c>
      <c r="H25" s="334">
        <f>(H8+H9+H13+H16+H17+H12)-SUMIF($B:$B,"X",H:H)</f>
        <v>0</v>
      </c>
      <c r="I25" s="334">
        <f>(I8+I9+I13+I16+I17+I12)-SUMIF($B:$B,"X",I:I)</f>
        <v>0</v>
      </c>
      <c r="J25" s="26"/>
      <c r="K25" s="26"/>
      <c r="L25" s="26"/>
    </row>
    <row r="26" spans="1:13" s="36" customFormat="1" x14ac:dyDescent="0.25">
      <c r="A26" s="4" t="s">
        <v>33</v>
      </c>
      <c r="B26" s="5" t="s">
        <v>34</v>
      </c>
      <c r="C26" s="3" t="s">
        <v>35</v>
      </c>
      <c r="D26" s="6" t="s">
        <v>36</v>
      </c>
      <c r="E26" s="44" t="s">
        <v>37</v>
      </c>
      <c r="F26" s="4">
        <v>2022</v>
      </c>
      <c r="G26" s="4">
        <v>2023</v>
      </c>
      <c r="H26" s="4">
        <v>2024</v>
      </c>
      <c r="I26" s="4">
        <v>2025</v>
      </c>
      <c r="J26" s="4" t="s">
        <v>38</v>
      </c>
      <c r="K26" s="26" t="s">
        <v>39</v>
      </c>
      <c r="L26" s="26" t="s">
        <v>40</v>
      </c>
    </row>
    <row r="27" spans="1:13" s="36" customFormat="1" x14ac:dyDescent="0.25">
      <c r="A27" s="232"/>
      <c r="B27" s="9"/>
      <c r="C27" s="15"/>
      <c r="D27" s="49"/>
      <c r="E27" s="84" t="s">
        <v>41</v>
      </c>
      <c r="F27" s="233">
        <v>-2691000</v>
      </c>
      <c r="G27" s="233">
        <v>-2721000</v>
      </c>
      <c r="H27" s="233">
        <v>-2752000</v>
      </c>
      <c r="I27" s="233"/>
      <c r="J27" s="37"/>
      <c r="K27" s="26"/>
      <c r="L27" s="26"/>
    </row>
    <row r="28" spans="1:13" s="36" customFormat="1" x14ac:dyDescent="0.25">
      <c r="A28" s="13"/>
      <c r="B28" s="42"/>
      <c r="C28" s="14" t="s">
        <v>42</v>
      </c>
      <c r="D28" s="39"/>
      <c r="E28" s="85" t="s">
        <v>43</v>
      </c>
      <c r="F28" s="83">
        <v>-1958000</v>
      </c>
      <c r="G28" s="83">
        <v>-1989000</v>
      </c>
      <c r="H28" s="83">
        <v>-2013000</v>
      </c>
      <c r="I28" s="83"/>
      <c r="J28" s="37"/>
      <c r="K28" s="335"/>
      <c r="L28" s="335"/>
    </row>
    <row r="29" spans="1:13" s="36" customFormat="1" x14ac:dyDescent="0.25">
      <c r="A29" s="76" t="s">
        <v>44</v>
      </c>
      <c r="B29" s="336" t="str">
        <f t="shared" ref="B29:B60" si="0">IF(L29,K29&amp;L29,"")</f>
        <v>I1</v>
      </c>
      <c r="C29" s="593" t="s">
        <v>45</v>
      </c>
      <c r="D29" s="585" t="s">
        <v>44</v>
      </c>
      <c r="E29" s="585" t="s">
        <v>46</v>
      </c>
      <c r="F29" s="594">
        <v>-2801000</v>
      </c>
      <c r="G29" s="594">
        <v>-2833000</v>
      </c>
      <c r="H29" s="594">
        <v>-2864000</v>
      </c>
      <c r="I29" s="594">
        <v>-2895000</v>
      </c>
      <c r="J29" s="290" t="s">
        <v>759</v>
      </c>
      <c r="K29" s="26" t="s">
        <v>48</v>
      </c>
      <c r="L29" s="26">
        <f t="shared" ref="L29:L61" si="1">L28+1</f>
        <v>1</v>
      </c>
    </row>
    <row r="30" spans="1:13" s="36" customFormat="1" x14ac:dyDescent="0.25">
      <c r="A30" s="76" t="s">
        <v>44</v>
      </c>
      <c r="B30" s="336" t="str">
        <f t="shared" si="0"/>
        <v>I2</v>
      </c>
      <c r="C30" s="593" t="s">
        <v>49</v>
      </c>
      <c r="D30" s="585" t="s">
        <v>44</v>
      </c>
      <c r="E30" s="585" t="s">
        <v>46</v>
      </c>
      <c r="F30" s="594">
        <v>-2060000</v>
      </c>
      <c r="G30" s="594">
        <v>-2101000</v>
      </c>
      <c r="H30" s="594">
        <v>-2127000</v>
      </c>
      <c r="I30" s="594">
        <v>-2147000</v>
      </c>
      <c r="J30" s="290" t="s">
        <v>759</v>
      </c>
      <c r="K30" s="26" t="s">
        <v>48</v>
      </c>
      <c r="L30" s="26">
        <f t="shared" si="1"/>
        <v>2</v>
      </c>
    </row>
    <row r="31" spans="1:13" s="36" customFormat="1" x14ac:dyDescent="0.25">
      <c r="A31" s="76" t="s">
        <v>44</v>
      </c>
      <c r="B31" s="336" t="str">
        <f t="shared" si="0"/>
        <v>I3</v>
      </c>
      <c r="C31" s="535" t="s">
        <v>50</v>
      </c>
      <c r="D31" s="77" t="s">
        <v>44</v>
      </c>
      <c r="E31" s="77" t="s">
        <v>46</v>
      </c>
      <c r="F31" s="536">
        <v>-63000</v>
      </c>
      <c r="G31" s="536">
        <v>-64000</v>
      </c>
      <c r="H31" s="536">
        <v>-64000</v>
      </c>
      <c r="I31" s="536">
        <v>-64000</v>
      </c>
      <c r="J31" s="290" t="s">
        <v>51</v>
      </c>
      <c r="K31" s="26" t="s">
        <v>48</v>
      </c>
      <c r="L31" s="26">
        <f t="shared" si="1"/>
        <v>3</v>
      </c>
    </row>
    <row r="32" spans="1:13" s="36" customFormat="1" x14ac:dyDescent="0.25">
      <c r="A32" s="76" t="s">
        <v>44</v>
      </c>
      <c r="B32" s="336" t="str">
        <f t="shared" si="0"/>
        <v>I4</v>
      </c>
      <c r="C32" s="535" t="s">
        <v>52</v>
      </c>
      <c r="D32" s="77" t="s">
        <v>44</v>
      </c>
      <c r="E32" s="77" t="s">
        <v>46</v>
      </c>
      <c r="F32" s="536">
        <v>-30000</v>
      </c>
      <c r="G32" s="536">
        <v>-15000</v>
      </c>
      <c r="H32" s="536">
        <v>-15000</v>
      </c>
      <c r="I32" s="536">
        <v>-15000</v>
      </c>
      <c r="J32" s="290" t="s">
        <v>53</v>
      </c>
      <c r="K32" s="26" t="s">
        <v>48</v>
      </c>
      <c r="L32" s="26">
        <f t="shared" si="1"/>
        <v>4</v>
      </c>
    </row>
    <row r="33" spans="1:12" s="36" customFormat="1" x14ac:dyDescent="0.25">
      <c r="A33" s="76" t="s">
        <v>44</v>
      </c>
      <c r="B33" s="336" t="str">
        <f t="shared" si="0"/>
        <v>I5</v>
      </c>
      <c r="C33" s="535" t="s">
        <v>54</v>
      </c>
      <c r="D33" s="77" t="s">
        <v>44</v>
      </c>
      <c r="E33" s="77" t="s">
        <v>46</v>
      </c>
      <c r="F33" s="536">
        <v>-10300</v>
      </c>
      <c r="G33" s="536">
        <v>-10300</v>
      </c>
      <c r="H33" s="536">
        <v>-10300</v>
      </c>
      <c r="I33" s="536">
        <v>-10300</v>
      </c>
      <c r="J33" s="290" t="s">
        <v>55</v>
      </c>
      <c r="K33" s="26" t="s">
        <v>48</v>
      </c>
      <c r="L33" s="26">
        <f t="shared" si="1"/>
        <v>5</v>
      </c>
    </row>
    <row r="34" spans="1:12" s="36" customFormat="1" x14ac:dyDescent="0.25">
      <c r="A34" s="76" t="s">
        <v>44</v>
      </c>
      <c r="B34" s="336" t="str">
        <f t="shared" si="0"/>
        <v>I6</v>
      </c>
      <c r="C34" s="535" t="s">
        <v>56</v>
      </c>
      <c r="D34" s="77" t="s">
        <v>44</v>
      </c>
      <c r="E34" s="77" t="s">
        <v>46</v>
      </c>
      <c r="F34" s="536">
        <v>10300</v>
      </c>
      <c r="G34" s="536">
        <v>10300</v>
      </c>
      <c r="H34" s="536">
        <v>10300</v>
      </c>
      <c r="I34" s="536">
        <v>10300</v>
      </c>
      <c r="J34" s="290" t="s">
        <v>55</v>
      </c>
      <c r="K34" s="26" t="s">
        <v>48</v>
      </c>
      <c r="L34" s="26">
        <f t="shared" si="1"/>
        <v>6</v>
      </c>
    </row>
    <row r="35" spans="1:12" s="36" customFormat="1" x14ac:dyDescent="0.25">
      <c r="A35" s="76" t="s">
        <v>44</v>
      </c>
      <c r="B35" s="336" t="str">
        <f t="shared" si="0"/>
        <v>I7</v>
      </c>
      <c r="C35" s="535" t="s">
        <v>57</v>
      </c>
      <c r="D35" s="77" t="s">
        <v>44</v>
      </c>
      <c r="E35" s="77" t="s">
        <v>46</v>
      </c>
      <c r="F35" s="536">
        <v>-9900</v>
      </c>
      <c r="G35" s="536">
        <v>-10100</v>
      </c>
      <c r="H35" s="536">
        <v>-9700</v>
      </c>
      <c r="I35" s="536">
        <v>-9200</v>
      </c>
      <c r="J35" s="290" t="s">
        <v>58</v>
      </c>
      <c r="K35" s="26" t="s">
        <v>48</v>
      </c>
      <c r="L35" s="26">
        <f t="shared" si="1"/>
        <v>7</v>
      </c>
    </row>
    <row r="36" spans="1:12" s="36" customFormat="1" x14ac:dyDescent="0.25">
      <c r="A36" s="76" t="s">
        <v>44</v>
      </c>
      <c r="B36" s="336" t="str">
        <f t="shared" si="0"/>
        <v>I8</v>
      </c>
      <c r="C36" s="593" t="s">
        <v>59</v>
      </c>
      <c r="D36" s="585" t="s">
        <v>44</v>
      </c>
      <c r="E36" s="585" t="s">
        <v>46</v>
      </c>
      <c r="F36" s="594">
        <v>-41594</v>
      </c>
      <c r="G36" s="594">
        <v>-42947</v>
      </c>
      <c r="H36" s="594">
        <v>-43666</v>
      </c>
      <c r="I36" s="594">
        <v>-45467</v>
      </c>
      <c r="J36" s="290" t="s">
        <v>752</v>
      </c>
      <c r="K36" s="26" t="s">
        <v>48</v>
      </c>
      <c r="L36" s="26">
        <f t="shared" si="1"/>
        <v>8</v>
      </c>
    </row>
    <row r="37" spans="1:12" s="36" customFormat="1" x14ac:dyDescent="0.25">
      <c r="A37" s="76" t="s">
        <v>44</v>
      </c>
      <c r="B37" s="336" t="str">
        <f t="shared" si="0"/>
        <v>I9</v>
      </c>
      <c r="C37" s="537" t="s">
        <v>61</v>
      </c>
      <c r="D37" s="282" t="s">
        <v>44</v>
      </c>
      <c r="E37" s="282" t="s">
        <v>46</v>
      </c>
      <c r="F37" s="538">
        <v>101000</v>
      </c>
      <c r="G37" s="538">
        <v>123000</v>
      </c>
      <c r="H37" s="538">
        <v>132000</v>
      </c>
      <c r="I37" s="538">
        <v>139000</v>
      </c>
      <c r="J37" s="290" t="s">
        <v>58</v>
      </c>
      <c r="K37" s="26" t="s">
        <v>48</v>
      </c>
      <c r="L37" s="26">
        <f t="shared" si="1"/>
        <v>9</v>
      </c>
    </row>
    <row r="38" spans="1:12" s="36" customFormat="1" x14ac:dyDescent="0.25">
      <c r="A38" s="76" t="s">
        <v>44</v>
      </c>
      <c r="B38" s="336" t="str">
        <f t="shared" si="0"/>
        <v>I10</v>
      </c>
      <c r="C38" s="537" t="s">
        <v>62</v>
      </c>
      <c r="D38" s="282" t="s">
        <v>44</v>
      </c>
      <c r="E38" s="282" t="s">
        <v>46</v>
      </c>
      <c r="F38" s="538">
        <v>291000</v>
      </c>
      <c r="G38" s="538">
        <v>308000</v>
      </c>
      <c r="H38" s="538">
        <v>321000</v>
      </c>
      <c r="I38" s="538">
        <v>336000</v>
      </c>
      <c r="J38" s="290" t="s">
        <v>58</v>
      </c>
      <c r="K38" s="26" t="s">
        <v>48</v>
      </c>
      <c r="L38" s="26">
        <f t="shared" si="1"/>
        <v>10</v>
      </c>
    </row>
    <row r="39" spans="1:12" s="36" customFormat="1" x14ac:dyDescent="0.25">
      <c r="A39" s="76" t="s">
        <v>44</v>
      </c>
      <c r="B39" s="336" t="str">
        <f t="shared" si="0"/>
        <v>I11</v>
      </c>
      <c r="C39" s="535" t="s">
        <v>63</v>
      </c>
      <c r="D39" s="77" t="s">
        <v>44</v>
      </c>
      <c r="E39" s="77" t="s">
        <v>46</v>
      </c>
      <c r="F39" s="536">
        <v>-17800</v>
      </c>
      <c r="G39" s="536">
        <v>-23300</v>
      </c>
      <c r="H39" s="536">
        <v>-25600</v>
      </c>
      <c r="I39" s="536">
        <v>-26800</v>
      </c>
      <c r="J39" s="290" t="s">
        <v>58</v>
      </c>
      <c r="K39" s="26" t="s">
        <v>48</v>
      </c>
      <c r="L39" s="26">
        <f t="shared" si="1"/>
        <v>11</v>
      </c>
    </row>
    <row r="40" spans="1:12" s="36" customFormat="1" x14ac:dyDescent="0.25">
      <c r="A40" s="76" t="s">
        <v>44</v>
      </c>
      <c r="B40" s="336" t="str">
        <f t="shared" si="0"/>
        <v>I12</v>
      </c>
      <c r="C40" s="535" t="s">
        <v>64</v>
      </c>
      <c r="D40" s="77" t="s">
        <v>44</v>
      </c>
      <c r="E40" s="77" t="s">
        <v>46</v>
      </c>
      <c r="F40" s="536">
        <v>-36400</v>
      </c>
      <c r="G40" s="536">
        <v>-48800</v>
      </c>
      <c r="H40" s="536">
        <v>-56000</v>
      </c>
      <c r="I40" s="536">
        <v>-61000</v>
      </c>
      <c r="J40" s="290" t="s">
        <v>58</v>
      </c>
      <c r="K40" s="26" t="s">
        <v>48</v>
      </c>
      <c r="L40" s="26">
        <f t="shared" si="1"/>
        <v>12</v>
      </c>
    </row>
    <row r="41" spans="1:12" s="36" customFormat="1" x14ac:dyDescent="0.25">
      <c r="A41" s="76" t="s">
        <v>44</v>
      </c>
      <c r="B41" s="336" t="str">
        <f t="shared" si="0"/>
        <v>I13</v>
      </c>
      <c r="C41" s="535" t="s">
        <v>65</v>
      </c>
      <c r="D41" s="77" t="s">
        <v>44</v>
      </c>
      <c r="E41" s="77" t="s">
        <v>46</v>
      </c>
      <c r="F41" s="536">
        <v>36400</v>
      </c>
      <c r="G41" s="536">
        <v>48800</v>
      </c>
      <c r="H41" s="536">
        <v>56000</v>
      </c>
      <c r="I41" s="536">
        <v>61000</v>
      </c>
      <c r="J41" s="290" t="s">
        <v>58</v>
      </c>
      <c r="K41" s="26" t="s">
        <v>48</v>
      </c>
      <c r="L41" s="26">
        <f t="shared" si="1"/>
        <v>13</v>
      </c>
    </row>
    <row r="42" spans="1:12" s="36" customFormat="1" x14ac:dyDescent="0.25">
      <c r="A42" s="76" t="s">
        <v>44</v>
      </c>
      <c r="B42" s="336" t="str">
        <f t="shared" si="0"/>
        <v>I14</v>
      </c>
      <c r="C42" s="535" t="s">
        <v>66</v>
      </c>
      <c r="D42" s="77" t="s">
        <v>44</v>
      </c>
      <c r="E42" s="77" t="s">
        <v>46</v>
      </c>
      <c r="F42" s="536">
        <v>-10500</v>
      </c>
      <c r="G42" s="536">
        <v>-11500</v>
      </c>
      <c r="H42" s="536">
        <v>-11500</v>
      </c>
      <c r="I42" s="536">
        <v>-11000</v>
      </c>
      <c r="J42" s="290" t="s">
        <v>58</v>
      </c>
      <c r="K42" s="26" t="s">
        <v>48</v>
      </c>
      <c r="L42" s="26">
        <f t="shared" si="1"/>
        <v>14</v>
      </c>
    </row>
    <row r="43" spans="1:12" s="36" customFormat="1" x14ac:dyDescent="0.25">
      <c r="A43" s="76" t="s">
        <v>44</v>
      </c>
      <c r="B43" s="336" t="str">
        <f t="shared" si="0"/>
        <v>I15</v>
      </c>
      <c r="C43" s="535" t="s">
        <v>67</v>
      </c>
      <c r="D43" s="77" t="s">
        <v>44</v>
      </c>
      <c r="E43" s="77" t="s">
        <v>46</v>
      </c>
      <c r="F43" s="536">
        <v>-127000</v>
      </c>
      <c r="G43" s="536">
        <v>-129000</v>
      </c>
      <c r="H43" s="536">
        <v>-131000</v>
      </c>
      <c r="I43" s="536">
        <v>-135000</v>
      </c>
      <c r="J43" s="290" t="s">
        <v>744</v>
      </c>
      <c r="K43" s="26" t="s">
        <v>48</v>
      </c>
      <c r="L43" s="26">
        <f t="shared" si="1"/>
        <v>15</v>
      </c>
    </row>
    <row r="44" spans="1:12" s="36" customFormat="1" x14ac:dyDescent="0.25">
      <c r="A44" s="76" t="s">
        <v>44</v>
      </c>
      <c r="B44" s="336" t="str">
        <f t="shared" si="0"/>
        <v>I16</v>
      </c>
      <c r="C44" s="535" t="s">
        <v>69</v>
      </c>
      <c r="D44" s="77" t="s">
        <v>44</v>
      </c>
      <c r="E44" s="77" t="s">
        <v>46</v>
      </c>
      <c r="F44" s="536">
        <v>-1250</v>
      </c>
      <c r="G44" s="536">
        <v>-1339</v>
      </c>
      <c r="H44" s="536">
        <v>-1607</v>
      </c>
      <c r="I44" s="536">
        <v>-1607</v>
      </c>
      <c r="J44" s="290" t="s">
        <v>744</v>
      </c>
      <c r="K44" s="26" t="s">
        <v>48</v>
      </c>
      <c r="L44" s="26">
        <f t="shared" si="1"/>
        <v>16</v>
      </c>
    </row>
    <row r="45" spans="1:12" s="36" customFormat="1" x14ac:dyDescent="0.25">
      <c r="A45" s="76" t="s">
        <v>44</v>
      </c>
      <c r="B45" s="336" t="str">
        <f t="shared" si="0"/>
        <v>I17</v>
      </c>
      <c r="C45" s="535" t="s">
        <v>71</v>
      </c>
      <c r="D45" s="77" t="s">
        <v>44</v>
      </c>
      <c r="E45" s="77" t="s">
        <v>46</v>
      </c>
      <c r="F45" s="536">
        <v>-2000</v>
      </c>
      <c r="G45" s="536">
        <v>-2000</v>
      </c>
      <c r="H45" s="536">
        <v>-2000</v>
      </c>
      <c r="I45" s="536">
        <v>-2000</v>
      </c>
      <c r="J45" s="290" t="s">
        <v>70</v>
      </c>
      <c r="K45" s="26" t="s">
        <v>48</v>
      </c>
      <c r="L45" s="26">
        <f t="shared" si="1"/>
        <v>17</v>
      </c>
    </row>
    <row r="46" spans="1:12" s="36" customFormat="1" x14ac:dyDescent="0.25">
      <c r="A46" s="76" t="s">
        <v>44</v>
      </c>
      <c r="B46" s="336" t="str">
        <f t="shared" si="0"/>
        <v>I18</v>
      </c>
      <c r="C46" s="535" t="s">
        <v>72</v>
      </c>
      <c r="D46" s="77" t="s">
        <v>44</v>
      </c>
      <c r="E46" s="77" t="s">
        <v>46</v>
      </c>
      <c r="F46" s="536">
        <v>-3600</v>
      </c>
      <c r="G46" s="536">
        <v>-3900</v>
      </c>
      <c r="H46" s="536">
        <v>-3900</v>
      </c>
      <c r="I46" s="536">
        <v>-3800</v>
      </c>
      <c r="J46" s="290" t="s">
        <v>58</v>
      </c>
      <c r="K46" s="26" t="s">
        <v>48</v>
      </c>
      <c r="L46" s="26">
        <f t="shared" si="1"/>
        <v>18</v>
      </c>
    </row>
    <row r="47" spans="1:12" s="36" customFormat="1" x14ac:dyDescent="0.25">
      <c r="A47" s="76" t="s">
        <v>44</v>
      </c>
      <c r="B47" s="336" t="str">
        <f t="shared" si="0"/>
        <v>I19</v>
      </c>
      <c r="C47" s="535" t="s">
        <v>73</v>
      </c>
      <c r="D47" s="77" t="s">
        <v>44</v>
      </c>
      <c r="E47" s="77" t="s">
        <v>46</v>
      </c>
      <c r="F47" s="536">
        <v>-3000</v>
      </c>
      <c r="G47" s="536">
        <v>-4000</v>
      </c>
      <c r="H47" s="536">
        <v>-4000</v>
      </c>
      <c r="I47" s="536">
        <v>-4000</v>
      </c>
      <c r="J47" s="290" t="s">
        <v>744</v>
      </c>
      <c r="K47" s="26" t="s">
        <v>48</v>
      </c>
      <c r="L47" s="26">
        <f t="shared" si="1"/>
        <v>19</v>
      </c>
    </row>
    <row r="48" spans="1:12" s="36" customFormat="1" x14ac:dyDescent="0.25">
      <c r="A48" s="76" t="s">
        <v>44</v>
      </c>
      <c r="B48" s="336" t="str">
        <f t="shared" si="0"/>
        <v>I20</v>
      </c>
      <c r="C48" s="535" t="s">
        <v>75</v>
      </c>
      <c r="D48" s="77" t="s">
        <v>44</v>
      </c>
      <c r="E48" s="77" t="s">
        <v>46</v>
      </c>
      <c r="F48" s="536">
        <v>-500</v>
      </c>
      <c r="G48" s="536">
        <v>-500</v>
      </c>
      <c r="H48" s="536">
        <v>-500</v>
      </c>
      <c r="I48" s="536">
        <v>-500</v>
      </c>
      <c r="J48" s="290" t="s">
        <v>76</v>
      </c>
      <c r="K48" s="26" t="s">
        <v>48</v>
      </c>
      <c r="L48" s="26">
        <f t="shared" si="1"/>
        <v>20</v>
      </c>
    </row>
    <row r="49" spans="1:13" s="36" customFormat="1" x14ac:dyDescent="0.25">
      <c r="A49" s="76" t="s">
        <v>44</v>
      </c>
      <c r="B49" s="336" t="str">
        <f t="shared" si="0"/>
        <v>I21</v>
      </c>
      <c r="C49" s="537" t="s">
        <v>77</v>
      </c>
      <c r="D49" s="282" t="s">
        <v>44</v>
      </c>
      <c r="E49" s="282" t="s">
        <v>46</v>
      </c>
      <c r="F49" s="538">
        <f>80561-22072</f>
        <v>58489</v>
      </c>
      <c r="G49" s="538">
        <f>87919-16072-1000</f>
        <v>70847</v>
      </c>
      <c r="H49" s="538">
        <f>123095-16093-2000</f>
        <v>105002</v>
      </c>
      <c r="I49" s="538">
        <f>129085-19140-3000</f>
        <v>106945</v>
      </c>
      <c r="J49" s="250" t="s">
        <v>763</v>
      </c>
      <c r="K49" s="26" t="s">
        <v>48</v>
      </c>
      <c r="L49" s="26">
        <f t="shared" si="1"/>
        <v>21</v>
      </c>
    </row>
    <row r="50" spans="1:13" s="36" customFormat="1" x14ac:dyDescent="0.25">
      <c r="A50" s="76" t="s">
        <v>44</v>
      </c>
      <c r="B50" s="336" t="str">
        <f t="shared" si="0"/>
        <v>I22</v>
      </c>
      <c r="C50" s="535" t="s">
        <v>78</v>
      </c>
      <c r="D50" s="77" t="s">
        <v>44</v>
      </c>
      <c r="E50" s="77" t="s">
        <v>46</v>
      </c>
      <c r="F50" s="536">
        <v>-27256</v>
      </c>
      <c r="G50" s="536"/>
      <c r="H50" s="536"/>
      <c r="I50" s="536"/>
      <c r="J50" s="250" t="s">
        <v>79</v>
      </c>
      <c r="K50" s="26" t="s">
        <v>48</v>
      </c>
      <c r="L50" s="26">
        <f t="shared" si="1"/>
        <v>22</v>
      </c>
    </row>
    <row r="51" spans="1:13" s="36" customFormat="1" x14ac:dyDescent="0.25">
      <c r="A51" s="43" t="s">
        <v>44</v>
      </c>
      <c r="B51" s="336" t="str">
        <f t="shared" si="0"/>
        <v>I23</v>
      </c>
      <c r="C51" s="535" t="s">
        <v>80</v>
      </c>
      <c r="D51" s="77" t="s">
        <v>44</v>
      </c>
      <c r="E51" s="77" t="s">
        <v>46</v>
      </c>
      <c r="F51" s="536">
        <v>270000</v>
      </c>
      <c r="G51" s="536">
        <v>283000</v>
      </c>
      <c r="H51" s="536">
        <v>296000</v>
      </c>
      <c r="I51" s="536">
        <v>309000</v>
      </c>
      <c r="J51" s="290" t="s">
        <v>81</v>
      </c>
      <c r="K51" s="26" t="s">
        <v>48</v>
      </c>
      <c r="L51" s="26">
        <f t="shared" si="1"/>
        <v>23</v>
      </c>
    </row>
    <row r="52" spans="1:13" s="36" customFormat="1" x14ac:dyDescent="0.25">
      <c r="A52" s="43" t="s">
        <v>44</v>
      </c>
      <c r="B52" s="336" t="str">
        <f t="shared" si="0"/>
        <v>I24</v>
      </c>
      <c r="C52" s="535" t="s">
        <v>82</v>
      </c>
      <c r="D52" s="77" t="s">
        <v>44</v>
      </c>
      <c r="E52" s="77" t="s">
        <v>46</v>
      </c>
      <c r="F52" s="536">
        <v>-270000</v>
      </c>
      <c r="G52" s="536">
        <v>-283000</v>
      </c>
      <c r="H52" s="536">
        <v>-296000</v>
      </c>
      <c r="I52" s="536">
        <v>-309000</v>
      </c>
      <c r="J52" s="290" t="s">
        <v>81</v>
      </c>
      <c r="K52" s="26" t="s">
        <v>48</v>
      </c>
      <c r="L52" s="26">
        <f t="shared" si="1"/>
        <v>24</v>
      </c>
    </row>
    <row r="53" spans="1:13" s="36" customFormat="1" x14ac:dyDescent="0.25">
      <c r="A53" s="43" t="s">
        <v>44</v>
      </c>
      <c r="B53" s="336" t="str">
        <f t="shared" si="0"/>
        <v>I25</v>
      </c>
      <c r="C53" s="535" t="s">
        <v>83</v>
      </c>
      <c r="D53" s="77" t="s">
        <v>44</v>
      </c>
      <c r="E53" s="77" t="s">
        <v>46</v>
      </c>
      <c r="F53" s="536">
        <v>-19941</v>
      </c>
      <c r="G53" s="536">
        <v>-21381</v>
      </c>
      <c r="H53" s="536">
        <v>-21189</v>
      </c>
      <c r="I53" s="536">
        <v>-21619</v>
      </c>
      <c r="J53" s="290" t="s">
        <v>84</v>
      </c>
      <c r="K53" s="26" t="s">
        <v>48</v>
      </c>
      <c r="L53" s="26">
        <f t="shared" si="1"/>
        <v>25</v>
      </c>
    </row>
    <row r="54" spans="1:13" s="36" customFormat="1" x14ac:dyDescent="0.25">
      <c r="A54" s="43" t="s">
        <v>44</v>
      </c>
      <c r="B54" s="336" t="str">
        <f t="shared" si="0"/>
        <v>I26</v>
      </c>
      <c r="C54" s="535" t="s">
        <v>85</v>
      </c>
      <c r="D54" s="77" t="s">
        <v>44</v>
      </c>
      <c r="E54" s="77" t="s">
        <v>46</v>
      </c>
      <c r="F54" s="536">
        <v>-41629</v>
      </c>
      <c r="G54" s="536">
        <v>-46431</v>
      </c>
      <c r="H54" s="536">
        <v>-50107</v>
      </c>
      <c r="I54" s="536">
        <v>-50938</v>
      </c>
      <c r="J54" s="290" t="s">
        <v>84</v>
      </c>
      <c r="K54" s="26" t="s">
        <v>48</v>
      </c>
      <c r="L54" s="26">
        <f t="shared" si="1"/>
        <v>26</v>
      </c>
    </row>
    <row r="55" spans="1:13" s="36" customFormat="1" x14ac:dyDescent="0.25">
      <c r="A55" s="43" t="s">
        <v>44</v>
      </c>
      <c r="B55" s="336" t="str">
        <f t="shared" si="0"/>
        <v>I27</v>
      </c>
      <c r="C55" s="535" t="s">
        <v>86</v>
      </c>
      <c r="D55" s="77" t="s">
        <v>44</v>
      </c>
      <c r="E55" s="77" t="s">
        <v>46</v>
      </c>
      <c r="F55" s="536">
        <v>141</v>
      </c>
      <c r="G55" s="536">
        <v>88</v>
      </c>
      <c r="H55" s="536">
        <v>-153</v>
      </c>
      <c r="I55" s="536">
        <v>-1059</v>
      </c>
      <c r="J55" s="290" t="s">
        <v>84</v>
      </c>
      <c r="K55" s="26" t="s">
        <v>48</v>
      </c>
      <c r="L55" s="26">
        <f t="shared" si="1"/>
        <v>27</v>
      </c>
    </row>
    <row r="56" spans="1:13" s="36" customFormat="1" x14ac:dyDescent="0.25">
      <c r="A56" s="76" t="s">
        <v>44</v>
      </c>
      <c r="B56" s="336" t="str">
        <f t="shared" si="0"/>
        <v>I28</v>
      </c>
      <c r="C56" s="535"/>
      <c r="D56" s="77" t="s">
        <v>44</v>
      </c>
      <c r="E56" s="77" t="s">
        <v>46</v>
      </c>
      <c r="F56" s="536"/>
      <c r="G56" s="536"/>
      <c r="H56" s="536"/>
      <c r="I56" s="536"/>
      <c r="J56" s="290"/>
      <c r="K56" s="26" t="s">
        <v>48</v>
      </c>
      <c r="L56" s="26">
        <f t="shared" si="1"/>
        <v>28</v>
      </c>
    </row>
    <row r="57" spans="1:13" s="36" customFormat="1" x14ac:dyDescent="0.25">
      <c r="A57" s="76" t="s">
        <v>44</v>
      </c>
      <c r="B57" s="336" t="str">
        <f t="shared" si="0"/>
        <v>I29</v>
      </c>
      <c r="C57" s="535"/>
      <c r="D57" s="77" t="s">
        <v>44</v>
      </c>
      <c r="E57" s="77" t="s">
        <v>46</v>
      </c>
      <c r="F57" s="536"/>
      <c r="G57" s="536"/>
      <c r="H57" s="536"/>
      <c r="I57" s="536"/>
      <c r="J57" s="290"/>
      <c r="K57" s="26" t="s">
        <v>48</v>
      </c>
      <c r="L57" s="26">
        <f t="shared" si="1"/>
        <v>29</v>
      </c>
    </row>
    <row r="58" spans="1:13" s="36" customFormat="1" x14ac:dyDescent="0.25">
      <c r="A58" s="76" t="s">
        <v>44</v>
      </c>
      <c r="B58" s="336" t="str">
        <f t="shared" si="0"/>
        <v>I30</v>
      </c>
      <c r="C58" s="535"/>
      <c r="D58" s="77" t="s">
        <v>44</v>
      </c>
      <c r="E58" s="77" t="s">
        <v>46</v>
      </c>
      <c r="F58" s="536"/>
      <c r="G58" s="536"/>
      <c r="H58" s="536"/>
      <c r="I58" s="536"/>
      <c r="J58" s="290"/>
      <c r="K58" s="26" t="s">
        <v>48</v>
      </c>
      <c r="L58" s="26">
        <f t="shared" si="1"/>
        <v>30</v>
      </c>
      <c r="M58" s="93"/>
    </row>
    <row r="59" spans="1:13" s="36" customFormat="1" x14ac:dyDescent="0.25">
      <c r="A59" s="76" t="s">
        <v>44</v>
      </c>
      <c r="B59" s="336" t="str">
        <f t="shared" si="0"/>
        <v>I31</v>
      </c>
      <c r="C59" s="535"/>
      <c r="D59" s="77" t="s">
        <v>44</v>
      </c>
      <c r="E59" s="77" t="s">
        <v>46</v>
      </c>
      <c r="F59" s="536"/>
      <c r="G59" s="536"/>
      <c r="H59" s="536"/>
      <c r="I59" s="536"/>
      <c r="J59" s="290"/>
      <c r="K59" s="26" t="s">
        <v>48</v>
      </c>
      <c r="L59" s="26">
        <f t="shared" si="1"/>
        <v>31</v>
      </c>
    </row>
    <row r="60" spans="1:13" s="36" customFormat="1" x14ac:dyDescent="0.25">
      <c r="A60" s="76" t="s">
        <v>44</v>
      </c>
      <c r="B60" s="336" t="str">
        <f t="shared" si="0"/>
        <v>I32</v>
      </c>
      <c r="C60" s="535"/>
      <c r="D60" s="77" t="s">
        <v>44</v>
      </c>
      <c r="E60" s="77" t="s">
        <v>46</v>
      </c>
      <c r="F60" s="536"/>
      <c r="G60" s="536"/>
      <c r="H60" s="536"/>
      <c r="I60" s="536"/>
      <c r="J60" s="290"/>
      <c r="K60" s="26" t="s">
        <v>48</v>
      </c>
      <c r="L60" s="26">
        <f t="shared" si="1"/>
        <v>32</v>
      </c>
    </row>
    <row r="61" spans="1:13" s="36" customFormat="1" x14ac:dyDescent="0.25">
      <c r="A61" s="242"/>
      <c r="B61" s="242"/>
      <c r="C61" s="539"/>
      <c r="D61" s="212"/>
      <c r="E61" s="109"/>
      <c r="F61" s="540"/>
      <c r="G61" s="540"/>
      <c r="H61" s="540"/>
      <c r="I61" s="540"/>
      <c r="J61" s="37"/>
      <c r="K61" s="26" t="s">
        <v>48</v>
      </c>
      <c r="L61" s="26">
        <f t="shared" si="1"/>
        <v>33</v>
      </c>
    </row>
    <row r="62" spans="1:13" s="36" customFormat="1" x14ac:dyDescent="0.25">
      <c r="A62" s="41"/>
      <c r="B62" s="41"/>
      <c r="C62" s="3" t="s">
        <v>87</v>
      </c>
      <c r="D62" s="61"/>
      <c r="E62" s="61"/>
      <c r="F62" s="7">
        <f>SUMIF($A:$A,"SENT.INNT",F:F)</f>
        <v>-4809340</v>
      </c>
      <c r="G62" s="7">
        <f>SUMIF($A:$A,"SENT.INNT",G:G)</f>
        <v>-4807463</v>
      </c>
      <c r="H62" s="7">
        <f>SUMIF($A:$A,"SENT.INNT",H:H)</f>
        <v>-4816920</v>
      </c>
      <c r="I62" s="7">
        <f>SUMIF($A:$A,"SENT.INNT",I:I)</f>
        <v>-4852045</v>
      </c>
      <c r="J62" s="37"/>
      <c r="K62" s="26"/>
      <c r="L62" s="26"/>
    </row>
    <row r="63" spans="1:13" s="36" customFormat="1" x14ac:dyDescent="0.25">
      <c r="A63" s="44"/>
      <c r="B63" s="44"/>
      <c r="C63" s="3" t="s">
        <v>88</v>
      </c>
      <c r="D63" s="50"/>
      <c r="E63" s="50"/>
      <c r="F63" s="7">
        <f>F4</f>
        <v>4546363</v>
      </c>
      <c r="G63" s="7">
        <f>G4</f>
        <v>4546363</v>
      </c>
      <c r="H63" s="7">
        <f>H4</f>
        <v>4546363</v>
      </c>
      <c r="I63" s="7">
        <f>I4</f>
        <v>4546363</v>
      </c>
      <c r="J63" s="37"/>
      <c r="K63" s="26"/>
      <c r="L63" s="26"/>
    </row>
    <row r="64" spans="1:13" s="36" customFormat="1" x14ac:dyDescent="0.25">
      <c r="A64" s="41"/>
      <c r="B64" s="41"/>
      <c r="C64" s="3" t="s">
        <v>89</v>
      </c>
      <c r="D64" s="50"/>
      <c r="E64" s="50"/>
      <c r="F64" s="7">
        <f>F62+F63</f>
        <v>-262977</v>
      </c>
      <c r="G64" s="7">
        <f>G62+G63</f>
        <v>-261100</v>
      </c>
      <c r="H64" s="7">
        <f>H62+H63</f>
        <v>-270557</v>
      </c>
      <c r="I64" s="7">
        <f>I62+I63</f>
        <v>-305682</v>
      </c>
      <c r="J64" s="37"/>
      <c r="K64" s="26"/>
      <c r="L64" s="26"/>
    </row>
    <row r="65" spans="1:12" s="36" customFormat="1" x14ac:dyDescent="0.25">
      <c r="A65" s="45"/>
      <c r="B65" s="45"/>
      <c r="C65" s="9"/>
      <c r="D65" s="47"/>
      <c r="E65" s="47"/>
      <c r="F65" s="10"/>
      <c r="G65" s="10"/>
      <c r="H65" s="10"/>
      <c r="I65" s="10"/>
      <c r="J65" s="37"/>
      <c r="K65" s="26"/>
      <c r="L65" s="26"/>
    </row>
    <row r="66" spans="1:12" s="1" customFormat="1" x14ac:dyDescent="0.25">
      <c r="A66" s="46"/>
      <c r="B66" s="46"/>
      <c r="C66" s="11" t="s">
        <v>90</v>
      </c>
      <c r="D66" s="48"/>
      <c r="E66" s="48"/>
      <c r="F66" s="12"/>
      <c r="G66" s="12"/>
      <c r="H66" s="12"/>
      <c r="I66" s="12"/>
      <c r="J66" s="37"/>
      <c r="K66" s="36"/>
      <c r="L66" s="36"/>
    </row>
    <row r="67" spans="1:12" s="36" customFormat="1" x14ac:dyDescent="0.25">
      <c r="A67" s="70"/>
      <c r="B67" s="339"/>
      <c r="C67" s="244" t="s">
        <v>91</v>
      </c>
      <c r="D67" s="81"/>
      <c r="E67" s="81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7"/>
      <c r="K67" s="335"/>
      <c r="L67" s="335"/>
    </row>
    <row r="68" spans="1:12" s="36" customFormat="1" x14ac:dyDescent="0.25">
      <c r="A68" s="76" t="s">
        <v>95</v>
      </c>
      <c r="B68" s="76" t="str">
        <f t="shared" ref="B68:B82" si="2">IF(L68,K68&amp;L68,"")</f>
        <v>OV1</v>
      </c>
      <c r="C68" s="539" t="s">
        <v>96</v>
      </c>
      <c r="D68" s="70" t="s">
        <v>97</v>
      </c>
      <c r="E68" s="77" t="s">
        <v>98</v>
      </c>
      <c r="F68" s="536">
        <v>5635</v>
      </c>
      <c r="G68" s="536">
        <v>9873</v>
      </c>
      <c r="H68" s="536">
        <v>12885</v>
      </c>
      <c r="I68" s="536">
        <v>13033</v>
      </c>
      <c r="J68" s="485" t="s">
        <v>99</v>
      </c>
      <c r="K68" s="26" t="s">
        <v>100</v>
      </c>
      <c r="L68" s="36">
        <v>1</v>
      </c>
    </row>
    <row r="69" spans="1:12" s="36" customFormat="1" x14ac:dyDescent="0.25">
      <c r="A69" s="76" t="s">
        <v>95</v>
      </c>
      <c r="B69" s="76" t="str">
        <f t="shared" si="2"/>
        <v>OV2</v>
      </c>
      <c r="C69" s="539" t="s">
        <v>101</v>
      </c>
      <c r="D69" s="70" t="s">
        <v>97</v>
      </c>
      <c r="E69" s="77" t="s">
        <v>98</v>
      </c>
      <c r="F69" s="536">
        <v>-1894</v>
      </c>
      <c r="G69" s="536">
        <v>-1894</v>
      </c>
      <c r="H69" s="536">
        <v>-1894</v>
      </c>
      <c r="I69" s="536">
        <v>-1894</v>
      </c>
      <c r="J69" s="485" t="s">
        <v>99</v>
      </c>
      <c r="K69" s="26" t="s">
        <v>100</v>
      </c>
      <c r="L69" s="36">
        <f t="shared" ref="L69:L82" si="3">L68+1</f>
        <v>2</v>
      </c>
    </row>
    <row r="70" spans="1:12" s="36" customFormat="1" x14ac:dyDescent="0.25">
      <c r="A70" s="76" t="s">
        <v>95</v>
      </c>
      <c r="B70" s="76" t="str">
        <f t="shared" si="2"/>
        <v>OV3</v>
      </c>
      <c r="C70" s="539" t="s">
        <v>102</v>
      </c>
      <c r="D70" s="70" t="s">
        <v>97</v>
      </c>
      <c r="E70" s="77" t="s">
        <v>98</v>
      </c>
      <c r="F70" s="536">
        <v>1126</v>
      </c>
      <c r="G70" s="536">
        <v>1974</v>
      </c>
      <c r="H70" s="536">
        <v>2576</v>
      </c>
      <c r="I70" s="536">
        <v>2605</v>
      </c>
      <c r="J70" s="485" t="s">
        <v>99</v>
      </c>
      <c r="K70" s="26" t="s">
        <v>100</v>
      </c>
      <c r="L70" s="36">
        <f t="shared" si="3"/>
        <v>3</v>
      </c>
    </row>
    <row r="71" spans="1:12" s="36" customFormat="1" x14ac:dyDescent="0.25">
      <c r="A71" s="76" t="s">
        <v>95</v>
      </c>
      <c r="B71" s="76" t="str">
        <f t="shared" si="2"/>
        <v>OV4</v>
      </c>
      <c r="C71" s="539" t="s">
        <v>103</v>
      </c>
      <c r="D71" s="70" t="s">
        <v>97</v>
      </c>
      <c r="E71" s="77" t="s">
        <v>98</v>
      </c>
      <c r="F71" s="536">
        <v>-379</v>
      </c>
      <c r="G71" s="536">
        <v>-379</v>
      </c>
      <c r="H71" s="536">
        <v>-379</v>
      </c>
      <c r="I71" s="536">
        <v>-379</v>
      </c>
      <c r="J71" s="485" t="s">
        <v>99</v>
      </c>
      <c r="K71" s="26" t="s">
        <v>100</v>
      </c>
      <c r="L71" s="36">
        <f t="shared" si="3"/>
        <v>4</v>
      </c>
    </row>
    <row r="72" spans="1:12" s="36" customFormat="1" x14ac:dyDescent="0.25">
      <c r="A72" s="76" t="s">
        <v>95</v>
      </c>
      <c r="B72" s="76" t="str">
        <f t="shared" si="2"/>
        <v>OV5</v>
      </c>
      <c r="C72" s="539" t="s">
        <v>104</v>
      </c>
      <c r="D72" s="70" t="s">
        <v>105</v>
      </c>
      <c r="E72" s="77" t="s">
        <v>98</v>
      </c>
      <c r="F72" s="536"/>
      <c r="G72" s="536"/>
      <c r="H72" s="536">
        <v>-852</v>
      </c>
      <c r="I72" s="536">
        <v>-852</v>
      </c>
      <c r="J72" s="408"/>
      <c r="K72" s="26" t="s">
        <v>100</v>
      </c>
      <c r="L72" s="36">
        <f t="shared" si="3"/>
        <v>5</v>
      </c>
    </row>
    <row r="73" spans="1:12" s="36" customFormat="1" x14ac:dyDescent="0.25">
      <c r="A73" s="76" t="s">
        <v>95</v>
      </c>
      <c r="B73" s="76" t="str">
        <f t="shared" si="2"/>
        <v>OV6</v>
      </c>
      <c r="C73" s="539" t="s">
        <v>106</v>
      </c>
      <c r="D73" s="70" t="s">
        <v>105</v>
      </c>
      <c r="E73" s="77" t="s">
        <v>98</v>
      </c>
      <c r="F73" s="536"/>
      <c r="G73" s="536">
        <v>-2300</v>
      </c>
      <c r="H73" s="536">
        <v>-2300</v>
      </c>
      <c r="I73" s="536">
        <v>-2300</v>
      </c>
      <c r="K73" s="26" t="s">
        <v>100</v>
      </c>
      <c r="L73" s="36">
        <f t="shared" si="3"/>
        <v>6</v>
      </c>
    </row>
    <row r="74" spans="1:12" s="36" customFormat="1" ht="25.5" x14ac:dyDescent="0.25">
      <c r="A74" s="484" t="s">
        <v>95</v>
      </c>
      <c r="B74" s="76" t="str">
        <f t="shared" si="2"/>
        <v>OV7</v>
      </c>
      <c r="C74" s="539" t="s">
        <v>107</v>
      </c>
      <c r="D74" s="70" t="s">
        <v>108</v>
      </c>
      <c r="E74" s="77" t="s">
        <v>46</v>
      </c>
      <c r="F74" s="540">
        <v>2100</v>
      </c>
      <c r="G74" s="540">
        <v>2100</v>
      </c>
      <c r="H74" s="540">
        <v>2100</v>
      </c>
      <c r="I74" s="540">
        <v>2100</v>
      </c>
      <c r="K74" s="26" t="s">
        <v>100</v>
      </c>
      <c r="L74" s="36">
        <f t="shared" si="3"/>
        <v>7</v>
      </c>
    </row>
    <row r="75" spans="1:12" s="36" customFormat="1" x14ac:dyDescent="0.25">
      <c r="A75" s="484" t="s">
        <v>95</v>
      </c>
      <c r="B75" s="76" t="str">
        <f t="shared" si="2"/>
        <v>OV8</v>
      </c>
      <c r="C75" s="583" t="s">
        <v>745</v>
      </c>
      <c r="D75" s="584" t="s">
        <v>108</v>
      </c>
      <c r="E75" s="585" t="s">
        <v>46</v>
      </c>
      <c r="F75" s="586">
        <f>1942-42</f>
        <v>1900</v>
      </c>
      <c r="G75" s="586">
        <f>4660-60</f>
        <v>4600</v>
      </c>
      <c r="H75" s="586">
        <f>4660-60</f>
        <v>4600</v>
      </c>
      <c r="I75" s="586">
        <f>4660-60</f>
        <v>4600</v>
      </c>
      <c r="K75" s="26" t="s">
        <v>100</v>
      </c>
      <c r="L75" s="36">
        <f t="shared" si="3"/>
        <v>8</v>
      </c>
    </row>
    <row r="76" spans="1:12" s="36" customFormat="1" x14ac:dyDescent="0.25">
      <c r="A76" s="76" t="s">
        <v>95</v>
      </c>
      <c r="B76" s="76" t="str">
        <f t="shared" si="2"/>
        <v>OV9</v>
      </c>
      <c r="C76" s="539" t="s">
        <v>109</v>
      </c>
      <c r="D76" s="70" t="s">
        <v>97</v>
      </c>
      <c r="E76" s="77" t="s">
        <v>98</v>
      </c>
      <c r="F76" s="536">
        <v>121</v>
      </c>
      <c r="G76" s="536">
        <v>212</v>
      </c>
      <c r="H76" s="536">
        <v>276</v>
      </c>
      <c r="I76" s="536">
        <v>279</v>
      </c>
      <c r="J76" s="485" t="s">
        <v>99</v>
      </c>
      <c r="K76" s="26" t="s">
        <v>100</v>
      </c>
      <c r="L76" s="36">
        <f t="shared" si="3"/>
        <v>9</v>
      </c>
    </row>
    <row r="77" spans="1:12" s="36" customFormat="1" x14ac:dyDescent="0.25">
      <c r="A77" s="76" t="s">
        <v>95</v>
      </c>
      <c r="B77" s="76" t="str">
        <f t="shared" si="2"/>
        <v>OV10</v>
      </c>
      <c r="C77" s="539" t="s">
        <v>110</v>
      </c>
      <c r="D77" s="70" t="s">
        <v>97</v>
      </c>
      <c r="E77" s="77" t="s">
        <v>98</v>
      </c>
      <c r="F77" s="540">
        <v>-41</v>
      </c>
      <c r="G77" s="540">
        <v>-41</v>
      </c>
      <c r="H77" s="540">
        <v>-41</v>
      </c>
      <c r="I77" s="540">
        <v>-41</v>
      </c>
      <c r="J77" s="485" t="s">
        <v>99</v>
      </c>
      <c r="K77" s="26" t="s">
        <v>100</v>
      </c>
      <c r="L77" s="36">
        <f t="shared" si="3"/>
        <v>10</v>
      </c>
    </row>
    <row r="78" spans="1:12" s="36" customFormat="1" x14ac:dyDescent="0.25">
      <c r="A78" s="76" t="s">
        <v>95</v>
      </c>
      <c r="B78" s="76" t="str">
        <f t="shared" si="2"/>
        <v>OV11</v>
      </c>
      <c r="C78" s="539" t="s">
        <v>111</v>
      </c>
      <c r="D78" s="70" t="s">
        <v>97</v>
      </c>
      <c r="E78" s="77"/>
      <c r="F78" s="540">
        <v>2316</v>
      </c>
      <c r="G78" s="540">
        <v>2316</v>
      </c>
      <c r="H78" s="540">
        <v>2316</v>
      </c>
      <c r="I78" s="540">
        <v>2316</v>
      </c>
      <c r="J78" s="485" t="s">
        <v>112</v>
      </c>
      <c r="K78" s="26" t="s">
        <v>100</v>
      </c>
      <c r="L78" s="36">
        <f t="shared" si="3"/>
        <v>11</v>
      </c>
    </row>
    <row r="79" spans="1:12" s="36" customFormat="1" x14ac:dyDescent="0.25">
      <c r="A79" s="76" t="s">
        <v>95</v>
      </c>
      <c r="B79" s="76" t="str">
        <f t="shared" si="2"/>
        <v>OV12</v>
      </c>
      <c r="C79" s="539" t="s">
        <v>113</v>
      </c>
      <c r="D79" s="70" t="s">
        <v>97</v>
      </c>
      <c r="E79" s="77"/>
      <c r="F79" s="540">
        <v>-2316</v>
      </c>
      <c r="G79" s="540">
        <v>-2316</v>
      </c>
      <c r="H79" s="540">
        <v>-2316</v>
      </c>
      <c r="I79" s="540">
        <v>-2316</v>
      </c>
      <c r="J79" s="485" t="s">
        <v>112</v>
      </c>
      <c r="K79" s="26" t="s">
        <v>100</v>
      </c>
      <c r="L79" s="36">
        <f t="shared" si="3"/>
        <v>12</v>
      </c>
    </row>
    <row r="80" spans="1:12" s="36" customFormat="1" ht="14.25" customHeight="1" x14ac:dyDescent="0.25">
      <c r="A80" s="76" t="s">
        <v>95</v>
      </c>
      <c r="B80" s="76" t="str">
        <f t="shared" si="2"/>
        <v>OV13</v>
      </c>
      <c r="C80" s="539" t="s">
        <v>114</v>
      </c>
      <c r="D80" s="70" t="s">
        <v>97</v>
      </c>
      <c r="E80" s="77" t="s">
        <v>98</v>
      </c>
      <c r="F80" s="541">
        <v>18700</v>
      </c>
      <c r="G80" s="541">
        <v>18700</v>
      </c>
      <c r="H80" s="541">
        <v>18700</v>
      </c>
      <c r="I80" s="541">
        <v>18700</v>
      </c>
      <c r="J80" s="485" t="s">
        <v>115</v>
      </c>
      <c r="K80" s="26" t="s">
        <v>100</v>
      </c>
      <c r="L80" s="36">
        <f t="shared" si="3"/>
        <v>13</v>
      </c>
    </row>
    <row r="81" spans="1:12" s="36" customFormat="1" x14ac:dyDescent="0.25">
      <c r="A81" s="76" t="s">
        <v>95</v>
      </c>
      <c r="B81" s="76" t="str">
        <f t="shared" si="2"/>
        <v>OV14</v>
      </c>
      <c r="C81" s="542" t="s">
        <v>116</v>
      </c>
      <c r="D81" s="70" t="s">
        <v>97</v>
      </c>
      <c r="E81" s="77" t="s">
        <v>98</v>
      </c>
      <c r="F81" s="543">
        <v>900</v>
      </c>
      <c r="G81" s="541">
        <v>4700</v>
      </c>
      <c r="H81" s="541">
        <v>11100</v>
      </c>
      <c r="I81" s="541">
        <v>11100</v>
      </c>
      <c r="J81" s="485" t="s">
        <v>115</v>
      </c>
      <c r="K81" s="26" t="s">
        <v>100</v>
      </c>
      <c r="L81" s="36">
        <f t="shared" si="3"/>
        <v>14</v>
      </c>
    </row>
    <row r="82" spans="1:12" x14ac:dyDescent="0.25">
      <c r="A82" s="76" t="s">
        <v>95</v>
      </c>
      <c r="B82" s="76" t="str">
        <f t="shared" si="2"/>
        <v>OV15</v>
      </c>
      <c r="C82" s="539" t="s">
        <v>117</v>
      </c>
      <c r="D82" s="70" t="s">
        <v>97</v>
      </c>
      <c r="E82" s="77" t="s">
        <v>98</v>
      </c>
      <c r="F82" s="541">
        <v>2000</v>
      </c>
      <c r="G82" s="541">
        <v>2000</v>
      </c>
      <c r="H82" s="541">
        <v>2000</v>
      </c>
      <c r="I82" s="541">
        <v>2000</v>
      </c>
      <c r="J82" s="485" t="s">
        <v>118</v>
      </c>
      <c r="K82" s="26" t="s">
        <v>100</v>
      </c>
      <c r="L82" s="36">
        <f t="shared" si="3"/>
        <v>15</v>
      </c>
    </row>
    <row r="83" spans="1:12" s="36" customFormat="1" x14ac:dyDescent="0.25">
      <c r="A83" s="46"/>
      <c r="B83" s="46"/>
      <c r="J83" s="207"/>
    </row>
    <row r="84" spans="1:12" s="1" customFormat="1" x14ac:dyDescent="0.25">
      <c r="A84" s="42"/>
      <c r="B84" s="42"/>
      <c r="C84" s="14" t="s">
        <v>119</v>
      </c>
      <c r="D84" s="48"/>
      <c r="E84" s="48"/>
      <c r="F84" s="4">
        <f>F67</f>
        <v>2022</v>
      </c>
      <c r="G84" s="4">
        <f>F84+1</f>
        <v>2023</v>
      </c>
      <c r="H84" s="4">
        <f>G84+1</f>
        <v>2024</v>
      </c>
      <c r="I84" s="4">
        <f>H84+1</f>
        <v>2025</v>
      </c>
      <c r="J84" s="207"/>
      <c r="K84" s="335"/>
      <c r="L84" s="335"/>
    </row>
    <row r="85" spans="1:12" s="36" customFormat="1" x14ac:dyDescent="0.25">
      <c r="A85" s="76" t="s">
        <v>95</v>
      </c>
      <c r="B85" s="76" t="str">
        <f t="shared" ref="B85:B90" si="4">IF(L85,K85&amp;L85,"")</f>
        <v>OV16</v>
      </c>
      <c r="C85" s="539" t="s">
        <v>120</v>
      </c>
      <c r="D85" s="70" t="s">
        <v>105</v>
      </c>
      <c r="E85" s="77" t="s">
        <v>98</v>
      </c>
      <c r="F85" s="544"/>
      <c r="G85" s="544"/>
      <c r="H85" s="544">
        <f>I85/12*5</f>
        <v>6666.6666666666661</v>
      </c>
      <c r="I85" s="544">
        <v>16000</v>
      </c>
      <c r="J85" s="207" t="s">
        <v>121</v>
      </c>
      <c r="K85" s="26" t="s">
        <v>100</v>
      </c>
      <c r="L85" s="26">
        <f>L82+1</f>
        <v>16</v>
      </c>
    </row>
    <row r="86" spans="1:12" s="36" customFormat="1" x14ac:dyDescent="0.25">
      <c r="A86" s="76" t="s">
        <v>95</v>
      </c>
      <c r="B86" s="76" t="str">
        <f t="shared" si="4"/>
        <v>OV17</v>
      </c>
      <c r="C86" s="539" t="s">
        <v>122</v>
      </c>
      <c r="D86" s="70" t="s">
        <v>105</v>
      </c>
      <c r="E86" s="77" t="s">
        <v>98</v>
      </c>
      <c r="F86" s="544"/>
      <c r="G86" s="544"/>
      <c r="H86" s="544">
        <f>I86/12*5</f>
        <v>-1332.0833333333335</v>
      </c>
      <c r="I86" s="544">
        <v>-3197</v>
      </c>
      <c r="J86" s="207" t="s">
        <v>747</v>
      </c>
      <c r="K86" s="26" t="s">
        <v>100</v>
      </c>
      <c r="L86" s="26">
        <f>L85+1</f>
        <v>17</v>
      </c>
    </row>
    <row r="87" spans="1:12" s="36" customFormat="1" x14ac:dyDescent="0.25">
      <c r="A87" s="76" t="s">
        <v>95</v>
      </c>
      <c r="B87" s="76" t="str">
        <f t="shared" si="4"/>
        <v>OV18</v>
      </c>
      <c r="C87" s="539" t="s">
        <v>124</v>
      </c>
      <c r="D87" s="70" t="s">
        <v>105</v>
      </c>
      <c r="E87" s="77" t="s">
        <v>98</v>
      </c>
      <c r="F87" s="544">
        <v>-5390</v>
      </c>
      <c r="G87" s="544">
        <v>-5390</v>
      </c>
      <c r="H87" s="544">
        <v>-5390</v>
      </c>
      <c r="I87" s="544">
        <v>-5390</v>
      </c>
      <c r="J87" s="340"/>
      <c r="K87" s="26" t="s">
        <v>100</v>
      </c>
      <c r="L87" s="26">
        <f>L86+1</f>
        <v>18</v>
      </c>
    </row>
    <row r="88" spans="1:12" s="36" customFormat="1" x14ac:dyDescent="0.25">
      <c r="A88" s="76" t="s">
        <v>95</v>
      </c>
      <c r="B88" s="76" t="str">
        <f t="shared" si="4"/>
        <v>OV19</v>
      </c>
      <c r="C88" s="606" t="s">
        <v>125</v>
      </c>
      <c r="D88" s="613" t="s">
        <v>97</v>
      </c>
      <c r="E88" s="613" t="s">
        <v>98</v>
      </c>
      <c r="F88" s="608">
        <v>14500</v>
      </c>
      <c r="G88" s="608">
        <v>14500</v>
      </c>
      <c r="H88" s="608">
        <v>14500</v>
      </c>
      <c r="I88" s="608">
        <v>14500</v>
      </c>
      <c r="J88" s="207" t="s">
        <v>755</v>
      </c>
      <c r="K88" s="26" t="s">
        <v>100</v>
      </c>
      <c r="L88" s="26">
        <f>L87+1</f>
        <v>19</v>
      </c>
    </row>
    <row r="89" spans="1:12" s="36" customFormat="1" x14ac:dyDescent="0.25">
      <c r="A89" s="76" t="s">
        <v>95</v>
      </c>
      <c r="B89" s="76" t="str">
        <f t="shared" si="4"/>
        <v>OV20</v>
      </c>
      <c r="C89" s="539" t="s">
        <v>127</v>
      </c>
      <c r="D89" s="39" t="s">
        <v>108</v>
      </c>
      <c r="E89" s="58" t="s">
        <v>46</v>
      </c>
      <c r="F89" s="36">
        <v>231</v>
      </c>
      <c r="G89" s="36">
        <v>231</v>
      </c>
      <c r="H89" s="36">
        <v>231</v>
      </c>
      <c r="I89" s="36">
        <v>231</v>
      </c>
      <c r="J89" s="91" t="s">
        <v>128</v>
      </c>
      <c r="K89" s="26" t="s">
        <v>100</v>
      </c>
      <c r="L89" s="26">
        <f>L88+1</f>
        <v>20</v>
      </c>
    </row>
    <row r="90" spans="1:12" s="36" customFormat="1" x14ac:dyDescent="0.25">
      <c r="A90" s="76" t="s">
        <v>95</v>
      </c>
      <c r="B90" s="76" t="str">
        <f t="shared" si="4"/>
        <v>OV21</v>
      </c>
      <c r="C90" s="606" t="s">
        <v>762</v>
      </c>
      <c r="D90" s="607" t="s">
        <v>108</v>
      </c>
      <c r="E90" s="600" t="s">
        <v>46</v>
      </c>
      <c r="F90" s="608">
        <v>1800</v>
      </c>
      <c r="G90" s="608">
        <v>1800</v>
      </c>
      <c r="H90" s="608">
        <v>1800</v>
      </c>
      <c r="I90" s="608">
        <v>1800</v>
      </c>
      <c r="J90" s="91" t="s">
        <v>756</v>
      </c>
      <c r="K90" s="26" t="s">
        <v>100</v>
      </c>
      <c r="L90" s="26">
        <f>L89+1</f>
        <v>21</v>
      </c>
    </row>
    <row r="91" spans="1:12" s="36" customFormat="1" x14ac:dyDescent="0.25">
      <c r="A91" s="76"/>
      <c r="B91" s="76"/>
      <c r="C91" s="539"/>
      <c r="D91" s="212"/>
      <c r="E91" s="69"/>
      <c r="J91" s="91"/>
      <c r="K91" s="26"/>
      <c r="L91" s="26"/>
    </row>
    <row r="92" spans="1:12" s="36" customFormat="1" x14ac:dyDescent="0.25">
      <c r="A92" s="76"/>
      <c r="B92" s="76"/>
      <c r="C92" s="80" t="s">
        <v>129</v>
      </c>
      <c r="D92" s="545"/>
      <c r="E92" s="69"/>
      <c r="F92" s="4">
        <f>F84</f>
        <v>2022</v>
      </c>
      <c r="G92" s="4">
        <f>F92+1</f>
        <v>2023</v>
      </c>
      <c r="H92" s="4">
        <f>G92+1</f>
        <v>2024</v>
      </c>
      <c r="I92" s="4">
        <f>H92+1</f>
        <v>2025</v>
      </c>
      <c r="J92" s="207"/>
      <c r="K92" s="335"/>
      <c r="L92" s="335"/>
    </row>
    <row r="93" spans="1:12" s="36" customFormat="1" x14ac:dyDescent="0.25">
      <c r="A93" s="76" t="s">
        <v>95</v>
      </c>
      <c r="B93" s="76" t="str">
        <f t="shared" ref="B93:B102" si="5">IF(L93,K93&amp;L93,"")</f>
        <v>OV21</v>
      </c>
      <c r="C93" s="539" t="s">
        <v>765</v>
      </c>
      <c r="D93" s="70" t="s">
        <v>105</v>
      </c>
      <c r="E93" s="109" t="s">
        <v>98</v>
      </c>
      <c r="F93" s="544">
        <v>0</v>
      </c>
      <c r="G93" s="544">
        <v>990</v>
      </c>
      <c r="H93" s="544">
        <v>990</v>
      </c>
      <c r="I93" s="544">
        <v>990</v>
      </c>
      <c r="J93" s="207"/>
      <c r="K93" s="26" t="s">
        <v>100</v>
      </c>
      <c r="L93" s="26">
        <f>L89+1</f>
        <v>21</v>
      </c>
    </row>
    <row r="94" spans="1:12" s="36" customFormat="1" x14ac:dyDescent="0.25">
      <c r="A94" s="76" t="s">
        <v>95</v>
      </c>
      <c r="B94" s="76" t="str">
        <f t="shared" si="5"/>
        <v>OV22</v>
      </c>
      <c r="C94" s="539" t="s">
        <v>764</v>
      </c>
      <c r="D94" s="70" t="s">
        <v>105</v>
      </c>
      <c r="E94" s="69" t="s">
        <v>98</v>
      </c>
      <c r="F94" s="546"/>
      <c r="G94" s="546">
        <v>-3040</v>
      </c>
      <c r="H94" s="546">
        <v>-3040</v>
      </c>
      <c r="I94" s="546">
        <v>-3040</v>
      </c>
      <c r="J94" s="207" t="s">
        <v>132</v>
      </c>
      <c r="K94" s="26" t="s">
        <v>100</v>
      </c>
      <c r="L94" s="26">
        <f t="shared" ref="L94:L102" si="6">L93+1</f>
        <v>22</v>
      </c>
    </row>
    <row r="95" spans="1:12" s="36" customFormat="1" x14ac:dyDescent="0.25">
      <c r="A95" s="76" t="s">
        <v>95</v>
      </c>
      <c r="B95" s="76" t="str">
        <f t="shared" si="5"/>
        <v>OV23</v>
      </c>
      <c r="C95" s="554" t="s">
        <v>769</v>
      </c>
      <c r="D95" s="611" t="s">
        <v>108</v>
      </c>
      <c r="E95" s="405" t="s">
        <v>46</v>
      </c>
      <c r="F95" s="612">
        <v>36700</v>
      </c>
      <c r="G95" s="547">
        <f t="shared" ref="G95:I96" si="7">F95</f>
        <v>36700</v>
      </c>
      <c r="H95" s="547">
        <f t="shared" si="7"/>
        <v>36700</v>
      </c>
      <c r="I95" s="547">
        <f t="shared" si="7"/>
        <v>36700</v>
      </c>
      <c r="J95" s="81"/>
      <c r="K95" s="26" t="s">
        <v>100</v>
      </c>
      <c r="L95" s="26">
        <f t="shared" si="6"/>
        <v>23</v>
      </c>
    </row>
    <row r="96" spans="1:12" s="36" customFormat="1" x14ac:dyDescent="0.25">
      <c r="A96" s="76" t="s">
        <v>95</v>
      </c>
      <c r="B96" s="76" t="str">
        <f t="shared" si="5"/>
        <v>OV24</v>
      </c>
      <c r="C96" s="548" t="s">
        <v>140</v>
      </c>
      <c r="D96" s="392" t="s">
        <v>108</v>
      </c>
      <c r="E96" s="393" t="s">
        <v>46</v>
      </c>
      <c r="F96" s="547">
        <v>550</v>
      </c>
      <c r="G96" s="547">
        <f t="shared" si="7"/>
        <v>550</v>
      </c>
      <c r="H96" s="547">
        <f t="shared" si="7"/>
        <v>550</v>
      </c>
      <c r="I96" s="547">
        <f t="shared" si="7"/>
        <v>550</v>
      </c>
      <c r="J96" s="207" t="s">
        <v>141</v>
      </c>
      <c r="K96" s="26" t="s">
        <v>100</v>
      </c>
      <c r="L96" s="26">
        <f>L95+1</f>
        <v>24</v>
      </c>
    </row>
    <row r="97" spans="1:12" s="36" customFormat="1" x14ac:dyDescent="0.25">
      <c r="A97" s="242" t="s">
        <v>95</v>
      </c>
      <c r="B97" s="76" t="str">
        <f t="shared" si="5"/>
        <v>OV25</v>
      </c>
      <c r="C97" s="548" t="s">
        <v>142</v>
      </c>
      <c r="D97" s="392" t="s">
        <v>108</v>
      </c>
      <c r="E97" s="109" t="s">
        <v>46</v>
      </c>
      <c r="F97" s="547">
        <v>5500</v>
      </c>
      <c r="G97" s="547">
        <v>5500</v>
      </c>
      <c r="J97" s="207" t="s">
        <v>143</v>
      </c>
      <c r="K97" s="26" t="s">
        <v>100</v>
      </c>
      <c r="L97" s="26">
        <f t="shared" si="6"/>
        <v>25</v>
      </c>
    </row>
    <row r="98" spans="1:12" s="36" customFormat="1" x14ac:dyDescent="0.25">
      <c r="A98" s="242" t="s">
        <v>95</v>
      </c>
      <c r="B98" s="76" t="str">
        <f t="shared" si="5"/>
        <v>OV26</v>
      </c>
      <c r="C98" s="578" t="s">
        <v>144</v>
      </c>
      <c r="D98" s="516" t="s">
        <v>108</v>
      </c>
      <c r="E98" s="517" t="s">
        <v>46</v>
      </c>
      <c r="F98" s="579">
        <v>5500</v>
      </c>
      <c r="G98" s="579">
        <v>5500</v>
      </c>
      <c r="H98" s="470"/>
      <c r="I98" s="470"/>
      <c r="J98" s="207" t="s">
        <v>145</v>
      </c>
      <c r="K98" s="26" t="s">
        <v>100</v>
      </c>
      <c r="L98" s="26">
        <f t="shared" si="6"/>
        <v>26</v>
      </c>
    </row>
    <row r="99" spans="1:12" s="36" customFormat="1" x14ac:dyDescent="0.25">
      <c r="A99" s="242" t="s">
        <v>95</v>
      </c>
      <c r="B99" s="76" t="str">
        <f t="shared" si="5"/>
        <v>OV27</v>
      </c>
      <c r="C99" s="548" t="s">
        <v>146</v>
      </c>
      <c r="D99" s="392" t="s">
        <v>108</v>
      </c>
      <c r="E99" s="109" t="s">
        <v>46</v>
      </c>
      <c r="F99" s="547">
        <v>-11000</v>
      </c>
      <c r="G99" s="547">
        <v>-11000</v>
      </c>
      <c r="J99" s="408" t="s">
        <v>147</v>
      </c>
      <c r="K99" s="26" t="s">
        <v>100</v>
      </c>
      <c r="L99" s="26">
        <f t="shared" si="6"/>
        <v>27</v>
      </c>
    </row>
    <row r="100" spans="1:12" s="36" customFormat="1" x14ac:dyDescent="0.25">
      <c r="A100" s="76" t="s">
        <v>95</v>
      </c>
      <c r="B100" s="76" t="str">
        <f t="shared" si="5"/>
        <v>OV28</v>
      </c>
      <c r="C100" s="539" t="s">
        <v>148</v>
      </c>
      <c r="D100" s="70" t="s">
        <v>97</v>
      </c>
      <c r="E100" s="77" t="s">
        <v>98</v>
      </c>
      <c r="F100" s="543">
        <v>950</v>
      </c>
      <c r="G100" s="543">
        <v>950</v>
      </c>
      <c r="H100" s="543">
        <v>950</v>
      </c>
      <c r="I100" s="543">
        <v>950</v>
      </c>
      <c r="J100" s="485" t="s">
        <v>149</v>
      </c>
      <c r="K100" s="26" t="s">
        <v>100</v>
      </c>
      <c r="L100" s="26">
        <f t="shared" si="6"/>
        <v>28</v>
      </c>
    </row>
    <row r="101" spans="1:12" s="36" customFormat="1" ht="25.5" x14ac:dyDescent="0.25">
      <c r="A101" s="76" t="s">
        <v>95</v>
      </c>
      <c r="B101" s="76" t="str">
        <f t="shared" si="5"/>
        <v>OV29</v>
      </c>
      <c r="C101" s="539" t="s">
        <v>150</v>
      </c>
      <c r="D101" s="70" t="s">
        <v>97</v>
      </c>
      <c r="E101" s="109" t="s">
        <v>98</v>
      </c>
      <c r="F101" s="543">
        <v>250</v>
      </c>
      <c r="G101" s="543">
        <v>250</v>
      </c>
      <c r="H101" s="543">
        <v>250</v>
      </c>
      <c r="I101" s="543">
        <v>250</v>
      </c>
      <c r="J101" s="485" t="s">
        <v>151</v>
      </c>
      <c r="K101" s="26" t="s">
        <v>100</v>
      </c>
      <c r="L101" s="26">
        <f t="shared" si="6"/>
        <v>29</v>
      </c>
    </row>
    <row r="102" spans="1:12" s="36" customFormat="1" x14ac:dyDescent="0.25">
      <c r="A102" s="76" t="s">
        <v>95</v>
      </c>
      <c r="B102" s="76" t="str">
        <f t="shared" si="5"/>
        <v>OV30</v>
      </c>
      <c r="C102" s="591" t="s">
        <v>766</v>
      </c>
      <c r="D102" s="584" t="s">
        <v>108</v>
      </c>
      <c r="E102" s="592" t="s">
        <v>46</v>
      </c>
      <c r="F102" s="153">
        <v>1000</v>
      </c>
      <c r="G102" s="153">
        <v>1000</v>
      </c>
      <c r="H102" s="153">
        <v>1000</v>
      </c>
      <c r="I102" s="153">
        <v>1000</v>
      </c>
      <c r="J102" s="207" t="s">
        <v>758</v>
      </c>
      <c r="K102" s="26" t="s">
        <v>100</v>
      </c>
      <c r="L102" s="26">
        <f t="shared" si="6"/>
        <v>30</v>
      </c>
    </row>
    <row r="103" spans="1:12" s="36" customFormat="1" x14ac:dyDescent="0.25">
      <c r="A103" s="242"/>
      <c r="B103" s="242"/>
      <c r="C103" s="548"/>
      <c r="J103" s="207"/>
      <c r="K103" s="26"/>
      <c r="L103" s="26"/>
    </row>
    <row r="104" spans="1:12" s="36" customFormat="1" x14ac:dyDescent="0.25">
      <c r="A104" s="41"/>
      <c r="B104" s="41" t="s">
        <v>152</v>
      </c>
      <c r="C104" s="3" t="s">
        <v>153</v>
      </c>
      <c r="D104" s="50"/>
      <c r="E104" s="50"/>
      <c r="F104" s="549">
        <f>SUMIF($A:$A,"OPP",F:F)</f>
        <v>80759</v>
      </c>
      <c r="G104" s="549">
        <f>SUMIF($A:$A,"OPP",G:G)</f>
        <v>88086</v>
      </c>
      <c r="H104" s="549">
        <f>SUMIF($A:$A,"OPP",H:H)</f>
        <v>102646.58333333333</v>
      </c>
      <c r="I104" s="549">
        <f>SUMIF($A:$A,"OPP",I:I)</f>
        <v>110295</v>
      </c>
      <c r="J104" s="207"/>
      <c r="K104" s="335"/>
      <c r="L104" s="335"/>
    </row>
    <row r="105" spans="1:12" s="36" customFormat="1" x14ac:dyDescent="0.25">
      <c r="A105" s="45"/>
      <c r="B105" s="45"/>
      <c r="C105" s="9"/>
      <c r="D105" s="47"/>
      <c r="E105" s="47"/>
      <c r="F105" s="550"/>
      <c r="G105" s="550"/>
      <c r="H105" s="550"/>
      <c r="I105" s="550"/>
      <c r="J105" s="207"/>
      <c r="K105" s="26"/>
      <c r="L105" s="26"/>
    </row>
    <row r="106" spans="1:12" s="36" customFormat="1" x14ac:dyDescent="0.25">
      <c r="A106" s="46"/>
      <c r="B106" s="46"/>
      <c r="C106" s="11" t="s">
        <v>154</v>
      </c>
      <c r="D106" s="48"/>
      <c r="E106" s="59"/>
      <c r="F106" s="551"/>
      <c r="G106" s="551"/>
      <c r="H106" s="551"/>
      <c r="I106" s="551"/>
      <c r="J106" s="207"/>
    </row>
    <row r="107" spans="1:12" s="36" customFormat="1" x14ac:dyDescent="0.25">
      <c r="A107" s="76"/>
      <c r="B107" s="76" t="str">
        <f t="shared" ref="B107:B115" si="8">IF(L107,K107&amp;L107,"")</f>
        <v/>
      </c>
      <c r="C107" s="80" t="s">
        <v>155</v>
      </c>
      <c r="D107" s="70"/>
      <c r="E107" s="69"/>
      <c r="F107" s="4">
        <f>F92</f>
        <v>2022</v>
      </c>
      <c r="G107" s="4">
        <f>F107+1</f>
        <v>2023</v>
      </c>
      <c r="H107" s="4">
        <f>G107+1</f>
        <v>2024</v>
      </c>
      <c r="I107" s="4">
        <f>H107+1</f>
        <v>2025</v>
      </c>
      <c r="J107" s="207"/>
      <c r="K107" s="335"/>
      <c r="L107" s="335"/>
    </row>
    <row r="108" spans="1:12" s="36" customFormat="1" x14ac:dyDescent="0.25">
      <c r="A108" s="76" t="s">
        <v>156</v>
      </c>
      <c r="B108" s="76" t="str">
        <f t="shared" si="8"/>
        <v>H1</v>
      </c>
      <c r="C108" s="539" t="s">
        <v>157</v>
      </c>
      <c r="D108" s="70" t="s">
        <v>105</v>
      </c>
      <c r="E108" s="69" t="s">
        <v>98</v>
      </c>
      <c r="F108" s="544">
        <v>5000</v>
      </c>
      <c r="G108" s="544">
        <v>5000</v>
      </c>
      <c r="H108" s="544">
        <v>5000</v>
      </c>
      <c r="I108" s="552">
        <v>5000</v>
      </c>
      <c r="J108" s="207"/>
      <c r="K108" s="26" t="s">
        <v>158</v>
      </c>
      <c r="L108" s="26">
        <v>1</v>
      </c>
    </row>
    <row r="109" spans="1:12" s="36" customFormat="1" x14ac:dyDescent="0.25">
      <c r="A109" s="76" t="s">
        <v>156</v>
      </c>
      <c r="B109" s="76" t="str">
        <f t="shared" si="8"/>
        <v>H2</v>
      </c>
      <c r="C109" s="539" t="s">
        <v>159</v>
      </c>
      <c r="D109" s="70" t="s">
        <v>105</v>
      </c>
      <c r="E109" s="69" t="s">
        <v>98</v>
      </c>
      <c r="F109" s="544"/>
      <c r="G109" s="544"/>
      <c r="H109" s="544">
        <v>1000</v>
      </c>
      <c r="I109" s="544">
        <v>9000</v>
      </c>
      <c r="J109" s="207"/>
      <c r="K109" s="26" t="s">
        <v>158</v>
      </c>
      <c r="L109" s="26">
        <f>L108+1</f>
        <v>2</v>
      </c>
    </row>
    <row r="110" spans="1:12" s="36" customFormat="1" x14ac:dyDescent="0.25">
      <c r="A110" s="76" t="s">
        <v>156</v>
      </c>
      <c r="B110" s="76" t="str">
        <f t="shared" si="8"/>
        <v>H3</v>
      </c>
      <c r="C110" s="539" t="s">
        <v>160</v>
      </c>
      <c r="D110" s="70" t="s">
        <v>108</v>
      </c>
      <c r="E110" s="69" t="s">
        <v>46</v>
      </c>
      <c r="F110" s="544">
        <v>1600</v>
      </c>
      <c r="G110" s="544">
        <v>1600</v>
      </c>
      <c r="H110" s="544">
        <v>1600</v>
      </c>
      <c r="I110" s="544">
        <v>1600</v>
      </c>
      <c r="J110" s="207"/>
      <c r="K110" s="26" t="s">
        <v>158</v>
      </c>
      <c r="L110" s="26">
        <f>L109+1</f>
        <v>3</v>
      </c>
    </row>
    <row r="111" spans="1:12" s="36" customFormat="1" x14ac:dyDescent="0.25">
      <c r="A111" s="76" t="s">
        <v>156</v>
      </c>
      <c r="B111" s="76" t="str">
        <f t="shared" si="8"/>
        <v>H4</v>
      </c>
      <c r="C111" s="539" t="s">
        <v>161</v>
      </c>
      <c r="D111" s="70" t="s">
        <v>105</v>
      </c>
      <c r="E111" s="69" t="s">
        <v>98</v>
      </c>
      <c r="F111" s="536">
        <v>900</v>
      </c>
      <c r="G111" s="536">
        <v>2550</v>
      </c>
      <c r="H111" s="536">
        <v>4500</v>
      </c>
      <c r="I111" s="536">
        <v>5800</v>
      </c>
      <c r="J111" s="485" t="s">
        <v>149</v>
      </c>
      <c r="K111" s="26" t="s">
        <v>158</v>
      </c>
      <c r="L111" s="26">
        <f>L110+1</f>
        <v>4</v>
      </c>
    </row>
    <row r="112" spans="1:12" s="36" customFormat="1" x14ac:dyDescent="0.25">
      <c r="A112" s="76"/>
      <c r="B112" s="76" t="str">
        <f t="shared" si="8"/>
        <v/>
      </c>
      <c r="C112" s="80" t="s">
        <v>162</v>
      </c>
      <c r="D112" s="70"/>
      <c r="E112" s="69"/>
      <c r="F112" s="4">
        <f>F107</f>
        <v>2022</v>
      </c>
      <c r="G112" s="4">
        <f>F112+1</f>
        <v>2023</v>
      </c>
      <c r="H112" s="4">
        <f>G112+1</f>
        <v>2024</v>
      </c>
      <c r="I112" s="4">
        <f>H112+1</f>
        <v>2025</v>
      </c>
      <c r="J112" s="207"/>
      <c r="K112" s="335"/>
      <c r="L112" s="335"/>
    </row>
    <row r="113" spans="1:12" s="36" customFormat="1" x14ac:dyDescent="0.25">
      <c r="A113" s="76" t="s">
        <v>156</v>
      </c>
      <c r="B113" s="76" t="str">
        <f t="shared" si="8"/>
        <v>H5</v>
      </c>
      <c r="C113" s="539" t="s">
        <v>163</v>
      </c>
      <c r="D113" s="70" t="s">
        <v>105</v>
      </c>
      <c r="E113" s="69" t="s">
        <v>98</v>
      </c>
      <c r="F113" s="552">
        <v>2500</v>
      </c>
      <c r="G113" s="552">
        <v>5000</v>
      </c>
      <c r="H113" s="552">
        <v>7500</v>
      </c>
      <c r="I113" s="552">
        <v>10000</v>
      </c>
      <c r="J113" s="207"/>
      <c r="K113" s="26" t="s">
        <v>158</v>
      </c>
      <c r="L113" s="26">
        <f>L111+1</f>
        <v>5</v>
      </c>
    </row>
    <row r="114" spans="1:12" s="36" customFormat="1" x14ac:dyDescent="0.25">
      <c r="A114" s="76" t="s">
        <v>156</v>
      </c>
      <c r="B114" s="76" t="str">
        <f t="shared" si="8"/>
        <v>H6</v>
      </c>
      <c r="C114" s="539" t="s">
        <v>164</v>
      </c>
      <c r="D114" s="70" t="s">
        <v>105</v>
      </c>
      <c r="E114" s="69" t="s">
        <v>98</v>
      </c>
      <c r="F114" s="553">
        <v>10000</v>
      </c>
      <c r="G114" s="553">
        <v>20000</v>
      </c>
      <c r="H114" s="553">
        <v>20000</v>
      </c>
      <c r="I114" s="553">
        <v>20000</v>
      </c>
      <c r="J114" s="207"/>
      <c r="K114" s="26" t="s">
        <v>158</v>
      </c>
      <c r="L114" s="26">
        <f>L113+1</f>
        <v>6</v>
      </c>
    </row>
    <row r="115" spans="1:12" s="36" customFormat="1" x14ac:dyDescent="0.25">
      <c r="A115" s="76" t="s">
        <v>156</v>
      </c>
      <c r="B115" s="76" t="str">
        <f t="shared" si="8"/>
        <v>H7</v>
      </c>
      <c r="C115" s="539" t="s">
        <v>165</v>
      </c>
      <c r="D115" s="70" t="s">
        <v>108</v>
      </c>
      <c r="E115" s="69" t="s">
        <v>46</v>
      </c>
      <c r="F115" s="553">
        <v>1400</v>
      </c>
      <c r="G115" s="553">
        <f>F115</f>
        <v>1400</v>
      </c>
      <c r="H115" s="553">
        <f>G115</f>
        <v>1400</v>
      </c>
      <c r="I115" s="553">
        <f>H115</f>
        <v>1400</v>
      </c>
      <c r="J115" s="207"/>
      <c r="K115" s="26" t="s">
        <v>158</v>
      </c>
      <c r="L115" s="26">
        <f>L114+1</f>
        <v>7</v>
      </c>
    </row>
    <row r="116" spans="1:12" s="36" customFormat="1" x14ac:dyDescent="0.25">
      <c r="A116" s="339"/>
      <c r="B116" s="339"/>
      <c r="C116" s="80" t="s">
        <v>166</v>
      </c>
      <c r="D116" s="81"/>
      <c r="E116" s="69"/>
      <c r="F116" s="4">
        <f>F112</f>
        <v>2022</v>
      </c>
      <c r="G116" s="4">
        <f>F116+1</f>
        <v>2023</v>
      </c>
      <c r="H116" s="4">
        <f>G116+1</f>
        <v>2024</v>
      </c>
      <c r="I116" s="4">
        <f>H116+1</f>
        <v>2025</v>
      </c>
      <c r="J116" s="207"/>
      <c r="K116" s="335"/>
      <c r="L116" s="335"/>
    </row>
    <row r="117" spans="1:12" s="36" customFormat="1" x14ac:dyDescent="0.25">
      <c r="A117" s="76" t="s">
        <v>156</v>
      </c>
      <c r="B117" s="76" t="str">
        <f t="shared" ref="B117:B127" si="9">IF(L117,K117&amp;L117,"")</f>
        <v>H8</v>
      </c>
      <c r="C117" s="539" t="s">
        <v>167</v>
      </c>
      <c r="D117" s="70" t="s">
        <v>105</v>
      </c>
      <c r="E117" s="69" t="s">
        <v>98</v>
      </c>
      <c r="F117" s="552">
        <v>-300</v>
      </c>
      <c r="G117" s="552">
        <v>-900</v>
      </c>
      <c r="H117" s="552">
        <v>-1500</v>
      </c>
      <c r="I117" s="552">
        <v>-2100</v>
      </c>
      <c r="J117" s="207"/>
      <c r="K117" s="26" t="s">
        <v>158</v>
      </c>
      <c r="L117" s="26">
        <f>L115+1</f>
        <v>8</v>
      </c>
    </row>
    <row r="118" spans="1:12" s="36" customFormat="1" x14ac:dyDescent="0.25">
      <c r="A118" s="76" t="s">
        <v>156</v>
      </c>
      <c r="B118" s="76" t="str">
        <f t="shared" si="9"/>
        <v>H9</v>
      </c>
      <c r="C118" s="583" t="s">
        <v>760</v>
      </c>
      <c r="D118" s="584" t="s">
        <v>108</v>
      </c>
      <c r="E118" s="587" t="s">
        <v>46</v>
      </c>
      <c r="F118" s="588">
        <v>1400</v>
      </c>
      <c r="G118" s="588">
        <v>2100</v>
      </c>
      <c r="H118" s="588">
        <f>G118</f>
        <v>2100</v>
      </c>
      <c r="I118" s="588">
        <f>H118</f>
        <v>2100</v>
      </c>
      <c r="J118" s="408" t="s">
        <v>750</v>
      </c>
      <c r="K118" s="26" t="s">
        <v>158</v>
      </c>
      <c r="L118" s="26">
        <f>L117+1</f>
        <v>9</v>
      </c>
    </row>
    <row r="119" spans="1:12" s="36" customFormat="1" x14ac:dyDescent="0.25">
      <c r="A119" s="76" t="s">
        <v>156</v>
      </c>
      <c r="B119" s="76" t="str">
        <f t="shared" si="9"/>
        <v>H10</v>
      </c>
      <c r="C119" s="554" t="s">
        <v>169</v>
      </c>
      <c r="D119" s="226" t="s">
        <v>105</v>
      </c>
      <c r="E119" s="229" t="s">
        <v>98</v>
      </c>
      <c r="F119" s="555">
        <f>-11400-15856</f>
        <v>-27256</v>
      </c>
      <c r="G119" s="552">
        <f>-11400-15856</f>
        <v>-27256</v>
      </c>
      <c r="H119" s="552">
        <f>G119</f>
        <v>-27256</v>
      </c>
      <c r="I119" s="552">
        <f>H119</f>
        <v>-27256</v>
      </c>
      <c r="J119" s="207"/>
      <c r="K119" s="26" t="s">
        <v>158</v>
      </c>
      <c r="L119" s="26">
        <f>L118+1</f>
        <v>10</v>
      </c>
    </row>
    <row r="120" spans="1:12" s="36" customFormat="1" x14ac:dyDescent="0.25">
      <c r="A120" s="76" t="s">
        <v>156</v>
      </c>
      <c r="B120" s="76" t="str">
        <f t="shared" si="9"/>
        <v>H11</v>
      </c>
      <c r="C120" s="556" t="s">
        <v>170</v>
      </c>
      <c r="D120" s="226" t="s">
        <v>108</v>
      </c>
      <c r="E120" s="229" t="s">
        <v>46</v>
      </c>
      <c r="F120" s="557">
        <v>27256</v>
      </c>
      <c r="G120" s="553">
        <v>0</v>
      </c>
      <c r="H120" s="553">
        <v>0</v>
      </c>
      <c r="I120" s="553">
        <v>0</v>
      </c>
      <c r="J120" s="207" t="s">
        <v>171</v>
      </c>
      <c r="K120" s="26" t="s">
        <v>158</v>
      </c>
      <c r="L120" s="26">
        <f>L119+1</f>
        <v>11</v>
      </c>
    </row>
    <row r="121" spans="1:12" s="36" customFormat="1" x14ac:dyDescent="0.25">
      <c r="A121" s="76" t="s">
        <v>156</v>
      </c>
      <c r="B121" s="76" t="str">
        <f t="shared" si="9"/>
        <v>H12</v>
      </c>
      <c r="C121" s="539" t="s">
        <v>172</v>
      </c>
      <c r="D121" s="70" t="s">
        <v>108</v>
      </c>
      <c r="E121" s="69" t="s">
        <v>46</v>
      </c>
      <c r="F121" s="553">
        <v>1000</v>
      </c>
      <c r="G121" s="553">
        <v>1000</v>
      </c>
      <c r="H121" s="553">
        <v>1000</v>
      </c>
      <c r="I121" s="553">
        <v>1000</v>
      </c>
      <c r="J121" s="207"/>
      <c r="K121" s="26" t="s">
        <v>158</v>
      </c>
      <c r="L121" s="26">
        <f>L120+1</f>
        <v>12</v>
      </c>
    </row>
    <row r="122" spans="1:12" s="36" customFormat="1" x14ac:dyDescent="0.25">
      <c r="A122" s="76" t="s">
        <v>156</v>
      </c>
      <c r="B122" s="76" t="str">
        <f t="shared" si="9"/>
        <v>H13</v>
      </c>
      <c r="C122" s="583" t="s">
        <v>746</v>
      </c>
      <c r="D122" s="584" t="s">
        <v>108</v>
      </c>
      <c r="E122" s="587" t="s">
        <v>46</v>
      </c>
      <c r="F122" s="588">
        <v>5000</v>
      </c>
      <c r="G122" s="588">
        <f>F122</f>
        <v>5000</v>
      </c>
      <c r="H122" s="588">
        <f>G122</f>
        <v>5000</v>
      </c>
      <c r="I122" s="588">
        <f>H122</f>
        <v>5000</v>
      </c>
      <c r="J122" s="207"/>
      <c r="K122" s="26" t="s">
        <v>158</v>
      </c>
      <c r="L122" s="26">
        <f>L121+1</f>
        <v>13</v>
      </c>
    </row>
    <row r="123" spans="1:12" s="36" customFormat="1" x14ac:dyDescent="0.25">
      <c r="A123" s="76"/>
      <c r="B123" s="76" t="str">
        <f t="shared" si="9"/>
        <v/>
      </c>
      <c r="C123" s="80" t="s">
        <v>173</v>
      </c>
      <c r="D123" s="70"/>
      <c r="E123" s="69"/>
      <c r="F123" s="4">
        <f>F116</f>
        <v>2022</v>
      </c>
      <c r="G123" s="4">
        <f>F123+1</f>
        <v>2023</v>
      </c>
      <c r="H123" s="4">
        <f>G123+1</f>
        <v>2024</v>
      </c>
      <c r="I123" s="4">
        <f>H123+1</f>
        <v>2025</v>
      </c>
      <c r="J123" s="207"/>
      <c r="K123" s="4"/>
      <c r="L123" s="4"/>
    </row>
    <row r="124" spans="1:12" s="36" customFormat="1" x14ac:dyDescent="0.25">
      <c r="A124" s="76" t="s">
        <v>156</v>
      </c>
      <c r="B124" s="76" t="str">
        <f t="shared" si="9"/>
        <v>H14</v>
      </c>
      <c r="C124" s="539" t="s">
        <v>174</v>
      </c>
      <c r="D124" s="70" t="s">
        <v>108</v>
      </c>
      <c r="E124" s="69" t="s">
        <v>46</v>
      </c>
      <c r="F124" s="552">
        <v>600</v>
      </c>
      <c r="G124" s="552">
        <v>600</v>
      </c>
      <c r="H124" s="552">
        <v>600</v>
      </c>
      <c r="I124" s="552">
        <v>600</v>
      </c>
      <c r="J124" s="207"/>
      <c r="K124" s="26" t="s">
        <v>158</v>
      </c>
      <c r="L124" s="26">
        <f>L122+1</f>
        <v>14</v>
      </c>
    </row>
    <row r="125" spans="1:12" s="36" customFormat="1" x14ac:dyDescent="0.25">
      <c r="A125" s="76" t="s">
        <v>156</v>
      </c>
      <c r="B125" s="76" t="str">
        <f t="shared" si="9"/>
        <v>H15</v>
      </c>
      <c r="C125" s="539" t="s">
        <v>175</v>
      </c>
      <c r="D125" s="70" t="s">
        <v>97</v>
      </c>
      <c r="E125" s="69" t="s">
        <v>98</v>
      </c>
      <c r="F125" s="552">
        <v>5461</v>
      </c>
      <c r="G125" s="552">
        <v>5521</v>
      </c>
      <c r="H125" s="552">
        <v>5578</v>
      </c>
      <c r="I125" s="552">
        <v>5635</v>
      </c>
      <c r="J125" s="408"/>
      <c r="K125" s="26" t="s">
        <v>158</v>
      </c>
      <c r="L125" s="26">
        <f>L124+1</f>
        <v>15</v>
      </c>
    </row>
    <row r="126" spans="1:12" s="36" customFormat="1" ht="25.5" x14ac:dyDescent="0.25">
      <c r="A126" s="76" t="s">
        <v>156</v>
      </c>
      <c r="B126" s="76" t="str">
        <f t="shared" si="9"/>
        <v>H16</v>
      </c>
      <c r="C126" s="539" t="s">
        <v>176</v>
      </c>
      <c r="D126" s="70" t="s">
        <v>97</v>
      </c>
      <c r="E126" s="69" t="s">
        <v>98</v>
      </c>
      <c r="F126" s="536">
        <v>100</v>
      </c>
      <c r="G126" s="536">
        <v>100</v>
      </c>
      <c r="H126" s="536">
        <v>100</v>
      </c>
      <c r="I126" s="536">
        <v>100</v>
      </c>
      <c r="J126" s="485" t="s">
        <v>177</v>
      </c>
      <c r="K126" s="26" t="s">
        <v>158</v>
      </c>
      <c r="L126" s="26">
        <f>L125+1</f>
        <v>16</v>
      </c>
    </row>
    <row r="127" spans="1:12" s="36" customFormat="1" ht="22.5" x14ac:dyDescent="0.25">
      <c r="A127" s="76" t="s">
        <v>156</v>
      </c>
      <c r="B127" s="76" t="str">
        <f t="shared" si="9"/>
        <v>H17</v>
      </c>
      <c r="C127" s="583" t="s">
        <v>767</v>
      </c>
      <c r="D127" s="584" t="s">
        <v>108</v>
      </c>
      <c r="E127" s="587" t="s">
        <v>46</v>
      </c>
      <c r="F127" s="589"/>
      <c r="G127" s="589">
        <v>1500</v>
      </c>
      <c r="H127" s="589">
        <v>1500</v>
      </c>
      <c r="I127" s="589">
        <v>1500</v>
      </c>
      <c r="J127" s="590" t="s">
        <v>757</v>
      </c>
      <c r="K127" s="26" t="s">
        <v>158</v>
      </c>
      <c r="L127" s="26">
        <f>L126+1</f>
        <v>17</v>
      </c>
    </row>
    <row r="128" spans="1:12" s="36" customFormat="1" x14ac:dyDescent="0.25">
      <c r="A128" s="76"/>
      <c r="B128" s="76"/>
      <c r="C128" s="80" t="s">
        <v>178</v>
      </c>
      <c r="D128" s="81"/>
      <c r="E128" s="69"/>
      <c r="F128" s="4">
        <f>F123</f>
        <v>2022</v>
      </c>
      <c r="G128" s="4">
        <f>F128+1</f>
        <v>2023</v>
      </c>
      <c r="H128" s="4">
        <f>G128+1</f>
        <v>2024</v>
      </c>
      <c r="I128" s="4">
        <f>H128+1</f>
        <v>2025</v>
      </c>
      <c r="J128" s="207"/>
      <c r="K128" s="335"/>
      <c r="L128" s="335"/>
    </row>
    <row r="129" spans="1:12" s="36" customFormat="1" x14ac:dyDescent="0.25">
      <c r="A129" s="76" t="s">
        <v>156</v>
      </c>
      <c r="B129" s="76" t="str">
        <f t="shared" ref="B129:B137" si="10">IF(L129,K129&amp;L129,"")</f>
        <v>H18</v>
      </c>
      <c r="C129" s="539" t="s">
        <v>179</v>
      </c>
      <c r="D129" s="70" t="s">
        <v>97</v>
      </c>
      <c r="E129" s="69" t="s">
        <v>98</v>
      </c>
      <c r="F129" s="552">
        <v>-1883</v>
      </c>
      <c r="G129" s="558">
        <v>-1178</v>
      </c>
      <c r="H129" s="558">
        <v>232</v>
      </c>
      <c r="I129" s="558">
        <v>4583</v>
      </c>
      <c r="J129" s="408" t="s">
        <v>751</v>
      </c>
      <c r="K129" s="26" t="s">
        <v>158</v>
      </c>
      <c r="L129" s="26">
        <f>L127+1</f>
        <v>18</v>
      </c>
    </row>
    <row r="130" spans="1:12" s="36" customFormat="1" x14ac:dyDescent="0.25">
      <c r="A130" s="76" t="s">
        <v>156</v>
      </c>
      <c r="B130" s="76" t="str">
        <f t="shared" si="10"/>
        <v>H19</v>
      </c>
      <c r="C130" s="539" t="s">
        <v>180</v>
      </c>
      <c r="D130" s="70" t="s">
        <v>97</v>
      </c>
      <c r="E130" s="69" t="s">
        <v>98</v>
      </c>
      <c r="F130" s="552">
        <v>5000</v>
      </c>
      <c r="G130" s="552">
        <v>0</v>
      </c>
      <c r="H130" s="552">
        <v>-2000</v>
      </c>
      <c r="I130" s="552">
        <v>-2000</v>
      </c>
      <c r="J130" s="408"/>
      <c r="K130" s="26" t="s">
        <v>158</v>
      </c>
      <c r="L130" s="26">
        <f>L129+1</f>
        <v>19</v>
      </c>
    </row>
    <row r="131" spans="1:12" s="36" customFormat="1" ht="25.5" x14ac:dyDescent="0.25">
      <c r="A131" s="76" t="s">
        <v>156</v>
      </c>
      <c r="B131" s="76" t="str">
        <f t="shared" si="10"/>
        <v>H20</v>
      </c>
      <c r="C131" s="583" t="s">
        <v>768</v>
      </c>
      <c r="D131" s="584" t="s">
        <v>108</v>
      </c>
      <c r="E131" s="587" t="s">
        <v>46</v>
      </c>
      <c r="F131" s="609">
        <v>1000</v>
      </c>
      <c r="G131" s="609">
        <v>1000</v>
      </c>
      <c r="H131" s="609">
        <v>1000</v>
      </c>
      <c r="I131" s="609">
        <v>1000</v>
      </c>
      <c r="J131" s="610" t="s">
        <v>761</v>
      </c>
      <c r="K131" s="26" t="s">
        <v>158</v>
      </c>
      <c r="L131" s="26">
        <f>L130+1</f>
        <v>20</v>
      </c>
    </row>
    <row r="132" spans="1:12" s="36" customFormat="1" x14ac:dyDescent="0.25">
      <c r="A132" s="76" t="s">
        <v>156</v>
      </c>
      <c r="B132" s="76" t="str">
        <f t="shared" si="10"/>
        <v>H21</v>
      </c>
      <c r="C132" s="539" t="s">
        <v>181</v>
      </c>
      <c r="D132" s="70" t="s">
        <v>97</v>
      </c>
      <c r="E132" s="69" t="s">
        <v>98</v>
      </c>
      <c r="F132" s="541">
        <v>1750</v>
      </c>
      <c r="G132" s="541">
        <v>3450</v>
      </c>
      <c r="H132" s="541">
        <v>3450</v>
      </c>
      <c r="I132" s="541">
        <v>3450</v>
      </c>
      <c r="J132" s="485" t="s">
        <v>177</v>
      </c>
      <c r="K132" s="26" t="s">
        <v>158</v>
      </c>
      <c r="L132" s="26">
        <f>L131+1</f>
        <v>21</v>
      </c>
    </row>
    <row r="133" spans="1:12" s="36" customFormat="1" ht="25.5" x14ac:dyDescent="0.25">
      <c r="A133" s="76" t="s">
        <v>156</v>
      </c>
      <c r="B133" s="76" t="str">
        <f t="shared" si="10"/>
        <v>H22</v>
      </c>
      <c r="C133" s="539" t="s">
        <v>182</v>
      </c>
      <c r="D133" s="70" t="s">
        <v>97</v>
      </c>
      <c r="E133" s="69" t="s">
        <v>98</v>
      </c>
      <c r="F133" s="541">
        <v>3510</v>
      </c>
      <c r="G133" s="541">
        <v>10430</v>
      </c>
      <c r="H133" s="541">
        <v>17050</v>
      </c>
      <c r="I133" s="541">
        <v>22010</v>
      </c>
      <c r="J133" s="485" t="s">
        <v>183</v>
      </c>
      <c r="K133" s="26" t="s">
        <v>158</v>
      </c>
      <c r="L133" s="26">
        <f>L132+1</f>
        <v>22</v>
      </c>
    </row>
    <row r="134" spans="1:12" s="36" customFormat="1" x14ac:dyDescent="0.25">
      <c r="A134" s="76"/>
      <c r="B134" s="76" t="str">
        <f t="shared" si="10"/>
        <v/>
      </c>
      <c r="C134" s="80" t="s">
        <v>184</v>
      </c>
      <c r="D134" s="81"/>
      <c r="E134" s="69"/>
      <c r="F134" s="4">
        <f>F128</f>
        <v>2022</v>
      </c>
      <c r="G134" s="4">
        <f>F134+1</f>
        <v>2023</v>
      </c>
      <c r="H134" s="4">
        <f>G134+1</f>
        <v>2024</v>
      </c>
      <c r="I134" s="4">
        <f>H134+1</f>
        <v>2025</v>
      </c>
      <c r="J134" s="207"/>
      <c r="K134" s="335"/>
      <c r="L134" s="335"/>
    </row>
    <row r="135" spans="1:12" s="36" customFormat="1" x14ac:dyDescent="0.25">
      <c r="A135" s="76" t="s">
        <v>156</v>
      </c>
      <c r="B135" s="76" t="str">
        <f t="shared" si="10"/>
        <v>H23</v>
      </c>
      <c r="C135" s="539" t="s">
        <v>185</v>
      </c>
      <c r="D135" s="70" t="s">
        <v>105</v>
      </c>
      <c r="E135" s="69" t="s">
        <v>98</v>
      </c>
      <c r="F135" s="552">
        <v>0</v>
      </c>
      <c r="G135" s="552"/>
      <c r="H135" s="552">
        <v>6000</v>
      </c>
      <c r="I135" s="546">
        <v>12000</v>
      </c>
      <c r="J135" s="207" t="s">
        <v>186</v>
      </c>
      <c r="K135" s="26" t="s">
        <v>158</v>
      </c>
      <c r="L135" s="26">
        <f>L133+1</f>
        <v>23</v>
      </c>
    </row>
    <row r="136" spans="1:12" s="36" customFormat="1" x14ac:dyDescent="0.25">
      <c r="A136" s="76" t="s">
        <v>156</v>
      </c>
      <c r="B136" s="76" t="str">
        <f t="shared" si="10"/>
        <v>H24</v>
      </c>
      <c r="C136" s="539" t="s">
        <v>187</v>
      </c>
      <c r="D136" s="70" t="s">
        <v>105</v>
      </c>
      <c r="E136" s="69" t="s">
        <v>98</v>
      </c>
      <c r="F136" s="546">
        <v>0</v>
      </c>
      <c r="G136" s="546">
        <v>-2500</v>
      </c>
      <c r="H136" s="546">
        <f>G136</f>
        <v>-2500</v>
      </c>
      <c r="I136" s="546">
        <f>H136</f>
        <v>-2500</v>
      </c>
      <c r="J136" s="207"/>
      <c r="K136" s="26" t="s">
        <v>158</v>
      </c>
      <c r="L136" s="26">
        <f>L135+1</f>
        <v>24</v>
      </c>
    </row>
    <row r="137" spans="1:12" s="36" customFormat="1" x14ac:dyDescent="0.25">
      <c r="A137" s="76" t="s">
        <v>156</v>
      </c>
      <c r="B137" s="76" t="str">
        <f t="shared" si="10"/>
        <v>H25</v>
      </c>
      <c r="C137" s="539" t="s">
        <v>188</v>
      </c>
      <c r="D137" s="70" t="s">
        <v>108</v>
      </c>
      <c r="E137" s="69" t="s">
        <v>46</v>
      </c>
      <c r="F137" s="546">
        <v>4000</v>
      </c>
      <c r="G137" s="546">
        <f>F137</f>
        <v>4000</v>
      </c>
      <c r="H137" s="546">
        <f>G137</f>
        <v>4000</v>
      </c>
      <c r="I137" s="546">
        <f>H137</f>
        <v>4000</v>
      </c>
      <c r="J137" s="207"/>
      <c r="K137" s="26" t="s">
        <v>158</v>
      </c>
      <c r="L137" s="26">
        <f>L136+1</f>
        <v>25</v>
      </c>
    </row>
    <row r="138" spans="1:12" s="36" customFormat="1" x14ac:dyDescent="0.25">
      <c r="A138" s="41"/>
      <c r="B138" s="41" t="s">
        <v>152</v>
      </c>
      <c r="C138" s="3" t="s">
        <v>189</v>
      </c>
      <c r="D138" s="50"/>
      <c r="E138" s="50"/>
      <c r="F138" s="549">
        <f>SUMIF($A:$A,"H&amp;V",F:F)</f>
        <v>48038</v>
      </c>
      <c r="G138" s="549">
        <f>SUMIF($A:$A,"H&amp;V",G:G)</f>
        <v>38417</v>
      </c>
      <c r="H138" s="549">
        <f>SUMIF($A:$A,"H&amp;V",H:H)</f>
        <v>55354</v>
      </c>
      <c r="I138" s="549">
        <f>SUMIF($A:$A,"H&amp;V",I:I)</f>
        <v>81922</v>
      </c>
      <c r="J138" s="207"/>
      <c r="K138" s="335"/>
      <c r="L138" s="335"/>
    </row>
    <row r="139" spans="1:12" s="36" customFormat="1" x14ac:dyDescent="0.25">
      <c r="A139" s="45"/>
      <c r="B139" s="45"/>
      <c r="C139" s="9"/>
      <c r="D139" s="47"/>
      <c r="E139" s="47"/>
      <c r="F139" s="550"/>
      <c r="G139" s="550"/>
      <c r="H139" s="550"/>
      <c r="I139" s="550"/>
      <c r="J139" s="207"/>
      <c r="K139" s="26"/>
      <c r="L139" s="26"/>
    </row>
    <row r="140" spans="1:12" s="36" customFormat="1" x14ac:dyDescent="0.25">
      <c r="A140" s="46"/>
      <c r="B140" s="46"/>
      <c r="C140" s="11" t="s">
        <v>190</v>
      </c>
      <c r="D140" s="48"/>
      <c r="E140" s="59"/>
      <c r="F140" s="551"/>
      <c r="G140" s="551"/>
      <c r="H140" s="551"/>
      <c r="I140" s="551"/>
      <c r="J140" s="207"/>
    </row>
    <row r="141" spans="1:12" s="36" customFormat="1" x14ac:dyDescent="0.25">
      <c r="A141" s="339"/>
      <c r="B141" s="339"/>
      <c r="C141" s="80" t="s">
        <v>191</v>
      </c>
      <c r="D141" s="81"/>
      <c r="E141" s="69"/>
      <c r="F141" s="4">
        <f>F134</f>
        <v>2022</v>
      </c>
      <c r="G141" s="4">
        <f>F141+1</f>
        <v>2023</v>
      </c>
      <c r="H141" s="4">
        <f>G141+1</f>
        <v>2024</v>
      </c>
      <c r="I141" s="4">
        <f>H141+1</f>
        <v>2025</v>
      </c>
      <c r="J141" s="410"/>
      <c r="K141" s="335"/>
      <c r="L141" s="335"/>
    </row>
    <row r="142" spans="1:12" s="36" customFormat="1" x14ac:dyDescent="0.25">
      <c r="A142" s="76" t="s">
        <v>192</v>
      </c>
      <c r="B142" s="76" t="str">
        <f t="shared" ref="B142:B149" si="11">IF(L142,K142&amp;L142,"")</f>
        <v>K1</v>
      </c>
      <c r="C142" s="542" t="s">
        <v>193</v>
      </c>
      <c r="D142" s="77" t="s">
        <v>105</v>
      </c>
      <c r="E142" s="69" t="s">
        <v>98</v>
      </c>
      <c r="F142" s="546">
        <v>-400</v>
      </c>
      <c r="G142" s="546">
        <v>-500</v>
      </c>
      <c r="H142" s="546">
        <v>-600</v>
      </c>
      <c r="I142" s="546">
        <v>-600</v>
      </c>
      <c r="J142" s="207"/>
      <c r="K142" s="26" t="s">
        <v>194</v>
      </c>
      <c r="L142" s="26">
        <v>1</v>
      </c>
    </row>
    <row r="143" spans="1:12" s="36" customFormat="1" x14ac:dyDescent="0.25">
      <c r="A143" s="76" t="s">
        <v>192</v>
      </c>
      <c r="B143" s="76" t="str">
        <f t="shared" si="11"/>
        <v>K2</v>
      </c>
      <c r="C143" s="542" t="s">
        <v>195</v>
      </c>
      <c r="D143" s="77" t="s">
        <v>108</v>
      </c>
      <c r="E143" s="69" t="s">
        <v>46</v>
      </c>
      <c r="F143" s="546">
        <v>300</v>
      </c>
      <c r="G143" s="546">
        <v>300</v>
      </c>
      <c r="H143" s="546">
        <v>300</v>
      </c>
      <c r="I143" s="546">
        <v>300</v>
      </c>
      <c r="J143" s="207"/>
      <c r="K143" s="26" t="s">
        <v>194</v>
      </c>
      <c r="L143" s="26">
        <f>L142+1</f>
        <v>2</v>
      </c>
    </row>
    <row r="144" spans="1:12" s="36" customFormat="1" x14ac:dyDescent="0.25">
      <c r="A144" s="76" t="s">
        <v>192</v>
      </c>
      <c r="B144" s="76" t="str">
        <f t="shared" si="11"/>
        <v>K3</v>
      </c>
      <c r="C144" s="542" t="s">
        <v>196</v>
      </c>
      <c r="D144" s="77" t="s">
        <v>108</v>
      </c>
      <c r="E144" s="69" t="s">
        <v>46</v>
      </c>
      <c r="F144" s="546">
        <v>100</v>
      </c>
      <c r="G144" s="546">
        <v>100</v>
      </c>
      <c r="H144" s="546">
        <v>100</v>
      </c>
      <c r="I144" s="546">
        <v>100</v>
      </c>
      <c r="J144" s="207"/>
      <c r="K144" s="26" t="s">
        <v>194</v>
      </c>
      <c r="L144" s="26">
        <f>L143+1</f>
        <v>3</v>
      </c>
    </row>
    <row r="145" spans="1:12" s="36" customFormat="1" x14ac:dyDescent="0.25">
      <c r="A145" s="76" t="s">
        <v>192</v>
      </c>
      <c r="B145" s="76" t="str">
        <f t="shared" si="11"/>
        <v>K4</v>
      </c>
      <c r="C145" s="542" t="s">
        <v>197</v>
      </c>
      <c r="D145" s="77" t="s">
        <v>108</v>
      </c>
      <c r="E145" s="69" t="s">
        <v>46</v>
      </c>
      <c r="F145" s="546">
        <v>-100</v>
      </c>
      <c r="G145" s="546">
        <v>-100</v>
      </c>
      <c r="H145" s="546">
        <v>-100</v>
      </c>
      <c r="I145" s="546">
        <v>-100</v>
      </c>
      <c r="J145" s="207"/>
      <c r="K145" s="26" t="s">
        <v>194</v>
      </c>
      <c r="L145" s="26">
        <f>L144+1</f>
        <v>4</v>
      </c>
    </row>
    <row r="146" spans="1:12" s="36" customFormat="1" x14ac:dyDescent="0.25">
      <c r="A146" s="76"/>
      <c r="B146" s="76" t="str">
        <f t="shared" si="11"/>
        <v/>
      </c>
      <c r="C146" s="385" t="s">
        <v>198</v>
      </c>
      <c r="D146" s="77"/>
      <c r="E146" s="69"/>
      <c r="F146" s="546"/>
      <c r="G146" s="546"/>
      <c r="H146" s="546"/>
      <c r="I146" s="546"/>
      <c r="J146" s="207"/>
      <c r="K146" s="26" t="s">
        <v>194</v>
      </c>
      <c r="L146" s="26"/>
    </row>
    <row r="147" spans="1:12" s="36" customFormat="1" x14ac:dyDescent="0.25">
      <c r="A147" s="76" t="s">
        <v>192</v>
      </c>
      <c r="B147" s="76" t="str">
        <f t="shared" si="11"/>
        <v>K5</v>
      </c>
      <c r="C147" s="559" t="s">
        <v>199</v>
      </c>
      <c r="D147" s="70" t="s">
        <v>105</v>
      </c>
      <c r="E147" s="69" t="s">
        <v>98</v>
      </c>
      <c r="F147" s="552">
        <v>0</v>
      </c>
      <c r="G147" s="552">
        <v>50</v>
      </c>
      <c r="H147" s="552">
        <v>50</v>
      </c>
      <c r="I147" s="552">
        <v>50</v>
      </c>
      <c r="J147" s="411" t="s">
        <v>200</v>
      </c>
      <c r="K147" s="26" t="s">
        <v>194</v>
      </c>
      <c r="L147" s="26">
        <v>5</v>
      </c>
    </row>
    <row r="148" spans="1:12" s="36" customFormat="1" x14ac:dyDescent="0.25">
      <c r="A148" s="76" t="s">
        <v>192</v>
      </c>
      <c r="B148" s="76" t="str">
        <f t="shared" si="11"/>
        <v>K6</v>
      </c>
      <c r="C148" s="559" t="s">
        <v>201</v>
      </c>
      <c r="D148" s="70" t="s">
        <v>105</v>
      </c>
      <c r="E148" s="69" t="s">
        <v>98</v>
      </c>
      <c r="F148" s="536">
        <v>460</v>
      </c>
      <c r="G148" s="536">
        <v>460</v>
      </c>
      <c r="H148" s="536">
        <v>460</v>
      </c>
      <c r="I148" s="536">
        <v>460</v>
      </c>
      <c r="J148" s="486" t="s">
        <v>202</v>
      </c>
      <c r="K148" s="26" t="s">
        <v>194</v>
      </c>
      <c r="L148" s="26">
        <f>L147+1</f>
        <v>6</v>
      </c>
    </row>
    <row r="149" spans="1:12" s="36" customFormat="1" x14ac:dyDescent="0.25">
      <c r="A149" s="76" t="s">
        <v>192</v>
      </c>
      <c r="B149" s="76" t="str">
        <f t="shared" si="11"/>
        <v>K7</v>
      </c>
      <c r="C149" s="602" t="s">
        <v>742</v>
      </c>
      <c r="D149" s="603" t="s">
        <v>108</v>
      </c>
      <c r="E149" s="604" t="s">
        <v>46</v>
      </c>
      <c r="F149" s="605">
        <v>165</v>
      </c>
      <c r="G149" s="605">
        <v>165</v>
      </c>
      <c r="H149" s="605">
        <v>165</v>
      </c>
      <c r="I149" s="605">
        <v>165</v>
      </c>
      <c r="J149" s="486" t="s">
        <v>741</v>
      </c>
      <c r="K149" s="26" t="s">
        <v>194</v>
      </c>
      <c r="L149" s="26">
        <f>L148+1</f>
        <v>7</v>
      </c>
    </row>
    <row r="150" spans="1:12" s="36" customFormat="1" x14ac:dyDescent="0.25">
      <c r="A150" s="76"/>
      <c r="B150" s="76"/>
      <c r="C150" s="80"/>
      <c r="D150" s="70"/>
      <c r="E150" s="69"/>
      <c r="F150" s="552"/>
      <c r="G150" s="552"/>
      <c r="H150" s="552"/>
      <c r="I150" s="552"/>
      <c r="J150" s="207"/>
      <c r="K150" s="26" t="s">
        <v>194</v>
      </c>
      <c r="L150" s="26">
        <f>L149+1</f>
        <v>8</v>
      </c>
    </row>
    <row r="151" spans="1:12" s="36" customFormat="1" x14ac:dyDescent="0.25">
      <c r="A151" s="41"/>
      <c r="B151" s="41" t="s">
        <v>152</v>
      </c>
      <c r="C151" s="3" t="s">
        <v>203</v>
      </c>
      <c r="D151" s="50"/>
      <c r="E151" s="50"/>
      <c r="F151" s="549">
        <f>SUMIF($A:$A,"KuN",F:F)</f>
        <v>525</v>
      </c>
      <c r="G151" s="549">
        <f>SUMIF($A:$A,"KuN",G:G)</f>
        <v>475</v>
      </c>
      <c r="H151" s="549">
        <f>SUMIF($A:$A,"KuN",H:H)</f>
        <v>375</v>
      </c>
      <c r="I151" s="549">
        <f>SUMIF($A:$A,"KuN",I:I)</f>
        <v>375</v>
      </c>
      <c r="J151" s="560"/>
      <c r="K151" s="335"/>
      <c r="L151" s="335"/>
    </row>
    <row r="152" spans="1:12" s="36" customFormat="1" x14ac:dyDescent="0.25">
      <c r="A152" s="45"/>
      <c r="B152" s="45"/>
      <c r="C152" s="9"/>
      <c r="D152" s="47"/>
      <c r="E152" s="47"/>
      <c r="F152" s="550"/>
      <c r="G152" s="550"/>
      <c r="H152" s="550"/>
      <c r="I152" s="550"/>
      <c r="J152" s="560"/>
      <c r="K152" s="26"/>
      <c r="L152" s="26"/>
    </row>
    <row r="153" spans="1:12" s="36" customFormat="1" x14ac:dyDescent="0.25">
      <c r="A153" s="46"/>
      <c r="B153" s="46"/>
      <c r="C153" s="246" t="s">
        <v>204</v>
      </c>
      <c r="D153" s="81"/>
      <c r="E153" s="69"/>
      <c r="F153" s="4">
        <f>F141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560"/>
      <c r="K153" s="335"/>
      <c r="L153" s="335"/>
    </row>
    <row r="154" spans="1:12" s="36" customFormat="1" x14ac:dyDescent="0.25">
      <c r="A154" s="76"/>
      <c r="B154" s="76"/>
      <c r="C154" s="561"/>
      <c r="D154" s="70"/>
      <c r="E154" s="69"/>
      <c r="F154" s="553"/>
      <c r="G154" s="553"/>
      <c r="H154" s="553"/>
      <c r="I154" s="553"/>
      <c r="J154" s="560"/>
      <c r="K154" s="26"/>
      <c r="L154" s="26"/>
    </row>
    <row r="155" spans="1:12" s="36" customFormat="1" x14ac:dyDescent="0.25">
      <c r="A155" s="46"/>
      <c r="B155" s="76" t="str">
        <f t="shared" ref="B155:B180" si="12">IF(L155,K155&amp;L155,"")</f>
        <v/>
      </c>
      <c r="C155" s="206" t="s">
        <v>205</v>
      </c>
      <c r="D155" s="81"/>
      <c r="E155" s="69"/>
      <c r="F155" s="4">
        <f>F153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560"/>
      <c r="K155" s="335"/>
      <c r="L155" s="335"/>
    </row>
    <row r="156" spans="1:12" s="36" customFormat="1" x14ac:dyDescent="0.25">
      <c r="A156" s="76" t="s">
        <v>206</v>
      </c>
      <c r="B156" s="76" t="str">
        <f t="shared" si="12"/>
        <v>T1</v>
      </c>
      <c r="C156" s="542" t="s">
        <v>207</v>
      </c>
      <c r="D156" s="70" t="s">
        <v>108</v>
      </c>
      <c r="E156" s="69" t="s">
        <v>46</v>
      </c>
      <c r="F156" s="553">
        <v>500</v>
      </c>
      <c r="G156" s="553">
        <v>500</v>
      </c>
      <c r="H156" s="553">
        <v>500</v>
      </c>
      <c r="I156" s="553">
        <v>500</v>
      </c>
      <c r="J156" s="91" t="s">
        <v>143</v>
      </c>
      <c r="K156" s="26" t="s">
        <v>208</v>
      </c>
      <c r="L156" s="26">
        <v>1</v>
      </c>
    </row>
    <row r="157" spans="1:12" s="36" customFormat="1" ht="25.5" x14ac:dyDescent="0.25">
      <c r="A157" s="76" t="s">
        <v>206</v>
      </c>
      <c r="B157" s="76" t="str">
        <f t="shared" si="12"/>
        <v>T2</v>
      </c>
      <c r="C157" s="542" t="s">
        <v>209</v>
      </c>
      <c r="D157" s="70" t="s">
        <v>108</v>
      </c>
      <c r="E157" s="69" t="s">
        <v>46</v>
      </c>
      <c r="F157" s="553">
        <v>700</v>
      </c>
      <c r="G157" s="553">
        <v>700</v>
      </c>
      <c r="H157" s="553">
        <v>700</v>
      </c>
      <c r="I157" s="553">
        <v>700</v>
      </c>
      <c r="J157" s="91" t="s">
        <v>210</v>
      </c>
      <c r="K157" s="26" t="s">
        <v>208</v>
      </c>
      <c r="L157" s="26">
        <f>L156+1</f>
        <v>2</v>
      </c>
    </row>
    <row r="158" spans="1:12" s="36" customFormat="1" x14ac:dyDescent="0.25">
      <c r="A158" s="76" t="s">
        <v>206</v>
      </c>
      <c r="B158" s="76" t="str">
        <f t="shared" si="12"/>
        <v>T3</v>
      </c>
      <c r="C158" s="542" t="s">
        <v>211</v>
      </c>
      <c r="D158" s="70" t="s">
        <v>108</v>
      </c>
      <c r="E158" s="69" t="s">
        <v>46</v>
      </c>
      <c r="F158" s="553">
        <f>6500-5000</f>
        <v>1500</v>
      </c>
      <c r="G158" s="553">
        <f>8000-5000</f>
        <v>3000</v>
      </c>
      <c r="H158" s="553">
        <f>9000-5000</f>
        <v>4000</v>
      </c>
      <c r="I158" s="553">
        <f>9000-5000</f>
        <v>4000</v>
      </c>
      <c r="J158" s="91" t="s">
        <v>212</v>
      </c>
      <c r="K158" s="26" t="s">
        <v>208</v>
      </c>
      <c r="L158" s="26">
        <f>L157+1</f>
        <v>3</v>
      </c>
    </row>
    <row r="159" spans="1:12" s="36" customFormat="1" ht="25.5" x14ac:dyDescent="0.25">
      <c r="A159" s="76" t="s">
        <v>206</v>
      </c>
      <c r="B159" s="76" t="str">
        <f t="shared" si="12"/>
        <v>T4</v>
      </c>
      <c r="C159" s="542" t="s">
        <v>213</v>
      </c>
      <c r="D159" s="70" t="s">
        <v>108</v>
      </c>
      <c r="E159" s="69" t="s">
        <v>46</v>
      </c>
      <c r="F159" s="553">
        <v>250</v>
      </c>
      <c r="G159" s="553">
        <v>300</v>
      </c>
      <c r="H159" s="553">
        <v>350</v>
      </c>
      <c r="I159" s="553">
        <v>400</v>
      </c>
      <c r="J159" s="91" t="s">
        <v>214</v>
      </c>
      <c r="K159" s="26" t="s">
        <v>208</v>
      </c>
      <c r="L159" s="26">
        <f>L158+1</f>
        <v>4</v>
      </c>
    </row>
    <row r="160" spans="1:12" s="36" customFormat="1" ht="56.25" x14ac:dyDescent="0.25">
      <c r="A160" s="76" t="s">
        <v>206</v>
      </c>
      <c r="B160" s="76" t="str">
        <f t="shared" si="12"/>
        <v>T5</v>
      </c>
      <c r="C160" t="s">
        <v>215</v>
      </c>
      <c r="D160" s="70" t="s">
        <v>108</v>
      </c>
      <c r="E160" s="69" t="s">
        <v>46</v>
      </c>
      <c r="F160" s="553">
        <v>500</v>
      </c>
      <c r="G160" s="553">
        <v>500</v>
      </c>
      <c r="H160" s="553">
        <v>500</v>
      </c>
      <c r="I160" s="553">
        <v>500</v>
      </c>
      <c r="J160" s="437" t="s">
        <v>216</v>
      </c>
      <c r="K160" s="26" t="s">
        <v>208</v>
      </c>
      <c r="L160" s="26">
        <v>5</v>
      </c>
    </row>
    <row r="161" spans="1:12" s="36" customFormat="1" x14ac:dyDescent="0.25">
      <c r="A161" s="76"/>
      <c r="B161" s="76" t="str">
        <f t="shared" si="12"/>
        <v/>
      </c>
      <c r="C161" s="542"/>
      <c r="D161" s="70"/>
      <c r="E161" s="69"/>
      <c r="F161" s="553"/>
      <c r="G161" s="553"/>
      <c r="H161" s="553"/>
      <c r="I161" s="553"/>
      <c r="J161" s="91"/>
      <c r="K161" s="26"/>
      <c r="L161" s="26"/>
    </row>
    <row r="162" spans="1:12" s="36" customFormat="1" x14ac:dyDescent="0.25">
      <c r="A162" s="76"/>
      <c r="B162" s="76" t="str">
        <f t="shared" si="12"/>
        <v/>
      </c>
      <c r="C162" s="206" t="s">
        <v>217</v>
      </c>
      <c r="D162" s="70"/>
      <c r="E162" s="69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560"/>
      <c r="K162" s="335"/>
      <c r="L162" s="335"/>
    </row>
    <row r="163" spans="1:12" s="36" customFormat="1" x14ac:dyDescent="0.25">
      <c r="A163" s="76" t="s">
        <v>206</v>
      </c>
      <c r="B163" s="76" t="str">
        <f t="shared" si="12"/>
        <v>T6</v>
      </c>
      <c r="C163" s="561" t="s">
        <v>218</v>
      </c>
      <c r="D163" s="70" t="s">
        <v>105</v>
      </c>
      <c r="E163" s="69" t="s">
        <v>98</v>
      </c>
      <c r="F163" s="553"/>
      <c r="G163" s="553">
        <v>-450</v>
      </c>
      <c r="H163" s="553">
        <v>-450</v>
      </c>
      <c r="I163" s="553">
        <v>-450</v>
      </c>
      <c r="J163" s="560" t="s">
        <v>219</v>
      </c>
      <c r="K163" s="26" t="s">
        <v>208</v>
      </c>
      <c r="L163" s="26">
        <f>L160+1</f>
        <v>6</v>
      </c>
    </row>
    <row r="164" spans="1:12" s="36" customFormat="1" x14ac:dyDescent="0.25">
      <c r="A164" s="76"/>
      <c r="B164" s="76" t="str">
        <f t="shared" si="12"/>
        <v/>
      </c>
      <c r="C164" s="561"/>
      <c r="D164" s="70"/>
      <c r="E164" s="69"/>
      <c r="F164" s="553"/>
      <c r="G164" s="553"/>
      <c r="H164" s="553"/>
      <c r="I164" s="553"/>
      <c r="J164" s="560"/>
      <c r="K164" s="26"/>
      <c r="L164" s="26"/>
    </row>
    <row r="165" spans="1:12" s="36" customFormat="1" x14ac:dyDescent="0.25">
      <c r="A165" s="76"/>
      <c r="B165" s="76" t="str">
        <f t="shared" si="12"/>
        <v/>
      </c>
      <c r="C165" s="206" t="s">
        <v>220</v>
      </c>
      <c r="D165" s="70"/>
      <c r="E165" s="69"/>
      <c r="F165" s="4">
        <f>F162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560"/>
      <c r="K165" s="335"/>
      <c r="L165" s="335"/>
    </row>
    <row r="166" spans="1:12" s="36" customFormat="1" x14ac:dyDescent="0.25">
      <c r="A166" s="43" t="s">
        <v>206</v>
      </c>
      <c r="B166" s="76" t="str">
        <f t="shared" si="12"/>
        <v>T7</v>
      </c>
      <c r="C166" s="542" t="s">
        <v>221</v>
      </c>
      <c r="D166" s="70" t="s">
        <v>105</v>
      </c>
      <c r="E166" s="69" t="s">
        <v>98</v>
      </c>
      <c r="F166" s="553">
        <v>0</v>
      </c>
      <c r="G166" s="553">
        <v>-350</v>
      </c>
      <c r="H166" s="553">
        <v>-350</v>
      </c>
      <c r="I166" s="553">
        <v>-350</v>
      </c>
      <c r="J166" s="560"/>
      <c r="K166" s="26" t="s">
        <v>208</v>
      </c>
      <c r="L166" s="26">
        <f>+L163+1</f>
        <v>7</v>
      </c>
    </row>
    <row r="167" spans="1:12" s="36" customFormat="1" ht="25.5" x14ac:dyDescent="0.25">
      <c r="A167" s="43" t="s">
        <v>206</v>
      </c>
      <c r="B167" s="76" t="str">
        <f t="shared" si="12"/>
        <v>T8</v>
      </c>
      <c r="C167" s="542" t="s">
        <v>222</v>
      </c>
      <c r="D167" s="70" t="s">
        <v>105</v>
      </c>
      <c r="E167" s="69" t="s">
        <v>98</v>
      </c>
      <c r="F167" s="553">
        <v>0</v>
      </c>
      <c r="G167" s="553">
        <v>2500</v>
      </c>
      <c r="H167" s="553">
        <v>2500</v>
      </c>
      <c r="I167" s="553">
        <v>2500</v>
      </c>
      <c r="J167" s="560"/>
      <c r="K167" s="26" t="s">
        <v>208</v>
      </c>
      <c r="L167" s="26">
        <f t="shared" ref="L167:L176" si="13">+L166+1</f>
        <v>8</v>
      </c>
    </row>
    <row r="168" spans="1:12" s="36" customFormat="1" x14ac:dyDescent="0.25">
      <c r="A168" s="43" t="s">
        <v>206</v>
      </c>
      <c r="B168" s="76" t="str">
        <f t="shared" si="12"/>
        <v>T9</v>
      </c>
      <c r="C168" s="542" t="s">
        <v>223</v>
      </c>
      <c r="D168" s="70" t="s">
        <v>105</v>
      </c>
      <c r="E168" s="69" t="s">
        <v>98</v>
      </c>
      <c r="F168" s="553">
        <v>0</v>
      </c>
      <c r="G168" s="553">
        <v>-350</v>
      </c>
      <c r="H168" s="553">
        <v>-350</v>
      </c>
      <c r="I168" s="553">
        <v>-350</v>
      </c>
      <c r="J168" s="560"/>
      <c r="K168" s="26" t="s">
        <v>208</v>
      </c>
      <c r="L168" s="26">
        <f t="shared" si="13"/>
        <v>9</v>
      </c>
    </row>
    <row r="169" spans="1:12" s="36" customFormat="1" x14ac:dyDescent="0.25">
      <c r="A169" s="43" t="s">
        <v>206</v>
      </c>
      <c r="B169" s="76" t="str">
        <f t="shared" si="12"/>
        <v>T10</v>
      </c>
      <c r="C169" s="542" t="s">
        <v>224</v>
      </c>
      <c r="D169" s="70" t="s">
        <v>108</v>
      </c>
      <c r="E169" s="69" t="s">
        <v>46</v>
      </c>
      <c r="F169" s="540">
        <v>10</v>
      </c>
      <c r="G169" s="540">
        <v>20</v>
      </c>
      <c r="H169" s="540">
        <v>30</v>
      </c>
      <c r="I169" s="540">
        <v>40</v>
      </c>
      <c r="J169" s="207" t="s">
        <v>225</v>
      </c>
      <c r="K169" s="26" t="s">
        <v>208</v>
      </c>
      <c r="L169" s="26">
        <f t="shared" si="13"/>
        <v>10</v>
      </c>
    </row>
    <row r="170" spans="1:12" s="36" customFormat="1" x14ac:dyDescent="0.25">
      <c r="A170" s="43" t="s">
        <v>206</v>
      </c>
      <c r="B170" s="76" t="str">
        <f t="shared" si="12"/>
        <v>T11</v>
      </c>
      <c r="C170" s="542" t="s">
        <v>226</v>
      </c>
      <c r="D170" s="70" t="s">
        <v>108</v>
      </c>
      <c r="E170" s="69" t="s">
        <v>46</v>
      </c>
      <c r="F170" s="540">
        <v>1300</v>
      </c>
      <c r="G170" s="540">
        <v>1300</v>
      </c>
      <c r="H170" s="540">
        <v>1300</v>
      </c>
      <c r="I170" s="540">
        <v>1300</v>
      </c>
      <c r="J170" s="91" t="s">
        <v>143</v>
      </c>
      <c r="K170" s="26" t="s">
        <v>208</v>
      </c>
      <c r="L170" s="26">
        <f t="shared" si="13"/>
        <v>11</v>
      </c>
    </row>
    <row r="171" spans="1:12" s="36" customFormat="1" x14ac:dyDescent="0.25">
      <c r="A171" s="43" t="s">
        <v>206</v>
      </c>
      <c r="B171" s="76" t="str">
        <f t="shared" si="12"/>
        <v>T12</v>
      </c>
      <c r="C171" s="542" t="s">
        <v>227</v>
      </c>
      <c r="D171" s="70" t="s">
        <v>108</v>
      </c>
      <c r="E171" s="69" t="s">
        <v>46</v>
      </c>
      <c r="F171" s="540">
        <v>400</v>
      </c>
      <c r="G171" s="540">
        <v>400</v>
      </c>
      <c r="H171" s="540">
        <v>400</v>
      </c>
      <c r="I171" s="540">
        <v>400</v>
      </c>
      <c r="J171" s="91" t="s">
        <v>143</v>
      </c>
      <c r="K171" s="26" t="s">
        <v>208</v>
      </c>
      <c r="L171" s="26">
        <f t="shared" si="13"/>
        <v>12</v>
      </c>
    </row>
    <row r="172" spans="1:12" s="36" customFormat="1" x14ac:dyDescent="0.25">
      <c r="A172" s="43" t="s">
        <v>206</v>
      </c>
      <c r="B172" s="76" t="str">
        <f t="shared" si="12"/>
        <v>T13</v>
      </c>
      <c r="C172" s="542" t="s">
        <v>228</v>
      </c>
      <c r="D172" s="70" t="s">
        <v>108</v>
      </c>
      <c r="E172" s="69" t="s">
        <v>46</v>
      </c>
      <c r="F172" s="540">
        <v>585</v>
      </c>
      <c r="G172" s="540">
        <v>585</v>
      </c>
      <c r="H172" s="540">
        <v>585</v>
      </c>
      <c r="I172" s="540">
        <v>585</v>
      </c>
      <c r="J172" s="91" t="s">
        <v>143</v>
      </c>
      <c r="K172" s="26" t="s">
        <v>208</v>
      </c>
      <c r="L172" s="26">
        <f t="shared" si="13"/>
        <v>13</v>
      </c>
    </row>
    <row r="173" spans="1:12" s="36" customFormat="1" ht="33.75" x14ac:dyDescent="0.25">
      <c r="A173" s="43" t="s">
        <v>206</v>
      </c>
      <c r="B173" s="76" t="str">
        <f t="shared" si="12"/>
        <v>T14</v>
      </c>
      <c r="C173" s="542" t="s">
        <v>229</v>
      </c>
      <c r="D173" s="77" t="s">
        <v>108</v>
      </c>
      <c r="E173" s="69" t="s">
        <v>46</v>
      </c>
      <c r="F173" s="540">
        <v>700</v>
      </c>
      <c r="G173" s="540">
        <v>700</v>
      </c>
      <c r="H173" s="540">
        <v>700</v>
      </c>
      <c r="I173" s="540">
        <v>700</v>
      </c>
      <c r="J173" s="411" t="s">
        <v>230</v>
      </c>
      <c r="K173" s="26" t="s">
        <v>208</v>
      </c>
      <c r="L173" s="26">
        <f t="shared" si="13"/>
        <v>14</v>
      </c>
    </row>
    <row r="174" spans="1:12" s="36" customFormat="1" ht="22.5" x14ac:dyDescent="0.25">
      <c r="A174" s="43" t="s">
        <v>206</v>
      </c>
      <c r="B174" s="76" t="str">
        <f t="shared" si="12"/>
        <v>T15</v>
      </c>
      <c r="C174" s="542" t="s">
        <v>735</v>
      </c>
      <c r="D174" s="70" t="s">
        <v>108</v>
      </c>
      <c r="E174" s="69" t="s">
        <v>46</v>
      </c>
      <c r="F174" s="540">
        <v>300</v>
      </c>
      <c r="G174" s="540">
        <v>300</v>
      </c>
      <c r="H174" s="540"/>
      <c r="I174" s="540"/>
      <c r="J174" s="480" t="s">
        <v>232</v>
      </c>
      <c r="K174" s="26" t="s">
        <v>208</v>
      </c>
      <c r="L174" s="26">
        <f t="shared" si="13"/>
        <v>15</v>
      </c>
    </row>
    <row r="175" spans="1:12" s="36" customFormat="1" ht="22.5" x14ac:dyDescent="0.25">
      <c r="A175" s="43" t="s">
        <v>206</v>
      </c>
      <c r="B175" s="76" t="str">
        <f t="shared" si="12"/>
        <v>T16</v>
      </c>
      <c r="C175" t="s">
        <v>233</v>
      </c>
      <c r="D175" s="70" t="s">
        <v>108</v>
      </c>
      <c r="E175" s="69" t="s">
        <v>46</v>
      </c>
      <c r="F175" s="540">
        <v>500</v>
      </c>
      <c r="G175" s="540">
        <v>500</v>
      </c>
      <c r="H175" s="540"/>
      <c r="I175" s="540"/>
      <c r="J175" s="480" t="s">
        <v>234</v>
      </c>
      <c r="K175" s="26" t="s">
        <v>208</v>
      </c>
      <c r="L175" s="26">
        <f t="shared" si="13"/>
        <v>16</v>
      </c>
    </row>
    <row r="176" spans="1:12" s="36" customFormat="1" x14ac:dyDescent="0.25">
      <c r="A176" s="43" t="s">
        <v>206</v>
      </c>
      <c r="B176" s="76" t="str">
        <f t="shared" si="12"/>
        <v>T17</v>
      </c>
      <c r="C176" s="542" t="s">
        <v>235</v>
      </c>
      <c r="D176" s="70" t="s">
        <v>97</v>
      </c>
      <c r="E176" s="69" t="s">
        <v>98</v>
      </c>
      <c r="F176" s="541">
        <v>3300</v>
      </c>
      <c r="G176" s="541">
        <v>3300</v>
      </c>
      <c r="H176" s="541">
        <v>3300</v>
      </c>
      <c r="I176" s="541">
        <v>3300</v>
      </c>
      <c r="J176" s="485" t="s">
        <v>149</v>
      </c>
      <c r="K176" s="26" t="s">
        <v>208</v>
      </c>
      <c r="L176" s="26">
        <f t="shared" si="13"/>
        <v>17</v>
      </c>
    </row>
    <row r="177" spans="1:12" s="36" customFormat="1" x14ac:dyDescent="0.2">
      <c r="A177" s="43"/>
      <c r="B177" s="76" t="str">
        <f t="shared" si="12"/>
        <v/>
      </c>
      <c r="C177" s="562"/>
      <c r="D177" s="70"/>
      <c r="E177" s="69"/>
      <c r="F177" s="553"/>
      <c r="G177" s="553"/>
      <c r="H177" s="553"/>
      <c r="I177" s="553"/>
      <c r="J177" s="560"/>
      <c r="K177" s="26"/>
      <c r="L177" s="26"/>
    </row>
    <row r="178" spans="1:12" s="36" customFormat="1" x14ac:dyDescent="0.25">
      <c r="A178" s="43"/>
      <c r="B178" s="76" t="str">
        <f t="shared" si="12"/>
        <v/>
      </c>
      <c r="C178" s="206" t="s">
        <v>236</v>
      </c>
      <c r="D178" s="70"/>
      <c r="E178" s="69"/>
      <c r="F178" s="553"/>
      <c r="G178" s="553"/>
      <c r="H178" s="553"/>
      <c r="I178" s="553"/>
      <c r="J178" s="560"/>
      <c r="K178" s="26"/>
      <c r="L178" s="26"/>
    </row>
    <row r="179" spans="1:12" s="36" customFormat="1" x14ac:dyDescent="0.25">
      <c r="A179" s="43" t="s">
        <v>206</v>
      </c>
      <c r="B179" s="76" t="str">
        <f t="shared" si="12"/>
        <v>T18</v>
      </c>
      <c r="C179" s="563" t="s">
        <v>237</v>
      </c>
      <c r="D179" s="70" t="s">
        <v>108</v>
      </c>
      <c r="E179" s="69" t="s">
        <v>46</v>
      </c>
      <c r="F179" s="553">
        <v>60</v>
      </c>
      <c r="G179" s="553">
        <v>60</v>
      </c>
      <c r="H179" s="553">
        <v>60</v>
      </c>
      <c r="I179" s="553">
        <v>60</v>
      </c>
      <c r="J179" s="91" t="s">
        <v>143</v>
      </c>
      <c r="K179" s="26" t="s">
        <v>208</v>
      </c>
      <c r="L179" s="26">
        <f>L176+1</f>
        <v>18</v>
      </c>
    </row>
    <row r="180" spans="1:12" s="36" customFormat="1" x14ac:dyDescent="0.25">
      <c r="A180" s="43" t="s">
        <v>206</v>
      </c>
      <c r="B180" s="76" t="str">
        <f t="shared" si="12"/>
        <v/>
      </c>
      <c r="C180" s="542"/>
      <c r="D180" s="70" t="s">
        <v>108</v>
      </c>
      <c r="E180" s="69"/>
      <c r="F180" s="553"/>
      <c r="G180" s="553"/>
      <c r="H180" s="553"/>
      <c r="I180" s="553"/>
      <c r="J180" s="560"/>
      <c r="K180" s="26"/>
      <c r="L180" s="26"/>
    </row>
    <row r="181" spans="1:12" s="36" customFormat="1" x14ac:dyDescent="0.25">
      <c r="A181" s="41"/>
      <c r="B181" s="41" t="s">
        <v>152</v>
      </c>
      <c r="C181" s="3" t="s">
        <v>238</v>
      </c>
      <c r="D181" s="50"/>
      <c r="E181" s="50"/>
      <c r="F181" s="549">
        <f>SUMIF($A:$A,"byte",F:F)</f>
        <v>10605</v>
      </c>
      <c r="G181" s="549">
        <f>SUMIF($A:$A,"byte",G:G)</f>
        <v>13515</v>
      </c>
      <c r="H181" s="549">
        <f>SUMIF($A:$A,"byte",H:H)</f>
        <v>13775</v>
      </c>
      <c r="I181" s="549">
        <f>SUMIF($A:$A,"byte",I:I)</f>
        <v>13835</v>
      </c>
      <c r="J181" s="560"/>
      <c r="K181" s="335"/>
      <c r="L181" s="335"/>
    </row>
    <row r="182" spans="1:12" s="36" customFormat="1" x14ac:dyDescent="0.25">
      <c r="A182"/>
      <c r="B182"/>
      <c r="C182"/>
      <c r="D182"/>
      <c r="E182"/>
      <c r="F182"/>
      <c r="G182"/>
      <c r="H182"/>
      <c r="I182"/>
      <c r="J182" s="560"/>
      <c r="K182" s="26"/>
      <c r="L182" s="26"/>
    </row>
    <row r="183" spans="1:12" s="36" customFormat="1" x14ac:dyDescent="0.25">
      <c r="A183" s="76"/>
      <c r="B183" s="76"/>
      <c r="C183" s="206" t="s">
        <v>12</v>
      </c>
      <c r="D183" s="70"/>
      <c r="E183" s="69"/>
      <c r="F183" s="4">
        <f>F165</f>
        <v>2022</v>
      </c>
      <c r="G183" s="4">
        <f>F183+1</f>
        <v>2023</v>
      </c>
      <c r="H183" s="4">
        <f>G183+1</f>
        <v>2024</v>
      </c>
      <c r="I183" s="4">
        <f>H183+1</f>
        <v>2025</v>
      </c>
      <c r="J183" s="560"/>
      <c r="K183" s="335"/>
      <c r="L183" s="335"/>
    </row>
    <row r="184" spans="1:12" s="36" customFormat="1" x14ac:dyDescent="0.25">
      <c r="A184" s="76" t="s">
        <v>6</v>
      </c>
      <c r="B184" s="76" t="str">
        <f>IF(L184,K184&amp;L184,"")</f>
        <v>O1</v>
      </c>
      <c r="C184" s="563" t="s">
        <v>239</v>
      </c>
      <c r="D184" s="70" t="s">
        <v>105</v>
      </c>
      <c r="E184" s="69" t="s">
        <v>98</v>
      </c>
      <c r="F184" s="552">
        <v>0</v>
      </c>
      <c r="G184" s="552">
        <v>-800</v>
      </c>
      <c r="H184" s="552">
        <v>-800</v>
      </c>
      <c r="I184" s="552">
        <v>-800</v>
      </c>
      <c r="J184" s="560"/>
      <c r="K184" s="26" t="s">
        <v>240</v>
      </c>
      <c r="L184" s="26">
        <v>1</v>
      </c>
    </row>
    <row r="185" spans="1:12" s="36" customFormat="1" x14ac:dyDescent="0.25">
      <c r="A185" s="76" t="s">
        <v>6</v>
      </c>
      <c r="B185" s="76" t="str">
        <f>IF(L185,K185&amp;L185,"")</f>
        <v>O2</v>
      </c>
      <c r="C185" s="563" t="s">
        <v>241</v>
      </c>
      <c r="D185" s="70" t="s">
        <v>108</v>
      </c>
      <c r="E185" s="69" t="s">
        <v>46</v>
      </c>
      <c r="F185" s="564"/>
      <c r="G185" s="564">
        <v>5000</v>
      </c>
      <c r="H185" s="564">
        <v>10000</v>
      </c>
      <c r="I185" s="564">
        <v>15000</v>
      </c>
      <c r="J185" s="565"/>
      <c r="K185" s="26" t="s">
        <v>240</v>
      </c>
      <c r="L185" s="26">
        <f>L184+1</f>
        <v>2</v>
      </c>
    </row>
    <row r="186" spans="1:12" s="36" customFormat="1" x14ac:dyDescent="0.25">
      <c r="A186" s="76" t="s">
        <v>6</v>
      </c>
      <c r="B186" s="76" t="str">
        <f>IF(L186,K186&amp;L186,"")</f>
        <v>O3</v>
      </c>
      <c r="C186" s="563" t="s">
        <v>243</v>
      </c>
      <c r="D186" s="70" t="s">
        <v>108</v>
      </c>
      <c r="E186" s="69" t="s">
        <v>46</v>
      </c>
      <c r="F186" s="564">
        <v>220</v>
      </c>
      <c r="G186" s="564">
        <v>220</v>
      </c>
      <c r="H186" s="564">
        <v>220</v>
      </c>
      <c r="I186" s="564">
        <v>220</v>
      </c>
      <c r="J186" s="560"/>
      <c r="K186" s="26" t="s">
        <v>240</v>
      </c>
      <c r="L186" s="26">
        <f>L185+1</f>
        <v>3</v>
      </c>
    </row>
    <row r="187" spans="1:12" s="36" customFormat="1" x14ac:dyDescent="0.25">
      <c r="A187" s="76" t="s">
        <v>6</v>
      </c>
      <c r="B187" s="76" t="str">
        <f>IF(L187,K187&amp;L187,"")</f>
        <v>O4</v>
      </c>
      <c r="C187" s="563" t="s">
        <v>244</v>
      </c>
      <c r="D187" s="70" t="s">
        <v>108</v>
      </c>
      <c r="E187" s="69" t="s">
        <v>46</v>
      </c>
      <c r="F187" s="564">
        <v>12600</v>
      </c>
      <c r="G187" s="564">
        <v>14300</v>
      </c>
      <c r="H187" s="564">
        <v>7900</v>
      </c>
      <c r="I187" s="564">
        <v>7900</v>
      </c>
      <c r="J187" s="560"/>
      <c r="K187" s="36" t="s">
        <v>240</v>
      </c>
      <c r="L187" s="26">
        <f>L186+1</f>
        <v>4</v>
      </c>
    </row>
    <row r="188" spans="1:12" s="36" customFormat="1" x14ac:dyDescent="0.25">
      <c r="A188" s="76" t="s">
        <v>6</v>
      </c>
      <c r="B188" s="76" t="str">
        <f>IF(L188,K188&amp;L188,"")</f>
        <v>O5</v>
      </c>
      <c r="C188" s="580" t="s">
        <v>245</v>
      </c>
      <c r="D188" s="402" t="s">
        <v>108</v>
      </c>
      <c r="E188" s="403" t="s">
        <v>46</v>
      </c>
      <c r="F188" s="581">
        <v>750</v>
      </c>
      <c r="G188" s="581">
        <v>750</v>
      </c>
      <c r="H188" s="581">
        <v>750</v>
      </c>
      <c r="I188" s="581">
        <v>750</v>
      </c>
      <c r="J188" s="560"/>
      <c r="K188" s="36" t="s">
        <v>240</v>
      </c>
      <c r="L188" s="26">
        <f>L187+1</f>
        <v>5</v>
      </c>
    </row>
    <row r="189" spans="1:12" s="36" customFormat="1" x14ac:dyDescent="0.25">
      <c r="A189" s="45"/>
      <c r="B189" s="45"/>
      <c r="C189" s="539"/>
      <c r="D189" s="212"/>
      <c r="E189" s="109"/>
      <c r="F189" s="552"/>
      <c r="G189" s="552"/>
      <c r="H189" s="552"/>
      <c r="I189" s="552"/>
      <c r="J189" s="560"/>
    </row>
    <row r="190" spans="1:12" s="36" customFormat="1" x14ac:dyDescent="0.25">
      <c r="A190" s="41"/>
      <c r="B190" s="41" t="s">
        <v>152</v>
      </c>
      <c r="C190" s="3" t="s">
        <v>246</v>
      </c>
      <c r="D190" s="50"/>
      <c r="E190" s="50"/>
      <c r="F190" s="549">
        <f>SUMIF($A:$A,"ORG",F:F)</f>
        <v>13570</v>
      </c>
      <c r="G190" s="549">
        <f>SUMIF($A:$A,"ORG",G:G)</f>
        <v>19470</v>
      </c>
      <c r="H190" s="549">
        <f>SUMIF($A:$A,"ORG",H:H)</f>
        <v>18070</v>
      </c>
      <c r="I190" s="549">
        <f>SUMIF($A:$A,"ORG",I:I)</f>
        <v>23070</v>
      </c>
      <c r="J190" s="560"/>
      <c r="K190" s="335"/>
      <c r="L190" s="335"/>
    </row>
    <row r="191" spans="1:12" s="36" customFormat="1" x14ac:dyDescent="0.25">
      <c r="A191" s="45"/>
      <c r="B191" s="45"/>
      <c r="C191" s="9"/>
      <c r="D191" s="47"/>
      <c r="E191" s="47"/>
      <c r="F191" s="550"/>
      <c r="G191" s="550"/>
      <c r="H191" s="550"/>
      <c r="I191" s="550"/>
      <c r="J191" s="560"/>
      <c r="K191" s="26"/>
      <c r="L191" s="26"/>
    </row>
    <row r="192" spans="1:12" s="36" customFormat="1" x14ac:dyDescent="0.25">
      <c r="A192" s="46"/>
      <c r="B192" s="46"/>
      <c r="C192" s="11" t="s">
        <v>13</v>
      </c>
      <c r="D192" s="48"/>
      <c r="E192" s="59"/>
      <c r="F192" s="4">
        <f>F183</f>
        <v>2022</v>
      </c>
      <c r="G192" s="4">
        <f>F192+1</f>
        <v>2023</v>
      </c>
      <c r="H192" s="4">
        <f>G192+1</f>
        <v>2024</v>
      </c>
      <c r="I192" s="4">
        <f>H192+1</f>
        <v>2025</v>
      </c>
      <c r="J192" s="560"/>
      <c r="K192" s="335"/>
      <c r="L192" s="335"/>
    </row>
    <row r="193" spans="1:12" s="36" customFormat="1" x14ac:dyDescent="0.25">
      <c r="A193" s="43" t="s">
        <v>7</v>
      </c>
      <c r="B193" s="43" t="str">
        <f>IF(L193,K193&amp;L193,"")</f>
        <v>Ø1</v>
      </c>
      <c r="C193" s="344" t="s">
        <v>247</v>
      </c>
      <c r="D193" s="70" t="s">
        <v>105</v>
      </c>
      <c r="E193" s="69" t="s">
        <v>98</v>
      </c>
      <c r="F193" s="552">
        <v>0</v>
      </c>
      <c r="G193" s="552">
        <v>-1300</v>
      </c>
      <c r="H193" s="552">
        <v>-1300</v>
      </c>
      <c r="I193" s="552">
        <v>-1300</v>
      </c>
      <c r="J193" s="565"/>
      <c r="K193" s="26" t="s">
        <v>248</v>
      </c>
      <c r="L193" s="26">
        <v>1</v>
      </c>
    </row>
    <row r="194" spans="1:12" s="36" customFormat="1" x14ac:dyDescent="0.25">
      <c r="A194" s="43" t="s">
        <v>7</v>
      </c>
      <c r="B194" s="43" t="str">
        <f>IF(L194,K194&amp;L194,"")</f>
        <v>Ø2</v>
      </c>
      <c r="C194" s="345" t="s">
        <v>249</v>
      </c>
      <c r="D194" s="70" t="s">
        <v>105</v>
      </c>
      <c r="E194" s="69" t="s">
        <v>98</v>
      </c>
      <c r="F194" s="552">
        <v>0</v>
      </c>
      <c r="G194" s="552">
        <v>1300</v>
      </c>
      <c r="H194" s="552">
        <v>1300</v>
      </c>
      <c r="I194" s="552">
        <v>1300</v>
      </c>
      <c r="J194" s="565"/>
      <c r="K194" s="26" t="s">
        <v>248</v>
      </c>
      <c r="L194" s="26">
        <f>L193+1</f>
        <v>2</v>
      </c>
    </row>
    <row r="195" spans="1:12" s="36" customFormat="1" x14ac:dyDescent="0.25">
      <c r="A195" s="43" t="s">
        <v>7</v>
      </c>
      <c r="B195" s="43" t="str">
        <f>IF(L195,K195&amp;L195,"")</f>
        <v>Ø3</v>
      </c>
      <c r="C195" s="598" t="s">
        <v>748</v>
      </c>
      <c r="D195" s="599" t="s">
        <v>108</v>
      </c>
      <c r="E195" s="600" t="s">
        <v>46</v>
      </c>
      <c r="F195" s="601">
        <v>0</v>
      </c>
      <c r="G195" s="601">
        <v>70</v>
      </c>
      <c r="H195" s="601">
        <v>70</v>
      </c>
      <c r="I195" s="601">
        <v>70</v>
      </c>
      <c r="J195" s="582" t="s">
        <v>749</v>
      </c>
      <c r="K195" s="26" t="s">
        <v>248</v>
      </c>
      <c r="L195" s="26">
        <f>L194+1</f>
        <v>3</v>
      </c>
    </row>
    <row r="196" spans="1:12" s="36" customFormat="1" x14ac:dyDescent="0.25">
      <c r="A196" s="43" t="s">
        <v>7</v>
      </c>
      <c r="B196" s="43" t="str">
        <f>IF(L196,K196&amp;L196,"")</f>
        <v>Ø3</v>
      </c>
      <c r="C196" s="344" t="s">
        <v>250</v>
      </c>
      <c r="D196" s="77" t="s">
        <v>108</v>
      </c>
      <c r="E196" s="69" t="s">
        <v>46</v>
      </c>
      <c r="F196" s="546">
        <v>550</v>
      </c>
      <c r="G196" s="546">
        <v>550</v>
      </c>
      <c r="H196" s="546">
        <v>550</v>
      </c>
      <c r="I196" s="546">
        <v>550</v>
      </c>
      <c r="J196" s="92" t="s">
        <v>251</v>
      </c>
      <c r="K196" s="26" t="s">
        <v>248</v>
      </c>
      <c r="L196" s="26">
        <f>L194+1</f>
        <v>3</v>
      </c>
    </row>
    <row r="197" spans="1:12" s="36" customFormat="1" x14ac:dyDescent="0.25">
      <c r="A197" s="43" t="s">
        <v>7</v>
      </c>
      <c r="B197" s="43" t="str">
        <f>IF(L197,K197&amp;L197,"")</f>
        <v>Ø4</v>
      </c>
      <c r="C197" s="344" t="s">
        <v>252</v>
      </c>
      <c r="D197" s="70" t="s">
        <v>108</v>
      </c>
      <c r="E197" s="69" t="s">
        <v>46</v>
      </c>
      <c r="F197" s="552">
        <v>-600</v>
      </c>
      <c r="G197" s="552">
        <v>-600</v>
      </c>
      <c r="H197" s="552">
        <v>-600</v>
      </c>
      <c r="I197" s="552">
        <v>-600</v>
      </c>
      <c r="J197" s="92" t="s">
        <v>253</v>
      </c>
      <c r="K197" s="26" t="s">
        <v>248</v>
      </c>
      <c r="L197" s="26">
        <f>L196+1</f>
        <v>4</v>
      </c>
    </row>
    <row r="198" spans="1:12" s="36" customFormat="1" x14ac:dyDescent="0.25">
      <c r="A198" s="41"/>
      <c r="B198" s="41" t="s">
        <v>152</v>
      </c>
      <c r="C198" s="3" t="s">
        <v>254</v>
      </c>
      <c r="D198" s="50"/>
      <c r="E198" s="50"/>
      <c r="F198" s="549">
        <f>SUMIF($A:$A,"ØK",F:F)</f>
        <v>-50</v>
      </c>
      <c r="G198" s="549">
        <f>SUMIF($A:$A,"ØK",G:G)</f>
        <v>20</v>
      </c>
      <c r="H198" s="549">
        <f>SUMIF($A:$A,"ØK",H:H)</f>
        <v>20</v>
      </c>
      <c r="I198" s="549">
        <f>SUMIF($A:$A,"ØK",I:I)</f>
        <v>20</v>
      </c>
      <c r="J198" s="560"/>
      <c r="K198" s="335"/>
      <c r="L198" s="335"/>
    </row>
    <row r="199" spans="1:12" s="36" customFormat="1" x14ac:dyDescent="0.25">
      <c r="A199" s="45"/>
      <c r="B199" s="45"/>
      <c r="C199" s="9"/>
      <c r="D199" s="47"/>
      <c r="E199" s="47"/>
      <c r="F199" s="550"/>
      <c r="G199" s="550"/>
      <c r="H199" s="550"/>
      <c r="I199" s="550"/>
      <c r="J199" s="560"/>
      <c r="K199" s="26"/>
      <c r="L199" s="26"/>
    </row>
    <row r="200" spans="1:12" s="36" customFormat="1" x14ac:dyDescent="0.25">
      <c r="A200" s="46"/>
      <c r="B200" s="46"/>
      <c r="C200" s="11" t="s">
        <v>255</v>
      </c>
      <c r="D200" s="48"/>
      <c r="E200" s="59"/>
      <c r="F200" s="551"/>
      <c r="G200" s="551"/>
      <c r="H200" s="551"/>
      <c r="I200" s="551"/>
      <c r="J200" s="560"/>
    </row>
    <row r="201" spans="1:12" s="36" customFormat="1" x14ac:dyDescent="0.25">
      <c r="A201" s="247"/>
      <c r="B201" s="247"/>
      <c r="C201" s="80" t="s">
        <v>256</v>
      </c>
      <c r="D201" s="81"/>
      <c r="E201" s="69"/>
      <c r="F201" s="4">
        <f>F192</f>
        <v>2022</v>
      </c>
      <c r="G201" s="4">
        <f>F201+1</f>
        <v>2023</v>
      </c>
      <c r="H201" s="4">
        <f>G201+1</f>
        <v>2024</v>
      </c>
      <c r="I201" s="4">
        <f>H201+1</f>
        <v>2025</v>
      </c>
      <c r="J201" s="560"/>
      <c r="K201" s="335"/>
      <c r="L201" s="335"/>
    </row>
    <row r="202" spans="1:12" s="36" customFormat="1" x14ac:dyDescent="0.25">
      <c r="A202" s="70" t="s">
        <v>8</v>
      </c>
      <c r="B202" s="76"/>
      <c r="C202" s="539"/>
      <c r="D202" s="77"/>
      <c r="E202" s="69"/>
      <c r="F202" s="546"/>
      <c r="G202" s="546"/>
      <c r="H202" s="546"/>
      <c r="I202" s="546"/>
      <c r="J202" s="565"/>
      <c r="K202" s="26" t="s">
        <v>257</v>
      </c>
      <c r="L202" s="26"/>
    </row>
    <row r="203" spans="1:12" s="36" customFormat="1" x14ac:dyDescent="0.25">
      <c r="A203" s="70"/>
      <c r="B203" s="76" t="str">
        <f t="shared" ref="B203:B241" si="14">IF(L203,K203&amp;L203,"")</f>
        <v/>
      </c>
      <c r="C203" s="80" t="s">
        <v>258</v>
      </c>
      <c r="D203" s="81"/>
      <c r="E203" s="69"/>
      <c r="F203" s="298">
        <f>F201</f>
        <v>2022</v>
      </c>
      <c r="G203" s="298">
        <f>F203+1</f>
        <v>2023</v>
      </c>
      <c r="H203" s="298">
        <f>G203+1</f>
        <v>2024</v>
      </c>
      <c r="I203" s="298">
        <f>H203+1</f>
        <v>2025</v>
      </c>
      <c r="J203" s="560"/>
      <c r="K203" s="335"/>
      <c r="L203" s="335"/>
    </row>
    <row r="204" spans="1:12" s="36" customFormat="1" ht="25.5" x14ac:dyDescent="0.25">
      <c r="A204" s="70" t="s">
        <v>8</v>
      </c>
      <c r="B204" s="76" t="str">
        <f t="shared" si="14"/>
        <v>F1</v>
      </c>
      <c r="C204" s="563" t="s">
        <v>259</v>
      </c>
      <c r="D204" s="70" t="s">
        <v>105</v>
      </c>
      <c r="E204" s="69" t="s">
        <v>98</v>
      </c>
      <c r="F204" s="546">
        <v>-35</v>
      </c>
      <c r="G204" s="546">
        <v>-65</v>
      </c>
      <c r="H204" s="546">
        <v>-65</v>
      </c>
      <c r="I204" s="546">
        <v>-65</v>
      </c>
      <c r="J204" s="565"/>
      <c r="K204" s="26" t="s">
        <v>257</v>
      </c>
      <c r="L204" s="26">
        <v>1</v>
      </c>
    </row>
    <row r="205" spans="1:12" s="36" customFormat="1" ht="25.5" x14ac:dyDescent="0.25">
      <c r="A205" s="70" t="s">
        <v>8</v>
      </c>
      <c r="B205" s="76" t="str">
        <f t="shared" si="14"/>
        <v>F2</v>
      </c>
      <c r="C205" s="563" t="s">
        <v>261</v>
      </c>
      <c r="D205" s="70" t="s">
        <v>105</v>
      </c>
      <c r="E205" s="69" t="s">
        <v>98</v>
      </c>
      <c r="F205" s="546">
        <v>-1000</v>
      </c>
      <c r="G205" s="546">
        <v>-1000</v>
      </c>
      <c r="H205" s="546">
        <v>-1000</v>
      </c>
      <c r="I205" s="546">
        <v>-1000</v>
      </c>
      <c r="J205" s="565" t="s">
        <v>262</v>
      </c>
      <c r="K205" s="26" t="s">
        <v>257</v>
      </c>
      <c r="L205" s="26">
        <f t="shared" ref="L205:L221" si="15">L204+1</f>
        <v>2</v>
      </c>
    </row>
    <row r="206" spans="1:12" s="36" customFormat="1" x14ac:dyDescent="0.25">
      <c r="A206" s="70" t="s">
        <v>8</v>
      </c>
      <c r="B206" s="76" t="str">
        <f t="shared" si="14"/>
        <v>F3</v>
      </c>
      <c r="C206" s="566" t="s">
        <v>281</v>
      </c>
      <c r="D206" s="226" t="s">
        <v>108</v>
      </c>
      <c r="E206" s="229" t="s">
        <v>46</v>
      </c>
      <c r="F206" s="567">
        <v>2068</v>
      </c>
      <c r="G206" s="567">
        <v>1940</v>
      </c>
      <c r="H206" s="567">
        <v>1850</v>
      </c>
      <c r="I206" s="567">
        <v>1709</v>
      </c>
      <c r="J206" s="568" t="s">
        <v>738</v>
      </c>
      <c r="K206" s="26" t="s">
        <v>257</v>
      </c>
      <c r="L206" s="26">
        <f t="shared" si="15"/>
        <v>3</v>
      </c>
    </row>
    <row r="207" spans="1:12" s="36" customFormat="1" ht="25.5" x14ac:dyDescent="0.25">
      <c r="A207" s="70" t="s">
        <v>8</v>
      </c>
      <c r="B207" s="76" t="str">
        <f t="shared" si="14"/>
        <v>F4</v>
      </c>
      <c r="C207" s="569" t="s">
        <v>736</v>
      </c>
      <c r="D207" s="70" t="s">
        <v>105</v>
      </c>
      <c r="E207" s="69" t="s">
        <v>98</v>
      </c>
      <c r="F207" s="546">
        <v>-1000</v>
      </c>
      <c r="G207" s="546">
        <v>-1000</v>
      </c>
      <c r="H207" s="546">
        <v>-1000</v>
      </c>
      <c r="I207" s="546">
        <v>-1000</v>
      </c>
      <c r="J207" s="565"/>
      <c r="K207" s="26" t="s">
        <v>257</v>
      </c>
      <c r="L207" s="26">
        <f t="shared" si="15"/>
        <v>4</v>
      </c>
    </row>
    <row r="208" spans="1:12" s="36" customFormat="1" ht="25.5" x14ac:dyDescent="0.25">
      <c r="A208" s="70" t="s">
        <v>8</v>
      </c>
      <c r="B208" s="76" t="str">
        <f t="shared" si="14"/>
        <v>F5</v>
      </c>
      <c r="C208" s="563" t="s">
        <v>737</v>
      </c>
      <c r="D208" s="70" t="s">
        <v>105</v>
      </c>
      <c r="E208" s="69" t="s">
        <v>98</v>
      </c>
      <c r="F208" s="546">
        <v>1800</v>
      </c>
      <c r="G208" s="546">
        <v>3100</v>
      </c>
      <c r="H208" s="546">
        <v>3100</v>
      </c>
      <c r="I208" s="546">
        <v>3100</v>
      </c>
      <c r="J208" s="565" t="s">
        <v>263</v>
      </c>
      <c r="K208" s="26" t="s">
        <v>257</v>
      </c>
      <c r="L208" s="26">
        <f t="shared" si="15"/>
        <v>5</v>
      </c>
    </row>
    <row r="209" spans="1:12" s="36" customFormat="1" x14ac:dyDescent="0.25">
      <c r="A209" s="70" t="s">
        <v>8</v>
      </c>
      <c r="B209" s="76" t="str">
        <f t="shared" si="14"/>
        <v>F6</v>
      </c>
      <c r="C209" s="566" t="s">
        <v>739</v>
      </c>
      <c r="D209" s="226" t="s">
        <v>108</v>
      </c>
      <c r="E209" s="229" t="s">
        <v>46</v>
      </c>
      <c r="F209" s="570">
        <v>7246</v>
      </c>
      <c r="G209" s="570">
        <v>8746</v>
      </c>
      <c r="H209" s="570">
        <v>6460</v>
      </c>
      <c r="I209" s="570">
        <v>5978</v>
      </c>
      <c r="J209" s="568" t="s">
        <v>738</v>
      </c>
      <c r="K209" s="26" t="s">
        <v>257</v>
      </c>
      <c r="L209" s="26">
        <f t="shared" si="15"/>
        <v>6</v>
      </c>
    </row>
    <row r="210" spans="1:12" s="36" customFormat="1" x14ac:dyDescent="0.25">
      <c r="A210" s="70" t="s">
        <v>8</v>
      </c>
      <c r="B210" s="76" t="str">
        <f t="shared" si="14"/>
        <v>F7</v>
      </c>
      <c r="C210" s="563" t="s">
        <v>264</v>
      </c>
      <c r="D210" s="70" t="s">
        <v>105</v>
      </c>
      <c r="E210" s="69" t="s">
        <v>98</v>
      </c>
      <c r="F210" s="546">
        <v>-470</v>
      </c>
      <c r="G210" s="546">
        <v>-1515</v>
      </c>
      <c r="H210" s="546">
        <v>-2090</v>
      </c>
      <c r="I210" s="546">
        <v>-2090</v>
      </c>
      <c r="J210" s="91"/>
      <c r="K210" s="26" t="s">
        <v>257</v>
      </c>
      <c r="L210" s="26">
        <f t="shared" si="15"/>
        <v>7</v>
      </c>
    </row>
    <row r="211" spans="1:12" s="36" customFormat="1" x14ac:dyDescent="0.25">
      <c r="A211" s="70" t="s">
        <v>8</v>
      </c>
      <c r="B211" s="76" t="str">
        <f t="shared" si="14"/>
        <v>F8</v>
      </c>
      <c r="C211" s="563" t="s">
        <v>265</v>
      </c>
      <c r="D211" s="70" t="s">
        <v>108</v>
      </c>
      <c r="E211" s="69" t="s">
        <v>46</v>
      </c>
      <c r="F211" s="546">
        <v>109000</v>
      </c>
      <c r="G211" s="546">
        <v>109000</v>
      </c>
      <c r="H211" s="546">
        <v>109000</v>
      </c>
      <c r="I211" s="546">
        <v>109000</v>
      </c>
      <c r="J211" s="565" t="s">
        <v>266</v>
      </c>
      <c r="K211" s="26" t="s">
        <v>257</v>
      </c>
      <c r="L211" s="26">
        <f t="shared" si="15"/>
        <v>8</v>
      </c>
    </row>
    <row r="212" spans="1:12" s="36" customFormat="1" x14ac:dyDescent="0.25">
      <c r="A212" s="70" t="s">
        <v>8</v>
      </c>
      <c r="B212" s="76" t="str">
        <f t="shared" si="14"/>
        <v>F9</v>
      </c>
      <c r="C212" s="563" t="s">
        <v>267</v>
      </c>
      <c r="D212" s="70" t="s">
        <v>108</v>
      </c>
      <c r="E212" s="69" t="s">
        <v>46</v>
      </c>
      <c r="F212" s="546">
        <v>246</v>
      </c>
      <c r="G212" s="546">
        <v>246</v>
      </c>
      <c r="H212" s="546">
        <v>246</v>
      </c>
      <c r="I212" s="546">
        <v>246</v>
      </c>
      <c r="J212" s="565" t="s">
        <v>268</v>
      </c>
      <c r="K212" s="26" t="s">
        <v>257</v>
      </c>
      <c r="L212" s="26">
        <f t="shared" si="15"/>
        <v>9</v>
      </c>
    </row>
    <row r="213" spans="1:12" s="36" customFormat="1" x14ac:dyDescent="0.25">
      <c r="A213" s="70" t="s">
        <v>8</v>
      </c>
      <c r="B213" s="76" t="str">
        <f t="shared" si="14"/>
        <v>F10</v>
      </c>
      <c r="C213" s="563" t="s">
        <v>269</v>
      </c>
      <c r="D213" s="70" t="s">
        <v>108</v>
      </c>
      <c r="E213" s="69" t="s">
        <v>46</v>
      </c>
      <c r="F213" s="546">
        <v>200</v>
      </c>
      <c r="G213" s="546">
        <v>200</v>
      </c>
      <c r="H213" s="546">
        <v>200</v>
      </c>
      <c r="I213" s="546">
        <v>200</v>
      </c>
      <c r="J213" s="91" t="s">
        <v>143</v>
      </c>
      <c r="K213" s="26" t="s">
        <v>257</v>
      </c>
      <c r="L213" s="26">
        <f t="shared" si="15"/>
        <v>10</v>
      </c>
    </row>
    <row r="214" spans="1:12" s="36" customFormat="1" x14ac:dyDescent="0.25">
      <c r="A214" s="70" t="s">
        <v>8</v>
      </c>
      <c r="B214" s="76" t="str">
        <f t="shared" si="14"/>
        <v>F11</v>
      </c>
      <c r="C214" s="563" t="s">
        <v>270</v>
      </c>
      <c r="D214" s="70" t="s">
        <v>108</v>
      </c>
      <c r="E214" s="69" t="s">
        <v>46</v>
      </c>
      <c r="F214" s="546">
        <v>494</v>
      </c>
      <c r="G214" s="546">
        <v>494</v>
      </c>
      <c r="H214" s="546">
        <v>494</v>
      </c>
      <c r="I214" s="546">
        <v>494</v>
      </c>
      <c r="J214" s="91" t="s">
        <v>143</v>
      </c>
      <c r="K214" s="26" t="s">
        <v>257</v>
      </c>
      <c r="L214" s="26">
        <f t="shared" si="15"/>
        <v>11</v>
      </c>
    </row>
    <row r="215" spans="1:12" s="36" customFormat="1" x14ac:dyDescent="0.25">
      <c r="A215" s="70" t="s">
        <v>8</v>
      </c>
      <c r="B215" s="76" t="str">
        <f t="shared" si="14"/>
        <v>F12</v>
      </c>
      <c r="C215" s="533" t="s">
        <v>271</v>
      </c>
      <c r="D215" s="226" t="s">
        <v>108</v>
      </c>
      <c r="E215" s="229" t="s">
        <v>46</v>
      </c>
      <c r="F215" s="570">
        <v>15188</v>
      </c>
      <c r="G215" s="570">
        <v>15188</v>
      </c>
      <c r="H215" s="570">
        <v>15188</v>
      </c>
      <c r="I215" s="570">
        <v>15188</v>
      </c>
      <c r="J215" s="568" t="s">
        <v>738</v>
      </c>
      <c r="K215" s="26" t="s">
        <v>257</v>
      </c>
      <c r="L215" s="26">
        <f t="shared" si="15"/>
        <v>12</v>
      </c>
    </row>
    <row r="216" spans="1:12" s="36" customFormat="1" x14ac:dyDescent="0.25">
      <c r="A216" s="70" t="s">
        <v>8</v>
      </c>
      <c r="B216" s="76" t="str">
        <f t="shared" si="14"/>
        <v>F13</v>
      </c>
      <c r="C216" s="563" t="s">
        <v>272</v>
      </c>
      <c r="D216" s="70" t="s">
        <v>108</v>
      </c>
      <c r="E216" s="69" t="s">
        <v>46</v>
      </c>
      <c r="F216" s="546">
        <v>1936</v>
      </c>
      <c r="G216" s="546">
        <v>1936</v>
      </c>
      <c r="H216" s="546">
        <v>1936</v>
      </c>
      <c r="I216" s="546">
        <v>1936</v>
      </c>
      <c r="J216" s="571"/>
      <c r="K216" s="26" t="s">
        <v>257</v>
      </c>
      <c r="L216" s="26">
        <f t="shared" si="15"/>
        <v>13</v>
      </c>
    </row>
    <row r="217" spans="1:12" s="36" customFormat="1" x14ac:dyDescent="0.25">
      <c r="A217" s="70" t="s">
        <v>8</v>
      </c>
      <c r="B217" s="76" t="str">
        <f t="shared" si="14"/>
        <v>F14</v>
      </c>
      <c r="C217" s="563" t="s">
        <v>273</v>
      </c>
      <c r="D217" s="70" t="s">
        <v>108</v>
      </c>
      <c r="E217" s="69" t="s">
        <v>46</v>
      </c>
      <c r="F217" s="546">
        <v>1880</v>
      </c>
      <c r="G217" s="546">
        <v>1880</v>
      </c>
      <c r="H217" s="546">
        <v>1880</v>
      </c>
      <c r="I217" s="546">
        <v>1880</v>
      </c>
      <c r="J217" s="565" t="s">
        <v>274</v>
      </c>
      <c r="K217" s="26" t="s">
        <v>257</v>
      </c>
      <c r="L217" s="26">
        <f t="shared" si="15"/>
        <v>14</v>
      </c>
    </row>
    <row r="218" spans="1:12" s="36" customFormat="1" ht="25.5" x14ac:dyDescent="0.25">
      <c r="A218" s="70" t="s">
        <v>8</v>
      </c>
      <c r="B218" s="76" t="str">
        <f t="shared" si="14"/>
        <v>F15</v>
      </c>
      <c r="C218" s="563" t="s">
        <v>275</v>
      </c>
      <c r="D218" s="70" t="s">
        <v>108</v>
      </c>
      <c r="E218" s="69" t="s">
        <v>46</v>
      </c>
      <c r="F218" s="546">
        <v>-1880</v>
      </c>
      <c r="G218" s="546"/>
      <c r="H218" s="546"/>
      <c r="I218" s="546"/>
      <c r="J218" s="565" t="s">
        <v>276</v>
      </c>
      <c r="K218" s="26" t="s">
        <v>257</v>
      </c>
      <c r="L218" s="26">
        <f t="shared" si="15"/>
        <v>15</v>
      </c>
    </row>
    <row r="219" spans="1:12" s="36" customFormat="1" x14ac:dyDescent="0.25">
      <c r="A219" s="70" t="s">
        <v>8</v>
      </c>
      <c r="B219" s="76" t="str">
        <f t="shared" si="14"/>
        <v>F16</v>
      </c>
      <c r="C219" s="572" t="s">
        <v>279</v>
      </c>
      <c r="D219" s="70" t="s">
        <v>108</v>
      </c>
      <c r="E219" s="69" t="s">
        <v>46</v>
      </c>
      <c r="F219" s="546">
        <v>450</v>
      </c>
      <c r="G219" s="546">
        <v>450</v>
      </c>
      <c r="H219" s="546">
        <v>450</v>
      </c>
      <c r="I219" s="546">
        <v>450</v>
      </c>
      <c r="J219" s="565" t="s">
        <v>280</v>
      </c>
      <c r="K219" s="26" t="s">
        <v>257</v>
      </c>
      <c r="L219" s="26">
        <f t="shared" si="15"/>
        <v>16</v>
      </c>
    </row>
    <row r="220" spans="1:12" s="36" customFormat="1" x14ac:dyDescent="0.25">
      <c r="A220" s="70" t="s">
        <v>8</v>
      </c>
      <c r="B220" s="76" t="str">
        <f t="shared" si="14"/>
        <v>F17</v>
      </c>
      <c r="C220" s="563" t="s">
        <v>283</v>
      </c>
      <c r="D220" s="70" t="s">
        <v>108</v>
      </c>
      <c r="E220" s="69" t="s">
        <v>46</v>
      </c>
      <c r="F220" s="573">
        <v>550</v>
      </c>
      <c r="G220" s="573">
        <v>550</v>
      </c>
      <c r="H220" s="573">
        <v>550</v>
      </c>
      <c r="I220" s="573">
        <v>550</v>
      </c>
      <c r="J220" s="568"/>
      <c r="K220" s="26" t="s">
        <v>257</v>
      </c>
      <c r="L220" s="26">
        <f t="shared" si="15"/>
        <v>17</v>
      </c>
    </row>
    <row r="221" spans="1:12" s="36" customFormat="1" x14ac:dyDescent="0.25">
      <c r="A221" s="70" t="s">
        <v>8</v>
      </c>
      <c r="B221" s="76" t="str">
        <f t="shared" si="14"/>
        <v>F18</v>
      </c>
      <c r="C221" s="563" t="s">
        <v>285</v>
      </c>
      <c r="D221" s="70" t="s">
        <v>108</v>
      </c>
      <c r="E221" s="69" t="s">
        <v>46</v>
      </c>
      <c r="F221" s="573">
        <v>850</v>
      </c>
      <c r="G221" s="573">
        <v>850</v>
      </c>
      <c r="H221" s="573">
        <v>850</v>
      </c>
      <c r="I221" s="573">
        <v>850</v>
      </c>
      <c r="J221" s="568"/>
      <c r="K221" s="26" t="s">
        <v>257</v>
      </c>
      <c r="L221" s="26">
        <f t="shared" si="15"/>
        <v>18</v>
      </c>
    </row>
    <row r="222" spans="1:12" s="36" customFormat="1" x14ac:dyDescent="0.25">
      <c r="A222" s="70"/>
      <c r="B222" s="76" t="str">
        <f t="shared" si="14"/>
        <v/>
      </c>
      <c r="C222" s="80" t="s">
        <v>287</v>
      </c>
      <c r="D222" s="81"/>
      <c r="E222" s="69"/>
      <c r="F222" s="4">
        <f>F203</f>
        <v>2022</v>
      </c>
      <c r="G222" s="4">
        <f>F222+1</f>
        <v>2023</v>
      </c>
      <c r="H222" s="4">
        <f>G222+1</f>
        <v>2024</v>
      </c>
      <c r="I222" s="4">
        <f>H222+1</f>
        <v>2025</v>
      </c>
      <c r="J222" s="560"/>
      <c r="K222" s="335"/>
      <c r="L222" s="335"/>
    </row>
    <row r="223" spans="1:12" s="36" customFormat="1" x14ac:dyDescent="0.25">
      <c r="A223" s="70" t="s">
        <v>8</v>
      </c>
      <c r="B223" s="76" t="str">
        <f t="shared" si="14"/>
        <v>F19</v>
      </c>
      <c r="C223" s="36" t="s">
        <v>288</v>
      </c>
      <c r="D223" s="70" t="s">
        <v>97</v>
      </c>
      <c r="E223" s="69" t="s">
        <v>98</v>
      </c>
      <c r="F223" s="552"/>
      <c r="G223" s="546">
        <v>2430</v>
      </c>
      <c r="H223" s="546"/>
      <c r="I223" s="546">
        <v>2430</v>
      </c>
      <c r="J223" s="560"/>
      <c r="K223" s="26" t="s">
        <v>257</v>
      </c>
      <c r="L223" s="26">
        <f>L221+1</f>
        <v>19</v>
      </c>
    </row>
    <row r="224" spans="1:12" s="36" customFormat="1" x14ac:dyDescent="0.25">
      <c r="A224" s="70" t="s">
        <v>8</v>
      </c>
      <c r="B224" s="76" t="str">
        <f t="shared" si="14"/>
        <v>F20</v>
      </c>
      <c r="C224" s="293" t="s">
        <v>289</v>
      </c>
      <c r="D224" s="70" t="s">
        <v>97</v>
      </c>
      <c r="E224" s="69" t="s">
        <v>98</v>
      </c>
      <c r="F224" s="552"/>
      <c r="G224" s="546">
        <v>400</v>
      </c>
      <c r="H224" s="546"/>
      <c r="I224" s="546">
        <v>400</v>
      </c>
      <c r="J224" s="560"/>
      <c r="K224" s="26" t="s">
        <v>257</v>
      </c>
      <c r="L224" s="26">
        <f t="shared" ref="L224:L232" si="16">+L223+1</f>
        <v>20</v>
      </c>
    </row>
    <row r="225" spans="1:12" s="36" customFormat="1" x14ac:dyDescent="0.25">
      <c r="A225" s="70" t="s">
        <v>8</v>
      </c>
      <c r="B225" s="76" t="str">
        <f t="shared" si="14"/>
        <v>F21</v>
      </c>
      <c r="C225" s="36" t="s">
        <v>290</v>
      </c>
      <c r="D225" s="70" t="s">
        <v>105</v>
      </c>
      <c r="E225" s="69" t="s">
        <v>98</v>
      </c>
      <c r="F225" s="552"/>
      <c r="G225" s="546">
        <v>300</v>
      </c>
      <c r="H225" s="546"/>
      <c r="I225" s="546">
        <v>0</v>
      </c>
      <c r="J225" s="560"/>
      <c r="K225" s="26" t="s">
        <v>257</v>
      </c>
      <c r="L225" s="26">
        <f t="shared" si="16"/>
        <v>21</v>
      </c>
    </row>
    <row r="226" spans="1:12" s="36" customFormat="1" x14ac:dyDescent="0.25">
      <c r="A226" s="70" t="s">
        <v>8</v>
      </c>
      <c r="B226" s="76" t="str">
        <f t="shared" si="14"/>
        <v>F22</v>
      </c>
      <c r="C226" s="36" t="s">
        <v>291</v>
      </c>
      <c r="D226" s="70" t="s">
        <v>105</v>
      </c>
      <c r="E226" s="69" t="s">
        <v>98</v>
      </c>
      <c r="F226" s="552"/>
      <c r="G226" s="546">
        <v>200</v>
      </c>
      <c r="H226" s="546"/>
      <c r="I226" s="546">
        <v>0</v>
      </c>
      <c r="J226" s="560"/>
      <c r="K226" s="26" t="s">
        <v>257</v>
      </c>
      <c r="L226" s="26">
        <f t="shared" si="16"/>
        <v>22</v>
      </c>
    </row>
    <row r="227" spans="1:12" s="36" customFormat="1" x14ac:dyDescent="0.25">
      <c r="A227" s="70" t="s">
        <v>8</v>
      </c>
      <c r="B227" s="76" t="str">
        <f t="shared" si="14"/>
        <v>F23</v>
      </c>
      <c r="C227" s="36" t="s">
        <v>292</v>
      </c>
      <c r="D227" s="77" t="s">
        <v>105</v>
      </c>
      <c r="E227" s="69" t="s">
        <v>98</v>
      </c>
      <c r="F227" s="546"/>
      <c r="G227" s="546">
        <v>-2000</v>
      </c>
      <c r="H227" s="546">
        <v>-2000</v>
      </c>
      <c r="I227" s="546">
        <v>-2000</v>
      </c>
      <c r="J227" s="560" t="s">
        <v>293</v>
      </c>
      <c r="K227" s="26" t="s">
        <v>257</v>
      </c>
      <c r="L227" s="26">
        <f t="shared" si="16"/>
        <v>23</v>
      </c>
    </row>
    <row r="228" spans="1:12" s="36" customFormat="1" x14ac:dyDescent="0.25">
      <c r="A228" s="70" t="s">
        <v>8</v>
      </c>
      <c r="B228" s="76" t="str">
        <f t="shared" si="14"/>
        <v>F24</v>
      </c>
      <c r="C228" s="36" t="s">
        <v>294</v>
      </c>
      <c r="D228" s="77" t="s">
        <v>108</v>
      </c>
      <c r="E228" s="69" t="s">
        <v>46</v>
      </c>
      <c r="F228" s="546"/>
      <c r="G228" s="546">
        <v>400</v>
      </c>
      <c r="H228" s="546"/>
      <c r="I228" s="546">
        <v>400</v>
      </c>
      <c r="J228" s="560"/>
      <c r="K228" s="26" t="s">
        <v>257</v>
      </c>
      <c r="L228" s="26">
        <f t="shared" si="16"/>
        <v>24</v>
      </c>
    </row>
    <row r="229" spans="1:12" s="36" customFormat="1" x14ac:dyDescent="0.25">
      <c r="A229" s="70" t="s">
        <v>8</v>
      </c>
      <c r="B229" s="76" t="str">
        <f t="shared" si="14"/>
        <v>F25</v>
      </c>
      <c r="C229" s="36" t="s">
        <v>295</v>
      </c>
      <c r="D229" s="77" t="s">
        <v>108</v>
      </c>
      <c r="E229" s="69" t="s">
        <v>46</v>
      </c>
      <c r="F229" s="546"/>
      <c r="G229" s="546">
        <v>300</v>
      </c>
      <c r="H229" s="546"/>
      <c r="I229" s="546">
        <v>300</v>
      </c>
      <c r="J229" s="560"/>
      <c r="K229" s="26" t="s">
        <v>257</v>
      </c>
      <c r="L229" s="26">
        <f t="shared" si="16"/>
        <v>25</v>
      </c>
    </row>
    <row r="230" spans="1:12" s="36" customFormat="1" x14ac:dyDescent="0.25">
      <c r="A230" s="70" t="s">
        <v>8</v>
      </c>
      <c r="B230" s="76" t="str">
        <f t="shared" si="14"/>
        <v>F26</v>
      </c>
      <c r="C230" s="291" t="s">
        <v>296</v>
      </c>
      <c r="D230" s="77" t="s">
        <v>108</v>
      </c>
      <c r="E230" s="69" t="s">
        <v>46</v>
      </c>
      <c r="F230" s="546">
        <v>50</v>
      </c>
      <c r="G230" s="546">
        <v>50</v>
      </c>
      <c r="H230" s="546">
        <v>50</v>
      </c>
      <c r="I230" s="546">
        <v>50</v>
      </c>
      <c r="J230" s="560"/>
      <c r="K230" s="26" t="s">
        <v>257</v>
      </c>
      <c r="L230" s="26">
        <f t="shared" si="16"/>
        <v>26</v>
      </c>
    </row>
    <row r="231" spans="1:12" s="36" customFormat="1" x14ac:dyDescent="0.25">
      <c r="A231" s="70" t="s">
        <v>8</v>
      </c>
      <c r="B231" s="76" t="str">
        <f t="shared" si="14"/>
        <v>F27</v>
      </c>
      <c r="C231" s="291" t="s">
        <v>297</v>
      </c>
      <c r="D231" s="77" t="s">
        <v>108</v>
      </c>
      <c r="E231" s="69" t="s">
        <v>46</v>
      </c>
      <c r="F231" s="546"/>
      <c r="G231" s="546"/>
      <c r="H231" s="546">
        <v>1000</v>
      </c>
      <c r="I231" s="546"/>
      <c r="J231" s="560"/>
      <c r="K231" s="26" t="s">
        <v>257</v>
      </c>
      <c r="L231" s="26">
        <f t="shared" si="16"/>
        <v>27</v>
      </c>
    </row>
    <row r="232" spans="1:12" s="36" customFormat="1" x14ac:dyDescent="0.25">
      <c r="A232" s="70" t="s">
        <v>8</v>
      </c>
      <c r="B232" s="595" t="str">
        <f t="shared" si="14"/>
        <v>F28</v>
      </c>
      <c r="C232" s="596" t="s">
        <v>753</v>
      </c>
      <c r="D232" s="585" t="s">
        <v>108</v>
      </c>
      <c r="E232" s="587" t="s">
        <v>46</v>
      </c>
      <c r="F232" s="597">
        <v>367</v>
      </c>
      <c r="G232" s="597">
        <v>367</v>
      </c>
      <c r="H232" s="597">
        <v>367</v>
      </c>
      <c r="I232" s="597">
        <v>367</v>
      </c>
      <c r="J232" s="577" t="s">
        <v>754</v>
      </c>
      <c r="K232" s="26" t="s">
        <v>257</v>
      </c>
      <c r="L232" s="26">
        <f t="shared" si="16"/>
        <v>28</v>
      </c>
    </row>
    <row r="233" spans="1:12" s="36" customFormat="1" x14ac:dyDescent="0.25">
      <c r="A233" s="70"/>
      <c r="B233" s="76" t="str">
        <f t="shared" si="14"/>
        <v/>
      </c>
      <c r="C233" s="80" t="s">
        <v>298</v>
      </c>
      <c r="D233" s="386"/>
      <c r="E233" s="69"/>
      <c r="F233" s="574"/>
      <c r="G233" s="574"/>
      <c r="H233" s="574"/>
      <c r="I233" s="574"/>
      <c r="J233" s="560"/>
    </row>
    <row r="234" spans="1:12" s="36" customFormat="1" x14ac:dyDescent="0.25">
      <c r="A234" s="70" t="s">
        <v>8</v>
      </c>
      <c r="B234" s="76" t="str">
        <f t="shared" si="14"/>
        <v>F29</v>
      </c>
      <c r="C234" s="563" t="s">
        <v>299</v>
      </c>
      <c r="D234" s="70" t="s">
        <v>97</v>
      </c>
      <c r="E234" s="69" t="s">
        <v>98</v>
      </c>
      <c r="F234" s="541">
        <v>-22250</v>
      </c>
      <c r="G234" s="541">
        <v>-23950</v>
      </c>
      <c r="H234" s="541">
        <v>-23950</v>
      </c>
      <c r="I234" s="541">
        <v>-23950</v>
      </c>
      <c r="J234" s="575" t="s">
        <v>300</v>
      </c>
      <c r="K234" s="26" t="s">
        <v>257</v>
      </c>
      <c r="L234" s="26">
        <f>L232+1</f>
        <v>29</v>
      </c>
    </row>
    <row r="235" spans="1:12" s="36" customFormat="1" x14ac:dyDescent="0.25">
      <c r="A235" s="70" t="s">
        <v>8</v>
      </c>
      <c r="B235" s="76" t="str">
        <f t="shared" si="14"/>
        <v>F30</v>
      </c>
      <c r="C235" s="563" t="s">
        <v>301</v>
      </c>
      <c r="D235" s="70" t="s">
        <v>97</v>
      </c>
      <c r="E235" s="69" t="s">
        <v>98</v>
      </c>
      <c r="F235" s="576">
        <v>-4210</v>
      </c>
      <c r="G235" s="576">
        <v>-16430</v>
      </c>
      <c r="H235" s="576">
        <v>-31250</v>
      </c>
      <c r="I235" s="576">
        <v>-37308</v>
      </c>
      <c r="J235" s="575" t="s">
        <v>300</v>
      </c>
      <c r="K235" s="26" t="s">
        <v>257</v>
      </c>
      <c r="L235" s="26">
        <f t="shared" ref="L235:L243" si="17">+L234+1</f>
        <v>30</v>
      </c>
    </row>
    <row r="236" spans="1:12" s="36" customFormat="1" x14ac:dyDescent="0.25">
      <c r="A236" s="70" t="s">
        <v>8</v>
      </c>
      <c r="B236" s="76" t="str">
        <f t="shared" si="14"/>
        <v>F31</v>
      </c>
      <c r="C236" s="563" t="s">
        <v>302</v>
      </c>
      <c r="D236" s="70" t="s">
        <v>97</v>
      </c>
      <c r="E236" s="69" t="s">
        <v>98</v>
      </c>
      <c r="F236" s="541">
        <v>-2550</v>
      </c>
      <c r="G236" s="541">
        <v>-2550</v>
      </c>
      <c r="H236" s="541">
        <v>-2550</v>
      </c>
      <c r="I236" s="541">
        <v>-2550</v>
      </c>
      <c r="J236" s="575" t="s">
        <v>303</v>
      </c>
      <c r="K236" s="26" t="s">
        <v>257</v>
      </c>
      <c r="L236" s="26">
        <f t="shared" si="17"/>
        <v>31</v>
      </c>
    </row>
    <row r="237" spans="1:12" s="36" customFormat="1" x14ac:dyDescent="0.25">
      <c r="A237" s="70" t="s">
        <v>8</v>
      </c>
      <c r="B237" s="76" t="str">
        <f t="shared" si="14"/>
        <v>F32</v>
      </c>
      <c r="C237" s="563" t="s">
        <v>304</v>
      </c>
      <c r="D237" s="70" t="s">
        <v>97</v>
      </c>
      <c r="E237" s="69" t="s">
        <v>98</v>
      </c>
      <c r="F237" s="541">
        <v>-4420</v>
      </c>
      <c r="G237" s="541">
        <v>-4420</v>
      </c>
      <c r="H237" s="541">
        <v>-4420</v>
      </c>
      <c r="I237" s="541">
        <v>-4420</v>
      </c>
      <c r="J237" s="575" t="s">
        <v>300</v>
      </c>
      <c r="K237" s="26" t="s">
        <v>257</v>
      </c>
      <c r="L237" s="26">
        <f t="shared" si="17"/>
        <v>32</v>
      </c>
    </row>
    <row r="238" spans="1:12" s="36" customFormat="1" x14ac:dyDescent="0.25">
      <c r="A238" s="70" t="s">
        <v>8</v>
      </c>
      <c r="B238" s="76" t="str">
        <f t="shared" si="14"/>
        <v>F33</v>
      </c>
      <c r="C238" s="563" t="s">
        <v>305</v>
      </c>
      <c r="D238" s="70" t="s">
        <v>97</v>
      </c>
      <c r="E238" s="59" t="s">
        <v>98</v>
      </c>
      <c r="F238" s="536">
        <v>35700</v>
      </c>
      <c r="G238" s="536">
        <v>50700</v>
      </c>
      <c r="H238" s="536">
        <v>63700</v>
      </c>
      <c r="I238" s="536">
        <v>72700</v>
      </c>
      <c r="J238" s="577" t="s">
        <v>306</v>
      </c>
      <c r="K238" s="26" t="s">
        <v>257</v>
      </c>
      <c r="L238" s="26">
        <f t="shared" si="17"/>
        <v>33</v>
      </c>
    </row>
    <row r="239" spans="1:12" s="36" customFormat="1" x14ac:dyDescent="0.25">
      <c r="A239" s="70" t="s">
        <v>8</v>
      </c>
      <c r="B239" s="76" t="str">
        <f t="shared" si="14"/>
        <v>F34</v>
      </c>
      <c r="C239" s="563" t="s">
        <v>307</v>
      </c>
      <c r="D239" s="70" t="s">
        <v>97</v>
      </c>
      <c r="E239" s="69" t="s">
        <v>98</v>
      </c>
      <c r="F239" s="536">
        <v>-35700</v>
      </c>
      <c r="G239" s="536">
        <v>-50700</v>
      </c>
      <c r="H239" s="536">
        <v>-63700</v>
      </c>
      <c r="I239" s="536">
        <v>-72700</v>
      </c>
      <c r="J239" s="577" t="s">
        <v>306</v>
      </c>
      <c r="K239" s="26" t="s">
        <v>257</v>
      </c>
      <c r="L239" s="26">
        <f t="shared" si="17"/>
        <v>34</v>
      </c>
    </row>
    <row r="240" spans="1:12" s="36" customFormat="1" x14ac:dyDescent="0.25">
      <c r="A240" s="70" t="s">
        <v>8</v>
      </c>
      <c r="B240" s="76" t="str">
        <f t="shared" si="14"/>
        <v>F35</v>
      </c>
      <c r="C240" s="563" t="s">
        <v>304</v>
      </c>
      <c r="D240" s="70" t="s">
        <v>97</v>
      </c>
      <c r="E240" s="69" t="s">
        <v>98</v>
      </c>
      <c r="F240" s="536">
        <v>4420</v>
      </c>
      <c r="G240" s="536">
        <v>4420</v>
      </c>
      <c r="H240" s="536">
        <v>4420</v>
      </c>
      <c r="I240" s="536">
        <v>4420</v>
      </c>
      <c r="J240" s="577"/>
      <c r="K240" s="26" t="s">
        <v>257</v>
      </c>
      <c r="L240" s="26">
        <f t="shared" si="17"/>
        <v>35</v>
      </c>
    </row>
    <row r="241" spans="1:12" s="36" customFormat="1" ht="25.5" x14ac:dyDescent="0.25">
      <c r="A241" s="70" t="s">
        <v>8</v>
      </c>
      <c r="B241" s="76" t="str">
        <f t="shared" si="14"/>
        <v>F36</v>
      </c>
      <c r="C241" s="563" t="s">
        <v>309</v>
      </c>
      <c r="D241" s="70" t="s">
        <v>97</v>
      </c>
      <c r="E241" s="69" t="s">
        <v>98</v>
      </c>
      <c r="F241" s="536">
        <v>600</v>
      </c>
      <c r="G241" s="536">
        <v>600</v>
      </c>
      <c r="H241" s="536">
        <v>600</v>
      </c>
      <c r="I241" s="536">
        <v>600</v>
      </c>
      <c r="J241" s="577"/>
      <c r="K241" s="26" t="s">
        <v>257</v>
      </c>
      <c r="L241" s="26">
        <f t="shared" si="17"/>
        <v>36</v>
      </c>
    </row>
    <row r="242" spans="1:12" s="36" customFormat="1" x14ac:dyDescent="0.25">
      <c r="A242" s="70"/>
      <c r="B242" s="76"/>
      <c r="C242" s="563"/>
      <c r="D242" s="70"/>
      <c r="E242" s="69"/>
      <c r="F242" s="536"/>
      <c r="G242" s="536"/>
      <c r="H242" s="536"/>
      <c r="I242" s="536"/>
      <c r="J242" s="577"/>
      <c r="K242" s="26" t="s">
        <v>257</v>
      </c>
      <c r="L242" s="26">
        <f t="shared" si="17"/>
        <v>37</v>
      </c>
    </row>
    <row r="243" spans="1:12" s="36" customFormat="1" x14ac:dyDescent="0.25">
      <c r="A243" s="70"/>
      <c r="B243" s="76"/>
      <c r="C243" s="563"/>
      <c r="D243" s="70"/>
      <c r="E243" s="69"/>
      <c r="F243" s="536"/>
      <c r="G243" s="536"/>
      <c r="H243" s="536"/>
      <c r="I243" s="536"/>
      <c r="J243" s="560"/>
      <c r="K243" s="26" t="s">
        <v>257</v>
      </c>
      <c r="L243" s="26">
        <f t="shared" si="17"/>
        <v>38</v>
      </c>
    </row>
    <row r="244" spans="1:12" s="36" customFormat="1" x14ac:dyDescent="0.25">
      <c r="A244" s="70"/>
      <c r="B244" s="76" t="str">
        <f>IF(L244,K244&amp;L244,"")</f>
        <v/>
      </c>
      <c r="C244" s="80"/>
      <c r="D244" s="81"/>
      <c r="E244" s="69"/>
      <c r="F244" s="546"/>
      <c r="G244" s="546"/>
      <c r="H244" s="546"/>
      <c r="I244" s="546"/>
      <c r="J244" s="560"/>
      <c r="K244" s="26"/>
      <c r="L244" s="26"/>
    </row>
    <row r="245" spans="1:12" s="36" customFormat="1" ht="30" x14ac:dyDescent="0.25">
      <c r="A245" s="41"/>
      <c r="B245" s="41" t="s">
        <v>152</v>
      </c>
      <c r="C245" s="3" t="s">
        <v>310</v>
      </c>
      <c r="D245" s="50"/>
      <c r="E245" s="50"/>
      <c r="F245" s="549">
        <f>SUMIF($A:$A,"KOM.FELLES",F:F)</f>
        <v>109530</v>
      </c>
      <c r="G245" s="549">
        <f>SUMIF($A:$A,"KOM.FELLES",G:G)</f>
        <v>101117</v>
      </c>
      <c r="H245" s="549">
        <f>SUMIF($A:$A,"KOM.FELLES",H:H)</f>
        <v>80316</v>
      </c>
      <c r="I245" s="549">
        <f>SUMIF($A:$A,"KOM.FELLES",I:I)</f>
        <v>76165</v>
      </c>
      <c r="J245" s="560"/>
      <c r="K245" s="335"/>
      <c r="L245" s="335"/>
    </row>
    <row r="246" spans="1:12" x14ac:dyDescent="0.25">
      <c r="K246" s="36"/>
      <c r="L246" s="36"/>
    </row>
    <row r="251" spans="1:12" x14ac:dyDescent="0.25">
      <c r="F251" s="180"/>
      <c r="G251" s="180"/>
      <c r="H251" s="180"/>
      <c r="I251" s="180"/>
    </row>
    <row r="252" spans="1:12" x14ac:dyDescent="0.25">
      <c r="D252" s="254"/>
      <c r="E252" s="254"/>
      <c r="F252" s="254"/>
      <c r="G252" s="254"/>
      <c r="H252" s="254"/>
      <c r="I252" s="254"/>
    </row>
    <row r="253" spans="1:12" x14ac:dyDescent="0.25">
      <c r="F253" s="254"/>
      <c r="G253" s="254"/>
      <c r="H253" s="254"/>
      <c r="I253" s="254"/>
    </row>
    <row r="254" spans="1:12" x14ac:dyDescent="0.25">
      <c r="F254" s="254"/>
      <c r="G254" s="254"/>
      <c r="H254" s="254"/>
      <c r="I254" s="254"/>
    </row>
    <row r="255" spans="1:12" x14ac:dyDescent="0.25">
      <c r="F255" s="254"/>
      <c r="G255" s="254"/>
      <c r="H255" s="254"/>
      <c r="I255" s="254"/>
    </row>
    <row r="256" spans="1:12" x14ac:dyDescent="0.25">
      <c r="F256" s="254"/>
      <c r="G256" s="254"/>
      <c r="H256" s="254"/>
      <c r="I256" s="254"/>
    </row>
    <row r="257" spans="6:9" x14ac:dyDescent="0.25">
      <c r="F257" s="254"/>
      <c r="G257" s="254"/>
      <c r="H257" s="254"/>
      <c r="I257" s="254"/>
    </row>
    <row r="258" spans="6:9" x14ac:dyDescent="0.25">
      <c r="F258" s="254"/>
      <c r="G258" s="254"/>
      <c r="H258" s="254"/>
      <c r="I258" s="254"/>
    </row>
    <row r="259" spans="6:9" x14ac:dyDescent="0.25">
      <c r="F259" s="254"/>
      <c r="G259" s="254"/>
      <c r="H259" s="254"/>
      <c r="I259" s="254"/>
    </row>
  </sheetData>
  <conditionalFormatting sqref="F18:I18">
    <cfRule type="cellIs" dxfId="9" priority="2" operator="notEqual">
      <formula>0</formula>
    </cfRule>
  </conditionalFormatting>
  <conditionalFormatting sqref="I18">
    <cfRule type="cellIs" dxfId="8" priority="1" operator="notEqual">
      <formula>0</formula>
    </cfRule>
  </conditionalFormatting>
  <dataValidations count="1">
    <dataValidation type="list" allowBlank="1" showInputMessage="1" showErrorMessage="1" sqref="D177:D180" xr:uid="{016EE70C-075D-4471-9481-C0D46389229B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3D3883A-3032-444F-8CF8-C8048E5D558D}">
          <x14:formula1>
            <xm:f>#REF!</xm:f>
          </x14:formula1>
          <xm:sqref>E62:E67 E200:E201 E233 E128 E183 E244 E192 E140:E141 E146 E203 E222 E153 E155 E116 E134 E105:E106 E78 E84</xm:sqref>
        </x14:dataValidation>
        <x14:dataValidation type="list" allowBlank="1" showInputMessage="1" showErrorMessage="1" xr:uid="{B093A8FB-AA7F-41AF-B354-B44B078AE166}">
          <x14:formula1>
            <xm:f>#REF!</xm:f>
          </x14:formula1>
          <xm:sqref>D62:D67 D146 D245:E245 D92:E92 D128 D138:D141 D190:D192 D198:D201 D203 D222 D233 D244 D151:D153 D155 D116 D134 D104:D106 D181:D183 E147:E149 E29:E61 E151:E152 E104 E223:E232 E85:E91 E142:E145 E193:E199 E242:F242 E234:E241 E243 E184:E191 E202 E204:E221 E154:E182 D78:E78 D84 E68:E77 E79:E82 E107:E127 E129:E139 E93:E102</xm:sqref>
        </x14:dataValidation>
        <x14:dataValidation type="list" allowBlank="1" showInputMessage="1" showErrorMessage="1" xr:uid="{F80A70DE-9CA4-4968-9550-CFE2D55B364B}">
          <x14:formula1>
            <xm:f>'C:\Users\lincbak\Desktop\[Kopi av Driftskostnader for nye bygg - tiltaksliste 2018-2021.xlsx]Div'!#REF!</xm:f>
          </x14:formula1>
          <xm:sqref>E150</xm:sqref>
        </x14:dataValidation>
        <x14:dataValidation type="list" allowBlank="1" showInputMessage="1" showErrorMessage="1" xr:uid="{A7D01588-FEAF-4C9A-BCA0-3EC30BCD4EF1}">
          <x14:formula1>
            <xm:f>#REF!</xm:f>
          </x14:formula1>
          <xm:sqref>D147:D150 D223:D232 D29:D61 D85:D91 D142:D145 D193:D197 D234:D243 D184:D189 D202 D204:D221 D154:D176 D68:D82 D107:D127 D129:D137 D93:D102</xm:sqref>
        </x14:dataValidation>
        <x14:dataValidation type="list" allowBlank="1" showInputMessage="1" showErrorMessage="1" xr:uid="{B2B570BB-F67F-4DD0-B5AB-FDE0B14C4999}">
          <x14:formula1>
            <xm:f>#REF!</xm:f>
          </x14:formula1>
          <xm:sqref>A29:A67 A83:A84 A92 A104:A245</xm:sqref>
        </x14:dataValidation>
        <x14:dataValidation type="list" allowBlank="1" showInputMessage="1" showErrorMessage="1" xr:uid="{0A61E8B0-39DB-45DA-9824-2AAD5BD21878}">
          <x14:formula1>
            <xm:f>#REF!</xm:f>
          </x14:formula1>
          <xm:sqref>A76:A82 A68:A73 A85:A91 A93:A103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DCC8-0BF1-4672-AAF6-A471E6F5696F}">
  <sheetPr>
    <tabColor rgb="FFFF0000"/>
    <pageSetUpPr fitToPage="1"/>
  </sheetPr>
  <dimension ref="A1:AW267"/>
  <sheetViews>
    <sheetView workbookViewId="0">
      <selection activeCell="J18" sqref="J18"/>
    </sheetView>
  </sheetViews>
  <sheetFormatPr baseColWidth="10" defaultColWidth="11.42578125" defaultRowHeight="15" x14ac:dyDescent="0.25"/>
  <cols>
    <col min="1" max="1" width="10.140625" customWidth="1"/>
    <col min="2" max="2" width="6" customWidth="1"/>
    <col min="3" max="3" width="58.710937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6" customWidth="1"/>
    <col min="12" max="12" width="7.5703125" style="26" bestFit="1" customWidth="1"/>
    <col min="13" max="13" width="8.5703125" style="92" customWidth="1"/>
    <col min="14" max="14" width="9.5703125" style="92" customWidth="1"/>
    <col min="15" max="15" width="13.42578125" style="92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6" customFormat="1" ht="23.25" x14ac:dyDescent="0.25">
      <c r="A1" s="292" t="s">
        <v>0</v>
      </c>
      <c r="B1" s="293"/>
      <c r="C1" s="294"/>
      <c r="D1" s="91"/>
      <c r="E1" s="91"/>
      <c r="F1" s="292"/>
      <c r="G1" s="292"/>
      <c r="H1" s="292"/>
      <c r="I1" s="292"/>
      <c r="J1" s="284"/>
      <c r="K1" s="36"/>
      <c r="L1" s="36"/>
      <c r="M1" s="91"/>
      <c r="N1" s="49"/>
      <c r="O1" s="49"/>
      <c r="Q1" s="652" t="s">
        <v>1</v>
      </c>
      <c r="R1" s="652"/>
      <c r="S1" s="652"/>
      <c r="T1" s="652"/>
      <c r="U1" s="652" t="s">
        <v>2</v>
      </c>
      <c r="V1" s="652"/>
      <c r="W1" s="652"/>
      <c r="X1" s="652"/>
      <c r="Y1" s="652" t="s">
        <v>3</v>
      </c>
      <c r="Z1" s="652"/>
      <c r="AA1" s="652"/>
      <c r="AB1" s="652"/>
      <c r="AC1" s="652" t="s">
        <v>4</v>
      </c>
      <c r="AD1" s="652"/>
      <c r="AE1" s="652"/>
      <c r="AF1" s="652"/>
      <c r="AG1" s="652" t="s">
        <v>5</v>
      </c>
      <c r="AH1" s="652"/>
      <c r="AI1" s="652"/>
      <c r="AJ1" s="652"/>
      <c r="AK1" s="652" t="s">
        <v>6</v>
      </c>
      <c r="AL1" s="652"/>
      <c r="AM1" s="652"/>
      <c r="AN1" s="652"/>
      <c r="AO1" s="652" t="s">
        <v>7</v>
      </c>
      <c r="AP1" s="652"/>
      <c r="AQ1" s="652"/>
      <c r="AR1" s="652"/>
      <c r="AS1" s="652" t="s">
        <v>8</v>
      </c>
      <c r="AT1" s="652"/>
      <c r="AU1" s="652"/>
      <c r="AV1" s="652"/>
    </row>
    <row r="2" spans="1:48" s="26" customFormat="1" x14ac:dyDescent="0.25">
      <c r="A2" s="36"/>
      <c r="B2" s="293"/>
      <c r="C2" s="293"/>
      <c r="D2" s="91"/>
      <c r="E2" s="91"/>
      <c r="F2" s="36"/>
      <c r="G2" s="36"/>
      <c r="H2" s="36"/>
      <c r="I2" s="36"/>
      <c r="J2" s="284"/>
      <c r="K2" s="36"/>
      <c r="L2" s="36"/>
      <c r="M2" s="91"/>
      <c r="N2" s="91"/>
      <c r="O2" s="91"/>
      <c r="Q2" s="653" t="s">
        <v>1</v>
      </c>
      <c r="R2" s="653"/>
      <c r="S2" s="653"/>
      <c r="T2" s="653"/>
      <c r="U2" s="653" t="s">
        <v>9</v>
      </c>
      <c r="V2" s="653"/>
      <c r="W2" s="653"/>
      <c r="X2" s="653"/>
      <c r="Y2" s="653" t="s">
        <v>3</v>
      </c>
      <c r="Z2" s="653"/>
      <c r="AA2" s="653"/>
      <c r="AB2" s="653"/>
      <c r="AC2" s="653" t="s">
        <v>10</v>
      </c>
      <c r="AD2" s="653"/>
      <c r="AE2" s="653"/>
      <c r="AF2" s="653"/>
      <c r="AG2" s="653" t="s">
        <v>11</v>
      </c>
      <c r="AH2" s="653"/>
      <c r="AI2" s="653"/>
      <c r="AJ2" s="653"/>
      <c r="AK2" s="653" t="s">
        <v>12</v>
      </c>
      <c r="AL2" s="653"/>
      <c r="AM2" s="653"/>
      <c r="AN2" s="653"/>
      <c r="AO2" s="653" t="s">
        <v>13</v>
      </c>
      <c r="AP2" s="653"/>
      <c r="AQ2" s="653"/>
      <c r="AR2" s="653"/>
      <c r="AS2" s="653" t="s">
        <v>14</v>
      </c>
      <c r="AT2" s="653"/>
      <c r="AU2" s="653"/>
      <c r="AV2" s="653"/>
    </row>
    <row r="3" spans="1:48" s="36" customFormat="1" x14ac:dyDescent="0.25">
      <c r="A3" s="295"/>
      <c r="B3" s="296"/>
      <c r="C3" s="296"/>
      <c r="D3" s="297"/>
      <c r="E3" s="297"/>
      <c r="F3" s="298">
        <v>2020</v>
      </c>
      <c r="G3" s="298">
        <v>46210</v>
      </c>
      <c r="H3" s="298">
        <v>2022</v>
      </c>
      <c r="I3" s="298"/>
      <c r="M3" s="91"/>
      <c r="N3" s="91"/>
      <c r="O3" s="91"/>
      <c r="P3" s="26"/>
      <c r="Q3" s="27">
        <v>2018</v>
      </c>
      <c r="R3" s="27">
        <v>2019</v>
      </c>
      <c r="S3" s="27">
        <v>2020</v>
      </c>
      <c r="T3" s="27">
        <v>2021</v>
      </c>
      <c r="U3" s="27">
        <v>2018</v>
      </c>
      <c r="V3" s="27">
        <v>2019</v>
      </c>
      <c r="W3" s="27">
        <v>2020</v>
      </c>
      <c r="X3" s="27">
        <v>2021</v>
      </c>
      <c r="Y3" s="27">
        <v>2018</v>
      </c>
      <c r="Z3" s="27">
        <v>2019</v>
      </c>
      <c r="AA3" s="27">
        <v>2020</v>
      </c>
      <c r="AB3" s="27">
        <v>2021</v>
      </c>
      <c r="AC3" s="27">
        <v>2018</v>
      </c>
      <c r="AD3" s="27">
        <v>2019</v>
      </c>
      <c r="AE3" s="27">
        <v>2020</v>
      </c>
      <c r="AF3" s="27">
        <v>2021</v>
      </c>
      <c r="AG3" s="27">
        <v>2018</v>
      </c>
      <c r="AH3" s="27">
        <v>2019</v>
      </c>
      <c r="AI3" s="27">
        <v>2020</v>
      </c>
      <c r="AJ3" s="27">
        <v>2021</v>
      </c>
      <c r="AK3" s="27">
        <v>2018</v>
      </c>
      <c r="AL3" s="27">
        <v>2019</v>
      </c>
      <c r="AM3" s="27">
        <v>2020</v>
      </c>
      <c r="AN3" s="27">
        <v>2021</v>
      </c>
      <c r="AO3" s="27">
        <v>2018</v>
      </c>
      <c r="AP3" s="27">
        <v>2019</v>
      </c>
      <c r="AQ3" s="27">
        <v>2020</v>
      </c>
      <c r="AR3" s="27">
        <v>2021</v>
      </c>
      <c r="AS3" s="27">
        <v>2018</v>
      </c>
      <c r="AT3" s="27">
        <v>2019</v>
      </c>
      <c r="AU3" s="27">
        <v>2020</v>
      </c>
      <c r="AV3" s="27">
        <v>2021</v>
      </c>
    </row>
    <row r="4" spans="1:48" s="36" customFormat="1" x14ac:dyDescent="0.25">
      <c r="A4" s="299" t="s">
        <v>15</v>
      </c>
      <c r="B4" s="300"/>
      <c r="C4" s="301"/>
      <c r="D4" s="302"/>
      <c r="E4" s="302"/>
      <c r="F4" s="303">
        <v>4546363</v>
      </c>
      <c r="G4" s="303">
        <v>4546363</v>
      </c>
      <c r="H4" s="303">
        <v>4546363</v>
      </c>
      <c r="I4" s="303">
        <v>4546363</v>
      </c>
      <c r="J4" s="1"/>
      <c r="M4" s="304">
        <v>29670</v>
      </c>
      <c r="N4" s="91">
        <v>13290</v>
      </c>
      <c r="O4" s="91"/>
      <c r="P4" s="27" t="s">
        <v>16</v>
      </c>
      <c r="Q4" s="10" t="e">
        <f>SUMIFS(#REF!,$O:$O,$P$4,$A:$A,$Q$1)</f>
        <v>#REF!</v>
      </c>
      <c r="R4" s="10" t="e">
        <f>SUMIFS(#REF!,$O:$O,$P$4,$A:$A,$Q$1)</f>
        <v>#REF!</v>
      </c>
      <c r="S4" s="10">
        <f>SUMIFS(F:F,$O:$O,$P$4,$A:$A,$Q$1)</f>
        <v>0</v>
      </c>
      <c r="T4" s="10">
        <f>SUMIFS(G:G,$O:$O,$P$4,$A:$A,$Q$1)</f>
        <v>0</v>
      </c>
      <c r="U4" s="10" t="e">
        <f>SUMIFS(#REF!,$O:$O,$P$4,$A:$A,$U$1)</f>
        <v>#REF!</v>
      </c>
      <c r="V4" s="10" t="e">
        <f>SUMIFS(#REF!,$O:$O,$P$4,$A:$A,$U$1)</f>
        <v>#REF!</v>
      </c>
      <c r="W4" s="10">
        <f>SUMIFS(F:F,$O:$O,$P$4,$A:$A,$U$1)</f>
        <v>0</v>
      </c>
      <c r="X4" s="10">
        <f>SUMIFS(G:G,$O:$O,$P$4,$A:$A,$U$1)</f>
        <v>0</v>
      </c>
      <c r="Y4" s="10" t="e">
        <f>SUMIFS(#REF!,$O:$O,$P$4,$A:$A,$Y$1)</f>
        <v>#REF!</v>
      </c>
      <c r="Z4" s="10" t="e">
        <f>SUMIFS(#REF!,$O:$O,$P$4,$A:$A,$Y$1)</f>
        <v>#REF!</v>
      </c>
      <c r="AA4" s="10">
        <f>SUMIFS(F:F,$O:$O,$P$4,$A:$A,$Y$1)</f>
        <v>0</v>
      </c>
      <c r="AB4" s="10">
        <f>SUMIFS(G:G,$O:$O,$P$4,$A:$A,$Y$1)</f>
        <v>0</v>
      </c>
      <c r="AC4" s="10" t="e">
        <f>SUMIFS(#REF!,$O:$O,$P$4,$A:$A,$AC$1)</f>
        <v>#REF!</v>
      </c>
      <c r="AD4" s="10" t="e">
        <f>SUMIFS(#REF!,$O:$O,$P$4,$A:$A,$AC$1)</f>
        <v>#REF!</v>
      </c>
      <c r="AE4" s="10">
        <f>SUMIFS(F:F,$O:$O,$P$4,$A:$A,$AC$1)</f>
        <v>0</v>
      </c>
      <c r="AF4" s="10">
        <f>SUMIFS(G:G,$O:$O,$P$4,$A:$A,$AC$1)</f>
        <v>0</v>
      </c>
      <c r="AG4" s="10" t="e">
        <f>SUMIFS(#REF!,$O:$O,$P$4,$A:$A,$AG$1)</f>
        <v>#REF!</v>
      </c>
      <c r="AH4" s="10" t="e">
        <f>SUMIFS(#REF!,$O:$O,$P$4,$A:$A,$AG$1)</f>
        <v>#REF!</v>
      </c>
      <c r="AI4" s="10">
        <f>SUMIFS(F:F,$O:$O,$P$4,$A:$A,$AG$1)</f>
        <v>0</v>
      </c>
      <c r="AJ4" s="10">
        <f>SUMIFS(G:G,$O:$O,$P$4,$A:$A,$AG$1)</f>
        <v>0</v>
      </c>
      <c r="AK4" s="10" t="e">
        <f>SUMIFS(#REF!,$O:$O,$P$4,$A:$A,$AK$1)</f>
        <v>#REF!</v>
      </c>
      <c r="AL4" s="10" t="e">
        <f>SUMIFS(#REF!,$O:$O,$P$4,$A:$A,$AK$1)</f>
        <v>#REF!</v>
      </c>
      <c r="AM4" s="10">
        <f>SUMIFS(F:F,$O:$O,$P$4,$A:$A,$AK$1)</f>
        <v>0</v>
      </c>
      <c r="AN4" s="10">
        <f>SUMIFS(G:G,$O:$O,$P$4,$A:$A,$AK$1)</f>
        <v>0</v>
      </c>
      <c r="AO4" s="10" t="e">
        <f>SUMIFS(#REF!,$O:$O,$P$4,$A:$A,$AO$1)</f>
        <v>#REF!</v>
      </c>
      <c r="AP4" s="10" t="e">
        <f>SUMIFS(#REF!,$O:$O,$P$4,$A:$A,$AO$1)</f>
        <v>#REF!</v>
      </c>
      <c r="AQ4" s="10">
        <f>SUMIFS(F:F,$O:$O,$P$4,$A:$A,$AO$1)</f>
        <v>0</v>
      </c>
      <c r="AR4" s="10">
        <f>SUMIFS(G:G,$O:$O,$P$4,$A:$A,$AO$1)</f>
        <v>0</v>
      </c>
      <c r="AS4" s="10" t="e">
        <f>SUMIFS(#REF!,$O:$O,$P$4,$A:$A,$AS$1)</f>
        <v>#REF!</v>
      </c>
      <c r="AT4" s="10" t="e">
        <f>SUMIFS(#REF!,$O:$O,$P$4,$A:$A,$AS$1)</f>
        <v>#REF!</v>
      </c>
      <c r="AU4" s="10">
        <f>SUMIFS(F:F,$O:$O,$P$4,$A:$A,$AS$1)</f>
        <v>0</v>
      </c>
      <c r="AV4" s="10">
        <f>SUMIFS(G:G,$O:$O,$P$4,$A:$A,$AS$1)</f>
        <v>0</v>
      </c>
    </row>
    <row r="5" spans="1:48" s="36" customFormat="1" x14ac:dyDescent="0.25">
      <c r="A5" s="36" t="str">
        <f>C62</f>
        <v>SUM SENTRALE INNTEKTER OG FINANSPOSTER</v>
      </c>
      <c r="B5" s="293"/>
      <c r="C5" s="121"/>
      <c r="D5" s="91"/>
      <c r="E5" s="91"/>
      <c r="F5" s="2">
        <f>F62</f>
        <v>-4802323</v>
      </c>
      <c r="G5" s="2">
        <f>G62</f>
        <v>-4795476</v>
      </c>
      <c r="H5" s="2">
        <f>H62</f>
        <v>-4804933</v>
      </c>
      <c r="I5" s="2">
        <f>I62</f>
        <v>-4840058</v>
      </c>
      <c r="M5" s="91">
        <v>9340</v>
      </c>
      <c r="N5" s="91">
        <v>6220</v>
      </c>
      <c r="O5" s="91"/>
      <c r="P5" s="1" t="s">
        <v>17</v>
      </c>
      <c r="Q5" s="10" t="e">
        <f>SUMIFS(#REF!,$M:$M,"VEDTATT",$A:$A,$Q$1)</f>
        <v>#REF!</v>
      </c>
      <c r="R5" s="10" t="e">
        <f>SUMIFS(#REF!,$M:$M,"VEDTATT",$A:$A,$Q$1)</f>
        <v>#REF!</v>
      </c>
      <c r="S5" s="10">
        <f>SUMIFS(F:F,$M:$M,"VEDTATT",$A:$A,$Q$1)</f>
        <v>0</v>
      </c>
      <c r="T5" s="10">
        <f>SUMIFS(G:G,$M:$M,"VEDTATT",$A:$A,$Q$1)</f>
        <v>0</v>
      </c>
      <c r="U5" s="10" t="e">
        <f>SUMIFS(#REF!,$M:$M,"VEDTATT",$A:$A,$U$1)</f>
        <v>#REF!</v>
      </c>
      <c r="V5" s="10" t="e">
        <f>SUMIFS(#REF!,$M:$M,"VEDTATT",$A:$A,$U$1)</f>
        <v>#REF!</v>
      </c>
      <c r="W5" s="10">
        <f>SUMIFS(F:F,$M:$M,"VEDTATT",$A:$A,$U$1)</f>
        <v>0</v>
      </c>
      <c r="X5" s="10">
        <f>SUMIFS(G:G,$M:$M,"VEDTATT",$A:$A,$U$1)</f>
        <v>0</v>
      </c>
      <c r="Y5" s="10" t="e">
        <f>SUMIFS(#REF!,$M:$M,"VEDTATT",$A:$A,$Y$1)</f>
        <v>#REF!</v>
      </c>
      <c r="Z5" s="10" t="e">
        <f>SUMIFS(#REF!,$M:$M,"VEDTATT",$A:$A,$Y$1)</f>
        <v>#REF!</v>
      </c>
      <c r="AA5" s="10">
        <f>SUMIFS(F:F,$M:$M,"VEDTATT",$A:$A,$Y$1)</f>
        <v>0</v>
      </c>
      <c r="AB5" s="10">
        <f>SUMIFS(G:G,$M:$M,"VEDTATT",$A:$A,$Y$1)</f>
        <v>0</v>
      </c>
      <c r="AC5" s="10" t="e">
        <f>SUMIFS(#REF!,$M:$M,"VEDTATT",$A:$A,$AC$1)</f>
        <v>#REF!</v>
      </c>
      <c r="AD5" s="10" t="e">
        <f>SUMIFS(#REF!,$M:$M,"VEDTATT",$A:$A,$AC$1)</f>
        <v>#REF!</v>
      </c>
      <c r="AE5" s="10">
        <f>SUMIFS(F:F,$M:$M,"VEDTATT",$A:$A,$AC$1)</f>
        <v>0</v>
      </c>
      <c r="AF5" s="10">
        <f>SUMIFS(G:G,$M:$M,"VEDTATT",$A:$A,$AC$1)</f>
        <v>0</v>
      </c>
      <c r="AG5" s="10" t="e">
        <f>SUMIFS(#REF!,$M:$M,"VEDTATT",$A:$A,$AG$1)</f>
        <v>#REF!</v>
      </c>
      <c r="AH5" s="10" t="e">
        <f>SUMIFS(#REF!,$M:$M,"VEDTATT",$A:$A,$AG$1)</f>
        <v>#REF!</v>
      </c>
      <c r="AI5" s="10">
        <f>SUMIFS(F:F,$M:$M,"VEDTATT",$A:$A,$AG$1)</f>
        <v>0</v>
      </c>
      <c r="AJ5" s="10">
        <f>SUMIFS(G:G,$M:$M,"VEDTATT",$A:$A,$AG$1)</f>
        <v>0</v>
      </c>
      <c r="AK5" s="10" t="e">
        <f>SUMIFS(#REF!,$M:$M,"VEDTATT",$A:$A,$AK$1)</f>
        <v>#REF!</v>
      </c>
      <c r="AL5" s="10" t="e">
        <f>SUMIFS(#REF!,$M:$M,"VEDTATT",$A:$A,$AK$1)</f>
        <v>#REF!</v>
      </c>
      <c r="AM5" s="10">
        <f>SUMIFS(F:F,$M:$M,"VEDTATT",$A:$A,$AK$1)</f>
        <v>0</v>
      </c>
      <c r="AN5" s="10">
        <f>SUMIFS(G:G,$M:$M,"VEDTATT",$A:$A,$AK$1)</f>
        <v>-800</v>
      </c>
      <c r="AO5" s="10" t="e">
        <f>SUMIFS(#REF!,$M:$M,"VEDTATT",$A:$A,$AO$1)</f>
        <v>#REF!</v>
      </c>
      <c r="AP5" s="10" t="e">
        <f>SUMIFS(#REF!,$M:$M,"VEDTATT",$A:$A,$AO$1)</f>
        <v>#REF!</v>
      </c>
      <c r="AQ5" s="10">
        <f>SUMIFS(F:F,$M:$M,"VEDTATT",$A:$A,$AO$1)</f>
        <v>0</v>
      </c>
      <c r="AR5" s="10">
        <f>SUMIFS(G:G,$M:$M,"VEDTATT",$A:$A,$AO$1)</f>
        <v>0</v>
      </c>
      <c r="AS5" s="10" t="e">
        <f>SUMIFS(#REF!,$M:$M,"VEDTATT",$A:$A,$AS$1)</f>
        <v>#REF!</v>
      </c>
      <c r="AT5" s="10" t="e">
        <f>SUMIFS(#REF!,$M:$M,"VEDTATT",$A:$A,$AS$1)</f>
        <v>#REF!</v>
      </c>
      <c r="AU5" s="10">
        <f>SUMIFS(F:F,$M:$M,"VEDTATT",$A:$A,$AS$1)</f>
        <v>-34135</v>
      </c>
      <c r="AV5" s="10">
        <f>SUMIFS(G:G,$M:$M,"VEDTATT",$A:$A,$AS$1)</f>
        <v>-46500</v>
      </c>
    </row>
    <row r="6" spans="1:48" s="36" customFormat="1" x14ac:dyDescent="0.25">
      <c r="A6" s="305" t="s">
        <v>18</v>
      </c>
      <c r="B6" s="306"/>
      <c r="C6" s="307"/>
      <c r="D6" s="308"/>
      <c r="E6" s="308"/>
      <c r="F6" s="309">
        <f>SUM(F4:F5)</f>
        <v>-255960</v>
      </c>
      <c r="G6" s="309">
        <f>SUM(G4:G5)</f>
        <v>-249113</v>
      </c>
      <c r="H6" s="309">
        <f>SUM(H4:H5)</f>
        <v>-258570</v>
      </c>
      <c r="I6" s="309">
        <f>SUM(I4:I5)</f>
        <v>-293695</v>
      </c>
      <c r="M6" s="91"/>
      <c r="N6" s="91"/>
      <c r="O6" s="91"/>
      <c r="P6" s="27" t="s">
        <v>19</v>
      </c>
      <c r="Q6" s="10" t="e">
        <f>SUMIFS(#REF!,$N:$N,$P$6,$A:$A,$Q$1)</f>
        <v>#REF!</v>
      </c>
      <c r="R6" s="10" t="e">
        <f>SUMIFS(#REF!,$N:$N,$P$6,$A:$A,$Q$1)</f>
        <v>#REF!</v>
      </c>
      <c r="S6" s="10">
        <f>SUMIFS(F:F,$N:$N,$P$6,$A:$A,$Q$1)</f>
        <v>0</v>
      </c>
      <c r="T6" s="10">
        <f>SUMIFS(G:G,$N:$N,$P$6,$A:$A,$Q$1)</f>
        <v>0</v>
      </c>
      <c r="U6" s="10" t="e">
        <f>SUMIFS(#REF!,$N:$N,$P$6,$A:$A,$U$1)</f>
        <v>#REF!</v>
      </c>
      <c r="V6" s="10" t="e">
        <f>SUMIFS(#REF!,$N:$N,$P$6,$A:$A,$U$1)</f>
        <v>#REF!</v>
      </c>
      <c r="W6" s="10">
        <f>SUMIFS(F:F,$N:$N,$P$6,$A:$A,$U$1)</f>
        <v>0</v>
      </c>
      <c r="X6" s="10">
        <f>SUMIFS(G:G,$N:$N,$P$6,$A:$A,$U$1)</f>
        <v>0</v>
      </c>
      <c r="Y6" s="10" t="e">
        <f>SUMIFS(#REF!,$N:$N,$P$6,$A:$A,$Y$1)</f>
        <v>#REF!</v>
      </c>
      <c r="Z6" s="10" t="e">
        <f>SUMIFS(#REF!,$N:$N,$P$6,$A:$A,$Y$1)</f>
        <v>#REF!</v>
      </c>
      <c r="AA6" s="10">
        <f>SUMIFS(F:F,$N:$N,$P$6,$A:$A,$Y$1)</f>
        <v>0</v>
      </c>
      <c r="AB6" s="10">
        <f>SUMIFS(G:G,$N:$N,$P$6,$A:$A,$Y$1)</f>
        <v>0</v>
      </c>
      <c r="AC6" s="10" t="e">
        <f>SUMIFS(#REF!,$N:$N,$P$6,$A:$A,$AC$1)</f>
        <v>#REF!</v>
      </c>
      <c r="AD6" s="10" t="e">
        <f>SUMIFS(#REF!,$N:$N,$P$6,$A:$A,$AC$1)</f>
        <v>#REF!</v>
      </c>
      <c r="AE6" s="10">
        <f>SUMIFS(F:F,$N:$N,$P$6,$A:$A,$AC$1)</f>
        <v>0</v>
      </c>
      <c r="AF6" s="10">
        <f>SUMIFS(G:G,$N:$N,$P$6,$A:$A,$AC$1)</f>
        <v>0</v>
      </c>
      <c r="AG6" s="10" t="e">
        <f>SUMIFS(#REF!,$N:$N,$P$6,$A:$A,$AG$1)</f>
        <v>#REF!</v>
      </c>
      <c r="AH6" s="10" t="e">
        <f>SUMIFS(#REF!,$N:$N,$P$6,$A:$A,$AG$1)</f>
        <v>#REF!</v>
      </c>
      <c r="AI6" s="10">
        <f>SUMIFS(F:F,$N:$N,$P$6,$A:$A,$AG$1)</f>
        <v>0</v>
      </c>
      <c r="AJ6" s="10">
        <f>SUMIFS(G:G,$N:$N,$P$6,$A:$A,$AG$1)</f>
        <v>0</v>
      </c>
      <c r="AK6" s="10" t="e">
        <f>SUMIFS(#REF!,$N:$N,$P$6,$A:$A,$AK$1)</f>
        <v>#REF!</v>
      </c>
      <c r="AL6" s="10" t="e">
        <f>SUMIFS(#REF!,$N:$N,$P$6,$A:$A,$AK$1)</f>
        <v>#REF!</v>
      </c>
      <c r="AM6" s="10">
        <f>SUMIFS(F:F,$N:$N,$P$6,$A:$A,$AK$1)</f>
        <v>0</v>
      </c>
      <c r="AN6" s="10">
        <f>SUMIFS(G:G,$N:$N,$P$6,$A:$A,$AK$1)</f>
        <v>0</v>
      </c>
      <c r="AO6" s="10" t="e">
        <f>SUMIFS(#REF!,$N:$N,$P$6,$A:$A,$AO$1)</f>
        <v>#REF!</v>
      </c>
      <c r="AP6" s="10" t="e">
        <f>SUMIFS(#REF!,$N:$N,$P$6,$A:$A,$AO$1)</f>
        <v>#REF!</v>
      </c>
      <c r="AQ6" s="10">
        <f>SUMIFS(F:F,$N:$N,$P$6,$A:$A,$AO$1)</f>
        <v>-50</v>
      </c>
      <c r="AR6" s="10">
        <f>SUMIFS(G:G,$N:$N,$P$6,$A:$A,$AO$1)</f>
        <v>-50</v>
      </c>
      <c r="AS6" s="10" t="e">
        <f>SUMIFS(#REF!,$N:$N,$P$6,$A:$A,$AS$1)</f>
        <v>#REF!</v>
      </c>
      <c r="AT6" s="10" t="e">
        <f>SUMIFS(#REF!,$N:$N,$P$6,$A:$A,$AS$1)</f>
        <v>#REF!</v>
      </c>
      <c r="AU6" s="10">
        <f>SUMIFS(F:F,$N:$N,$P$6,$A:$A,$AS$1)</f>
        <v>127914</v>
      </c>
      <c r="AV6" s="10">
        <f>SUMIFS(G:G,$N:$N,$P$6,$A:$A,$AS$1)</f>
        <v>130094</v>
      </c>
    </row>
    <row r="7" spans="1:48" s="36" customFormat="1" x14ac:dyDescent="0.25">
      <c r="A7" s="310"/>
      <c r="B7" s="300"/>
      <c r="C7" s="300"/>
      <c r="D7" s="302"/>
      <c r="E7" s="302"/>
      <c r="F7" s="311"/>
      <c r="G7" s="311"/>
      <c r="H7" s="311"/>
      <c r="I7" s="311"/>
      <c r="M7" s="91"/>
      <c r="N7" s="91"/>
      <c r="O7" s="91"/>
      <c r="P7" s="27" t="s">
        <v>20</v>
      </c>
      <c r="Q7" s="10" t="e">
        <f>SUMIFS(#REF!,$O:$O,$P$7,$A:$A,$Q$1)</f>
        <v>#REF!</v>
      </c>
      <c r="R7" s="10" t="e">
        <f>SUMIFS(#REF!,$O:$O,$P$7,$A:$A,$Q$1)</f>
        <v>#REF!</v>
      </c>
      <c r="S7" s="10">
        <f>SUMIFS(F:F,$O:$O,$P$7,$A:$A,$Q$1)</f>
        <v>0</v>
      </c>
      <c r="T7" s="10">
        <f>SUMIFS(G:G,$O:$O,$P$7,$A:$A,$Q$1)</f>
        <v>0</v>
      </c>
      <c r="U7" s="10" t="e">
        <f>SUMIFS(#REF!,$O:$O,$P$7,$A:$A,$U$1)</f>
        <v>#REF!</v>
      </c>
      <c r="V7" s="10" t="e">
        <f>SUMIFS(#REF!,$O:$O,$P$7,$A:$A,$U$1)</f>
        <v>#REF!</v>
      </c>
      <c r="W7" s="10">
        <f>SUMIFS(F:F,$O:$O,$P$7,$A:$A,$U$1)</f>
        <v>0</v>
      </c>
      <c r="X7" s="10">
        <f>SUMIFS(G:G,$O:$O,$P$7,$A:$A,$U$1)</f>
        <v>0</v>
      </c>
      <c r="Y7" s="10" t="e">
        <f>SUMIFS(#REF!,$O:$O,$P$7,$A:$A,$Y$1)</f>
        <v>#REF!</v>
      </c>
      <c r="Z7" s="10" t="e">
        <f>SUMIFS(#REF!,$O:$O,$P$7,$A:$A,$Y$1)</f>
        <v>#REF!</v>
      </c>
      <c r="AA7" s="10">
        <f>SUMIFS(F:F,$O:$O,$P$7,$A:$A,$Y$1)</f>
        <v>0</v>
      </c>
      <c r="AB7" s="10">
        <f>SUMIFS(G:G,$O:$O,$P$7,$A:$A,$Y$1)</f>
        <v>0</v>
      </c>
      <c r="AC7" s="10" t="e">
        <f>SUMIFS(#REF!,$O:$O,$P$7,$A:$A,$AC$1)</f>
        <v>#REF!</v>
      </c>
      <c r="AD7" s="10" t="e">
        <f>SUMIFS(#REF!,$O:$O,$P$7,$A:$A,$AC$1)</f>
        <v>#REF!</v>
      </c>
      <c r="AE7" s="10">
        <f>SUMIFS(F:F,$O:$O,$P$7,$A:$A,$AC$1)</f>
        <v>0</v>
      </c>
      <c r="AF7" s="10">
        <f>SUMIFS(G:G,$O:$O,$P$7,$A:$A,$AC$1)</f>
        <v>0</v>
      </c>
      <c r="AG7" s="10" t="e">
        <f>SUMIFS(#REF!,$O:$O,$P$7,$A:$A,$AG$1)</f>
        <v>#REF!</v>
      </c>
      <c r="AH7" s="10" t="e">
        <f>SUMIFS(#REF!,$O:$O,$P$7,$A:$A,$AG$1)</f>
        <v>#REF!</v>
      </c>
      <c r="AI7" s="10">
        <f>SUMIFS(F:F,$O:$O,$P$7,$A:$A,$AG$1)</f>
        <v>0</v>
      </c>
      <c r="AJ7" s="10">
        <f>SUMIFS(G:G,$O:$O,$P$7,$A:$A,$AG$1)</f>
        <v>0</v>
      </c>
      <c r="AK7" s="10" t="e">
        <f>SUMIFS(#REF!,$O:$O,$P$7,$A:$A,$AK$1)</f>
        <v>#REF!</v>
      </c>
      <c r="AL7" s="10" t="e">
        <f>SUMIFS(#REF!,$O:$O,$P$7,$A:$A,$AK$1)</f>
        <v>#REF!</v>
      </c>
      <c r="AM7" s="10">
        <f>SUMIFS(F:F,$O:$O,$P$7,$A:$A,$AK$1)</f>
        <v>0</v>
      </c>
      <c r="AN7" s="10">
        <f>SUMIFS(G:G,$O:$O,$P$7,$A:$A,$AK$1)</f>
        <v>0</v>
      </c>
      <c r="AO7" s="10" t="e">
        <f>SUMIFS(#REF!,$O:$O,$P$7,$A:$A,$AO$1)</f>
        <v>#REF!</v>
      </c>
      <c r="AP7" s="10" t="e">
        <f>SUMIFS(#REF!,$O:$O,$P$7,$A:$A,$AO$1)</f>
        <v>#REF!</v>
      </c>
      <c r="AQ7" s="10">
        <f>SUMIFS(F:F,$O:$O,$P$7,$A:$A,$AO$1)</f>
        <v>0</v>
      </c>
      <c r="AR7" s="10">
        <f>SUMIFS(G:G,$O:$O,$P$7,$A:$A,$AO$1)</f>
        <v>0</v>
      </c>
      <c r="AS7" s="10" t="e">
        <f>SUMIFS(#REF!,$O:$O,$P$7,$A:$A,$AS$1)</f>
        <v>#REF!</v>
      </c>
      <c r="AT7" s="10" t="e">
        <f>SUMIFS(#REF!,$O:$O,$P$7,$A:$A,$AS$1)</f>
        <v>#REF!</v>
      </c>
      <c r="AU7" s="10">
        <f>SUMIFS(F:F,$O:$O,$P$7,$A:$A,$AS$1)</f>
        <v>0</v>
      </c>
      <c r="AV7" s="10">
        <f>SUMIFS(G:G,$O:$O,$P$7,$A:$A,$AS$1)</f>
        <v>0</v>
      </c>
    </row>
    <row r="8" spans="1:48" s="36" customFormat="1" x14ac:dyDescent="0.25">
      <c r="A8" s="312" t="s">
        <v>21</v>
      </c>
      <c r="B8" s="205"/>
      <c r="C8" s="205"/>
      <c r="D8" s="313"/>
      <c r="E8" s="313"/>
      <c r="F8" s="37">
        <f>SUMIF($D:$D,"ØP 21-24",F:F)</f>
        <v>-15191</v>
      </c>
      <c r="G8" s="37">
        <f>SUMIF($D:$D,"ØP 21-24",G:G)</f>
        <v>-9266</v>
      </c>
      <c r="H8" s="37">
        <f>SUMIF($D:$D,"ØP 21-24",H:H)</f>
        <v>4891.5833333333321</v>
      </c>
      <c r="I8" s="37">
        <f>SUMIF($D:$D,"ØP 21-24",I:I)</f>
        <v>29560</v>
      </c>
      <c r="M8" s="91"/>
      <c r="N8" s="49"/>
      <c r="O8" s="49"/>
      <c r="P8" s="26" t="s">
        <v>22</v>
      </c>
      <c r="Q8" s="231" t="e">
        <f t="shared" ref="Q8:AV8" si="0">SUBTOTAL(9,Q4:Q7)</f>
        <v>#REF!</v>
      </c>
      <c r="R8" s="231" t="e">
        <f t="shared" si="0"/>
        <v>#REF!</v>
      </c>
      <c r="S8" s="231">
        <f t="shared" si="0"/>
        <v>0</v>
      </c>
      <c r="T8" s="231">
        <f t="shared" si="0"/>
        <v>0</v>
      </c>
      <c r="U8" s="231" t="e">
        <f t="shared" si="0"/>
        <v>#REF!</v>
      </c>
      <c r="V8" s="231" t="e">
        <f t="shared" si="0"/>
        <v>#REF!</v>
      </c>
      <c r="W8" s="231">
        <f t="shared" si="0"/>
        <v>0</v>
      </c>
      <c r="X8" s="231">
        <f t="shared" si="0"/>
        <v>0</v>
      </c>
      <c r="Y8" s="231" t="e">
        <f t="shared" si="0"/>
        <v>#REF!</v>
      </c>
      <c r="Z8" s="231" t="e">
        <f t="shared" si="0"/>
        <v>#REF!</v>
      </c>
      <c r="AA8" s="231">
        <f t="shared" si="0"/>
        <v>0</v>
      </c>
      <c r="AB8" s="231">
        <f t="shared" si="0"/>
        <v>0</v>
      </c>
      <c r="AC8" s="231" t="e">
        <f t="shared" si="0"/>
        <v>#REF!</v>
      </c>
      <c r="AD8" s="231" t="e">
        <f t="shared" si="0"/>
        <v>#REF!</v>
      </c>
      <c r="AE8" s="231">
        <f t="shared" si="0"/>
        <v>0</v>
      </c>
      <c r="AF8" s="231">
        <f t="shared" si="0"/>
        <v>0</v>
      </c>
      <c r="AG8" s="231" t="e">
        <f t="shared" si="0"/>
        <v>#REF!</v>
      </c>
      <c r="AH8" s="231" t="e">
        <f t="shared" si="0"/>
        <v>#REF!</v>
      </c>
      <c r="AI8" s="231">
        <f t="shared" si="0"/>
        <v>0</v>
      </c>
      <c r="AJ8" s="231">
        <f t="shared" si="0"/>
        <v>0</v>
      </c>
      <c r="AK8" s="231" t="e">
        <f t="shared" si="0"/>
        <v>#REF!</v>
      </c>
      <c r="AL8" s="231" t="e">
        <f t="shared" si="0"/>
        <v>#REF!</v>
      </c>
      <c r="AM8" s="231">
        <f t="shared" si="0"/>
        <v>0</v>
      </c>
      <c r="AN8" s="231">
        <f t="shared" si="0"/>
        <v>-800</v>
      </c>
      <c r="AO8" s="231" t="e">
        <f t="shared" si="0"/>
        <v>#REF!</v>
      </c>
      <c r="AP8" s="231" t="e">
        <f t="shared" si="0"/>
        <v>#REF!</v>
      </c>
      <c r="AQ8" s="231">
        <f t="shared" si="0"/>
        <v>-50</v>
      </c>
      <c r="AR8" s="231">
        <f t="shared" si="0"/>
        <v>-50</v>
      </c>
      <c r="AS8" s="231" t="e">
        <f t="shared" si="0"/>
        <v>#REF!</v>
      </c>
      <c r="AT8" s="231" t="e">
        <f t="shared" si="0"/>
        <v>#REF!</v>
      </c>
      <c r="AU8" s="231">
        <f t="shared" si="0"/>
        <v>93779</v>
      </c>
      <c r="AV8" s="231">
        <f t="shared" si="0"/>
        <v>83594</v>
      </c>
    </row>
    <row r="9" spans="1:48" s="36" customFormat="1" x14ac:dyDescent="0.25">
      <c r="A9" s="314" t="s">
        <v>23</v>
      </c>
      <c r="B9" s="315"/>
      <c r="C9" s="315"/>
      <c r="D9" s="316"/>
      <c r="E9" s="316"/>
      <c r="F9" s="265">
        <f>SUMIF($D:$D,"ØP 21-24 REKALK",F:F)</f>
        <v>35196</v>
      </c>
      <c r="G9" s="265">
        <f>SUMIF($D:$D,"ØP 21-24 REKALK",G:G)</f>
        <v>37468</v>
      </c>
      <c r="H9" s="265">
        <f>SUMIF($D:$D,"ØP 21-24 REKALK",H:H)</f>
        <v>35983</v>
      </c>
      <c r="I9" s="265">
        <f>SUMIF($D:$D,"ØP 21-24 REKALK",I:I)</f>
        <v>42303</v>
      </c>
      <c r="M9" s="91"/>
      <c r="N9" s="49"/>
      <c r="O9" s="49"/>
      <c r="P9" s="26"/>
    </row>
    <row r="10" spans="1:48" s="36" customFormat="1" x14ac:dyDescent="0.25">
      <c r="A10" s="317" t="s">
        <v>24</v>
      </c>
      <c r="B10" s="318"/>
      <c r="C10" s="318"/>
      <c r="D10" s="319"/>
      <c r="E10" s="319"/>
      <c r="F10" s="320">
        <f>F6+F8+F9</f>
        <v>-235955</v>
      </c>
      <c r="G10" s="320">
        <f>G6+G8+G9</f>
        <v>-220911</v>
      </c>
      <c r="H10" s="320">
        <f>H6+H8+H9</f>
        <v>-217695.41666666666</v>
      </c>
      <c r="I10" s="320">
        <f>I6+I8+I9</f>
        <v>-221832</v>
      </c>
      <c r="M10" s="91"/>
      <c r="N10" s="49"/>
      <c r="O10" s="49"/>
      <c r="P10" s="26"/>
    </row>
    <row r="11" spans="1:48" s="26" customFormat="1" x14ac:dyDescent="0.25">
      <c r="A11" s="36"/>
      <c r="B11" s="293"/>
      <c r="C11" s="293"/>
      <c r="D11" s="91"/>
      <c r="E11" s="91"/>
      <c r="F11" s="2"/>
      <c r="G11" s="2"/>
      <c r="H11" s="2"/>
      <c r="I11" s="2"/>
      <c r="J11" s="36"/>
      <c r="K11" s="36"/>
      <c r="L11" s="36"/>
      <c r="M11" s="91"/>
      <c r="N11" s="49"/>
      <c r="O11" s="49"/>
      <c r="Q11" s="93"/>
      <c r="R11" s="93"/>
      <c r="S11" s="93"/>
      <c r="T11" s="93"/>
    </row>
    <row r="12" spans="1:48" s="26" customFormat="1" x14ac:dyDescent="0.25">
      <c r="A12" s="310" t="s">
        <v>25</v>
      </c>
      <c r="B12" s="293"/>
      <c r="C12" s="293"/>
      <c r="D12" s="91"/>
      <c r="E12" s="91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6"/>
      <c r="K12" s="36"/>
      <c r="L12" s="36"/>
      <c r="M12" s="91"/>
      <c r="N12" s="49"/>
      <c r="O12" s="49"/>
      <c r="Q12" s="93"/>
      <c r="R12" s="93"/>
      <c r="S12" s="93"/>
      <c r="T12" s="93"/>
    </row>
    <row r="13" spans="1:48" s="36" customFormat="1" x14ac:dyDescent="0.25">
      <c r="A13" s="314" t="s">
        <v>26</v>
      </c>
      <c r="B13" s="315"/>
      <c r="C13" s="315"/>
      <c r="D13" s="316"/>
      <c r="E13" s="316"/>
      <c r="F13" s="265">
        <f>SUMIFS(F:F,$D:$D,"NYTT",$E:$E,"MÅ")</f>
        <v>235955</v>
      </c>
      <c r="G13" s="265">
        <f>SUMIFS(G:G,$D:$D,"NYTT",$E:$E,"MÅ")</f>
        <v>220911</v>
      </c>
      <c r="H13" s="265">
        <f>SUMIFS(H:H,$D:$D,"NYTT",$E:$E,"MÅ")</f>
        <v>217695</v>
      </c>
      <c r="I13" s="265">
        <f>SUMIFS(I:I,$D:$D,"NYTT",$E:$E,"MÅ")</f>
        <v>221832</v>
      </c>
      <c r="M13" s="91"/>
      <c r="N13" s="49"/>
      <c r="O13" s="49"/>
      <c r="P13" s="27" t="s">
        <v>16</v>
      </c>
      <c r="Q13" s="93" t="e">
        <f t="shared" ref="Q13:T17" si="1">Q4+U4+Y4+AC4+AG4+AK4+AO4+AS4</f>
        <v>#REF!</v>
      </c>
      <c r="R13" s="93" t="e">
        <f t="shared" si="1"/>
        <v>#REF!</v>
      </c>
      <c r="S13" s="93">
        <f t="shared" si="1"/>
        <v>0</v>
      </c>
      <c r="T13" s="93">
        <f t="shared" si="1"/>
        <v>0</v>
      </c>
    </row>
    <row r="14" spans="1:48" s="36" customFormat="1" x14ac:dyDescent="0.25">
      <c r="A14" s="305" t="s">
        <v>27</v>
      </c>
      <c r="B14" s="307"/>
      <c r="C14" s="307"/>
      <c r="D14" s="321"/>
      <c r="E14" s="321"/>
      <c r="F14" s="322">
        <f>F6+F8+F9+F12+F13</f>
        <v>0</v>
      </c>
      <c r="G14" s="322">
        <f>G6+G8+G9+G12+G13</f>
        <v>0</v>
      </c>
      <c r="H14" s="322">
        <f>H6+H8+H9+H12+H13</f>
        <v>-0.41666666665696539</v>
      </c>
      <c r="I14" s="322">
        <f>I6+I8+I9+I12+I13</f>
        <v>0</v>
      </c>
      <c r="M14" s="91"/>
      <c r="N14" s="49"/>
      <c r="O14" s="49"/>
      <c r="P14" s="1" t="s">
        <v>17</v>
      </c>
      <c r="Q14" s="93" t="e">
        <f t="shared" si="1"/>
        <v>#REF!</v>
      </c>
      <c r="R14" s="93" t="e">
        <f t="shared" si="1"/>
        <v>#REF!</v>
      </c>
      <c r="S14" s="93">
        <f t="shared" si="1"/>
        <v>-34135</v>
      </c>
      <c r="T14" s="93">
        <f t="shared" si="1"/>
        <v>-47300</v>
      </c>
    </row>
    <row r="15" spans="1:48" s="36" customFormat="1" x14ac:dyDescent="0.25">
      <c r="A15" s="310"/>
      <c r="B15" s="300"/>
      <c r="C15" s="300"/>
      <c r="D15" s="302"/>
      <c r="E15" s="302"/>
      <c r="F15" s="508"/>
      <c r="G15" s="311"/>
      <c r="H15" s="311"/>
      <c r="I15" s="311"/>
      <c r="M15" s="91"/>
      <c r="N15" s="49"/>
      <c r="O15" s="49"/>
      <c r="P15" s="27" t="s">
        <v>19</v>
      </c>
      <c r="Q15" s="93" t="e">
        <f t="shared" si="1"/>
        <v>#REF!</v>
      </c>
      <c r="R15" s="93" t="e">
        <f t="shared" si="1"/>
        <v>#REF!</v>
      </c>
      <c r="S15" s="93">
        <f t="shared" si="1"/>
        <v>127864</v>
      </c>
      <c r="T15" s="93">
        <f t="shared" si="1"/>
        <v>130044</v>
      </c>
    </row>
    <row r="16" spans="1:48" s="36" customFormat="1" x14ac:dyDescent="0.25">
      <c r="A16" s="312" t="s">
        <v>28</v>
      </c>
      <c r="B16" s="205"/>
      <c r="C16" s="205"/>
      <c r="D16" s="313"/>
      <c r="E16" s="313"/>
      <c r="F16" s="37">
        <f>SUMIF($D:$D,"NYTT",F:F)-F17-F13-F12</f>
        <v>0</v>
      </c>
      <c r="G16" s="37">
        <f>SUMIF($D:$D,"NYTT",G:G)-G17-G13-G12</f>
        <v>0</v>
      </c>
      <c r="H16" s="37">
        <f>SUMIF($D:$D,"NYTT",H:H)-H17-H13-H12</f>
        <v>0</v>
      </c>
      <c r="I16" s="37">
        <f>SUMIF($D:$D,"NYTT",I:I)-I17-I13-I12</f>
        <v>0</v>
      </c>
      <c r="M16" s="91"/>
      <c r="N16" s="49"/>
      <c r="O16" s="49"/>
      <c r="P16" s="27" t="s">
        <v>20</v>
      </c>
      <c r="Q16" s="93" t="e">
        <f t="shared" si="1"/>
        <v>#REF!</v>
      </c>
      <c r="R16" s="93" t="e">
        <f t="shared" si="1"/>
        <v>#REF!</v>
      </c>
      <c r="S16" s="93">
        <f t="shared" si="1"/>
        <v>0</v>
      </c>
      <c r="T16" s="93">
        <f t="shared" si="1"/>
        <v>0</v>
      </c>
    </row>
    <row r="17" spans="1:49" s="36" customFormat="1" x14ac:dyDescent="0.25">
      <c r="A17" s="323" t="s">
        <v>29</v>
      </c>
      <c r="B17" s="205"/>
      <c r="C17" s="324"/>
      <c r="D17" s="313"/>
      <c r="E17" s="313"/>
      <c r="F17" s="325">
        <f>SUMIFS(F:F,$D:$D,"NYTT",$E:$E,"IKKE PRI")</f>
        <v>0</v>
      </c>
      <c r="G17" s="325">
        <f>SUMIFS(G:G,$D:$D,"NYTT",$E:$E,"IKKE PRI")</f>
        <v>0</v>
      </c>
      <c r="H17" s="325">
        <f>SUMIFS(H:H,$D:$D,"NYTT",$E:$E,"IKKE PRI")</f>
        <v>0</v>
      </c>
      <c r="I17" s="325">
        <f>SUMIFS(I:I,$D:$D,"NYTT",$E:$E,"IKKE PRI")</f>
        <v>0</v>
      </c>
      <c r="M17" s="91"/>
      <c r="N17" s="49"/>
      <c r="O17" s="49"/>
      <c r="P17" s="26" t="s">
        <v>22</v>
      </c>
      <c r="Q17" s="93" t="e">
        <f t="shared" si="1"/>
        <v>#REF!</v>
      </c>
      <c r="R17" s="93" t="e">
        <f t="shared" si="1"/>
        <v>#REF!</v>
      </c>
      <c r="S17" s="93">
        <f t="shared" si="1"/>
        <v>93729</v>
      </c>
      <c r="T17" s="93">
        <f t="shared" si="1"/>
        <v>82744</v>
      </c>
    </row>
    <row r="18" spans="1:49" s="36" customFormat="1" x14ac:dyDescent="0.25">
      <c r="A18" s="323"/>
      <c r="B18" s="205"/>
      <c r="C18" s="324"/>
      <c r="D18" s="313"/>
      <c r="E18" s="313"/>
      <c r="F18" s="290">
        <f>(F8+F9+F13+F16+F17+F12)-SUMIF($B:$B,"X",F:F)</f>
        <v>0</v>
      </c>
      <c r="G18" s="290">
        <f>(G8+G9+G13+G16+G17+G12)-SUMIF($B:$B,"X",G:G)</f>
        <v>0</v>
      </c>
      <c r="H18" s="290">
        <f>(H8+H9+H13+H16+H17+H12)-SUMIF($B:$B,"X",H:H)</f>
        <v>0</v>
      </c>
      <c r="I18" s="290">
        <f>(I8+I9+I13+I16+I17+I12)-SUMIF($B:$B,"X",I:I)</f>
        <v>0</v>
      </c>
      <c r="M18" s="91"/>
      <c r="N18" s="49"/>
      <c r="O18" s="49"/>
      <c r="P18" s="26"/>
    </row>
    <row r="19" spans="1:49" s="36" customFormat="1" x14ac:dyDescent="0.25">
      <c r="A19" s="326"/>
      <c r="B19" s="327"/>
      <c r="C19" s="296"/>
      <c r="D19" s="328"/>
      <c r="E19" s="328"/>
      <c r="F19" s="329"/>
      <c r="G19" s="329"/>
      <c r="H19" s="329"/>
      <c r="I19" s="329"/>
      <c r="M19" s="91"/>
      <c r="N19" s="49"/>
      <c r="O19" s="49"/>
      <c r="P19" s="26"/>
    </row>
    <row r="20" spans="1:49" s="36" customFormat="1" x14ac:dyDescent="0.25">
      <c r="A20" s="330"/>
      <c r="B20" s="293"/>
      <c r="C20" s="331"/>
      <c r="D20" s="91"/>
      <c r="E20" s="91"/>
      <c r="F20" s="332">
        <f>F8+F9+F13+F12</f>
        <v>255960</v>
      </c>
      <c r="G20" s="332">
        <f>G8+G9+G13+G12</f>
        <v>249113</v>
      </c>
      <c r="H20" s="332">
        <f>H8+H9+H13+H12</f>
        <v>258569.58333333331</v>
      </c>
      <c r="I20" s="332">
        <f>I8+I9+I13+I12</f>
        <v>293695</v>
      </c>
      <c r="M20" s="91"/>
      <c r="N20" s="49"/>
      <c r="O20" s="49"/>
      <c r="P20" s="26"/>
    </row>
    <row r="21" spans="1:49" s="36" customFormat="1" x14ac:dyDescent="0.25">
      <c r="A21" s="330"/>
      <c r="B21" s="293"/>
      <c r="C21" s="331"/>
      <c r="D21" s="91"/>
      <c r="E21" s="91"/>
      <c r="F21" s="332"/>
      <c r="G21" s="332"/>
      <c r="H21" s="332"/>
      <c r="I21" s="332"/>
      <c r="M21" s="91"/>
      <c r="N21" s="49"/>
      <c r="O21" s="49"/>
      <c r="P21" s="26"/>
    </row>
    <row r="22" spans="1:49" s="36" customFormat="1" hidden="1" x14ac:dyDescent="0.25">
      <c r="A22" s="190" t="s">
        <v>30</v>
      </c>
      <c r="B22" s="333"/>
      <c r="C22" s="234"/>
      <c r="D22" s="235"/>
      <c r="E22" s="235"/>
      <c r="F22" s="191"/>
      <c r="G22" s="191"/>
      <c r="H22" s="191"/>
      <c r="I22" s="191"/>
      <c r="J22" s="26"/>
      <c r="K22" s="26"/>
      <c r="L22" s="26"/>
      <c r="M22" s="49"/>
      <c r="N22" s="49"/>
      <c r="O22" s="49"/>
      <c r="P22" s="26"/>
    </row>
    <row r="23" spans="1:49" s="123" customFormat="1" hidden="1" x14ac:dyDescent="0.25">
      <c r="A23" s="192" t="s">
        <v>31</v>
      </c>
      <c r="B23" s="236"/>
      <c r="C23" s="193"/>
      <c r="D23" s="237"/>
      <c r="E23" s="237"/>
      <c r="F23" s="194">
        <f>SUMIF($N:$N,"FOND",F:F)</f>
        <v>0</v>
      </c>
      <c r="G23" s="194">
        <f>SUMIF($N:$N,"FOND",G:G)</f>
        <v>0</v>
      </c>
      <c r="H23" s="194">
        <f>SUMIF($N:$N,"FOND",H:H)</f>
        <v>0</v>
      </c>
      <c r="I23" s="194">
        <f>SUMIF($N:$N,"FOND",I:I)</f>
        <v>0</v>
      </c>
      <c r="J23" s="238"/>
      <c r="K23" s="238"/>
      <c r="L23" s="238"/>
      <c r="M23" s="239"/>
      <c r="N23" s="239"/>
      <c r="O23" s="239"/>
      <c r="P23" s="238"/>
      <c r="AW23" s="36"/>
    </row>
    <row r="24" spans="1:49" s="36" customFormat="1" hidden="1" x14ac:dyDescent="0.25">
      <c r="A24" s="195" t="s">
        <v>32</v>
      </c>
      <c r="B24" s="333"/>
      <c r="C24" s="234"/>
      <c r="D24" s="235"/>
      <c r="E24" s="235"/>
      <c r="F24" s="196">
        <f>SUBTOTAL(9,F22:F23)</f>
        <v>0</v>
      </c>
      <c r="G24" s="196">
        <f>SUBTOTAL(9,G22:G23)</f>
        <v>0</v>
      </c>
      <c r="H24" s="196">
        <f>SUBTOTAL(9,H22:H23)</f>
        <v>0</v>
      </c>
      <c r="I24" s="196">
        <f>SUBTOTAL(9,I22:I23)</f>
        <v>0</v>
      </c>
      <c r="J24" s="26"/>
      <c r="K24" s="26"/>
      <c r="L24" s="26"/>
      <c r="M24" s="49"/>
      <c r="N24" s="49"/>
      <c r="O24" s="49"/>
      <c r="P24" s="26"/>
    </row>
    <row r="25" spans="1:49" s="36" customFormat="1" x14ac:dyDescent="0.25">
      <c r="A25" s="26"/>
      <c r="B25" s="9"/>
      <c r="C25" s="9"/>
      <c r="D25" s="240"/>
      <c r="E25" s="240"/>
      <c r="F25" s="334">
        <f>(F8+F9+F13+F16+F17+F12)-SUMIF($B:$B,"X",F:F)</f>
        <v>0</v>
      </c>
      <c r="G25" s="334">
        <f>(G8+G9+G13+G16+G17+G12)-SUMIF($B:$B,"X",G:G)</f>
        <v>0</v>
      </c>
      <c r="H25" s="334">
        <f>(H8+H9+H13+H16+H17+H12)-SUMIF($B:$B,"X",H:H)</f>
        <v>0</v>
      </c>
      <c r="I25" s="334">
        <f>(I8+I9+I13+I16+I17+I12)-SUMIF($B:$B,"X",I:I)</f>
        <v>0</v>
      </c>
      <c r="J25" s="26"/>
      <c r="K25" s="26"/>
      <c r="L25" s="26"/>
      <c r="M25" s="49"/>
      <c r="N25" s="49"/>
      <c r="O25" s="49"/>
      <c r="P25" s="26"/>
    </row>
    <row r="26" spans="1:49" s="36" customFormat="1" x14ac:dyDescent="0.25">
      <c r="A26" s="4" t="s">
        <v>33</v>
      </c>
      <c r="B26" s="5" t="s">
        <v>34</v>
      </c>
      <c r="C26" s="3" t="s">
        <v>35</v>
      </c>
      <c r="D26" s="6" t="s">
        <v>36</v>
      </c>
      <c r="E26" s="44" t="s">
        <v>37</v>
      </c>
      <c r="F26" s="4">
        <v>2022</v>
      </c>
      <c r="G26" s="4">
        <v>2023</v>
      </c>
      <c r="H26" s="4">
        <v>2024</v>
      </c>
      <c r="I26" s="4">
        <v>2025</v>
      </c>
      <c r="J26" s="4" t="s">
        <v>38</v>
      </c>
      <c r="K26" s="26" t="s">
        <v>39</v>
      </c>
      <c r="L26" s="26" t="s">
        <v>40</v>
      </c>
      <c r="M26" s="49"/>
      <c r="N26" s="49"/>
      <c r="O26" s="49"/>
      <c r="P26" s="26"/>
    </row>
    <row r="27" spans="1:49" s="36" customFormat="1" x14ac:dyDescent="0.25">
      <c r="A27" s="232"/>
      <c r="B27" s="9"/>
      <c r="C27" s="15"/>
      <c r="D27" s="49"/>
      <c r="E27" s="84" t="s">
        <v>41</v>
      </c>
      <c r="F27" s="233">
        <v>-2691000</v>
      </c>
      <c r="G27" s="233">
        <v>-2721000</v>
      </c>
      <c r="H27" s="233">
        <v>-2752000</v>
      </c>
      <c r="I27" s="233"/>
      <c r="J27" s="37"/>
      <c r="K27" s="26"/>
      <c r="L27" s="26"/>
      <c r="M27" s="26"/>
      <c r="N27" s="26"/>
      <c r="O27" s="26"/>
      <c r="P27" s="26"/>
      <c r="R27" s="233"/>
      <c r="S27" s="233"/>
      <c r="T27" s="233"/>
    </row>
    <row r="28" spans="1:49" s="36" customFormat="1" x14ac:dyDescent="0.25">
      <c r="A28" s="13"/>
      <c r="B28" s="42"/>
      <c r="C28" s="14" t="s">
        <v>42</v>
      </c>
      <c r="D28" s="39"/>
      <c r="E28" s="85" t="s">
        <v>43</v>
      </c>
      <c r="F28" s="83">
        <v>-1958000</v>
      </c>
      <c r="G28" s="83">
        <v>-1989000</v>
      </c>
      <c r="H28" s="83">
        <v>-2013000</v>
      </c>
      <c r="I28" s="83"/>
      <c r="J28" s="37"/>
      <c r="K28" s="335"/>
      <c r="L28" s="335"/>
      <c r="M28" s="75"/>
      <c r="N28" s="241"/>
      <c r="O28" s="241"/>
      <c r="P28" s="241"/>
      <c r="Q28" s="241"/>
      <c r="R28" s="83"/>
      <c r="S28" s="83"/>
      <c r="T28" s="83"/>
    </row>
    <row r="29" spans="1:49" s="36" customFormat="1" x14ac:dyDescent="0.25">
      <c r="A29" s="76" t="s">
        <v>44</v>
      </c>
      <c r="B29" s="336" t="str">
        <f t="shared" ref="B29:B60" si="2">IF(L29,K29&amp;L29,"")</f>
        <v>I1</v>
      </c>
      <c r="C29" s="96" t="s">
        <v>45</v>
      </c>
      <c r="D29" s="77" t="s">
        <v>44</v>
      </c>
      <c r="E29" s="77" t="s">
        <v>46</v>
      </c>
      <c r="F29" s="88">
        <v>-2791000</v>
      </c>
      <c r="G29" s="88">
        <v>-2822000</v>
      </c>
      <c r="H29" s="88">
        <v>-2853000</v>
      </c>
      <c r="I29" s="88">
        <v>-2884000</v>
      </c>
      <c r="J29" s="290" t="s">
        <v>47</v>
      </c>
      <c r="K29" s="26" t="s">
        <v>48</v>
      </c>
      <c r="L29" s="26">
        <f t="shared" ref="L29:L61" si="3">L28+1</f>
        <v>1</v>
      </c>
      <c r="M29" s="197"/>
      <c r="N29" s="198"/>
      <c r="O29" s="198"/>
      <c r="P29" s="26"/>
      <c r="R29" s="88"/>
      <c r="S29" s="88"/>
      <c r="T29" s="88"/>
      <c r="U29" s="88"/>
      <c r="V29" s="93"/>
    </row>
    <row r="30" spans="1:49" s="36" customFormat="1" x14ac:dyDescent="0.25">
      <c r="A30" s="76" t="s">
        <v>44</v>
      </c>
      <c r="B30" s="336" t="str">
        <f t="shared" si="2"/>
        <v>I2</v>
      </c>
      <c r="C30" s="96" t="s">
        <v>49</v>
      </c>
      <c r="D30" s="77" t="s">
        <v>44</v>
      </c>
      <c r="E30" s="77" t="s">
        <v>46</v>
      </c>
      <c r="F30" s="88">
        <f>-2064000-20000</f>
        <v>-2084000</v>
      </c>
      <c r="G30" s="88">
        <f>-2095000-20000</f>
        <v>-2115000</v>
      </c>
      <c r="H30" s="88">
        <f>-2121000-20000</f>
        <v>-2141000</v>
      </c>
      <c r="I30" s="88">
        <f>-2144000-20000</f>
        <v>-2164000</v>
      </c>
      <c r="J30" s="290" t="s">
        <v>47</v>
      </c>
      <c r="K30" s="26" t="s">
        <v>48</v>
      </c>
      <c r="L30" s="26">
        <f t="shared" si="3"/>
        <v>2</v>
      </c>
      <c r="M30" s="197"/>
      <c r="N30" s="198"/>
      <c r="O30" s="198"/>
      <c r="P30" s="26"/>
      <c r="R30" s="88"/>
      <c r="S30" s="88"/>
      <c r="T30" s="88"/>
      <c r="U30" s="88"/>
      <c r="V30" s="93"/>
    </row>
    <row r="31" spans="1:49" s="36" customFormat="1" x14ac:dyDescent="0.25">
      <c r="A31" s="76" t="s">
        <v>44</v>
      </c>
      <c r="B31" s="336" t="str">
        <f t="shared" si="2"/>
        <v>I3</v>
      </c>
      <c r="C31" s="96" t="s">
        <v>50</v>
      </c>
      <c r="D31" s="77" t="s">
        <v>44</v>
      </c>
      <c r="E31" s="77" t="s">
        <v>46</v>
      </c>
      <c r="F31" s="88">
        <v>-63000</v>
      </c>
      <c r="G31" s="88">
        <v>-64000</v>
      </c>
      <c r="H31" s="88">
        <v>-64000</v>
      </c>
      <c r="I31" s="88">
        <v>-64000</v>
      </c>
      <c r="J31" s="290" t="s">
        <v>51</v>
      </c>
      <c r="K31" s="26" t="s">
        <v>48</v>
      </c>
      <c r="L31" s="26">
        <f t="shared" si="3"/>
        <v>3</v>
      </c>
      <c r="M31" s="197"/>
      <c r="N31" s="256">
        <f>1-N32</f>
        <v>0.13649999999999995</v>
      </c>
      <c r="O31" s="198"/>
      <c r="P31" s="26"/>
      <c r="R31" s="88"/>
      <c r="S31" s="88"/>
      <c r="T31" s="88"/>
      <c r="U31" s="88"/>
      <c r="V31" s="93"/>
    </row>
    <row r="32" spans="1:49" s="36" customFormat="1" x14ac:dyDescent="0.25">
      <c r="A32" s="76" t="s">
        <v>44</v>
      </c>
      <c r="B32" s="336" t="str">
        <f t="shared" si="2"/>
        <v>I4</v>
      </c>
      <c r="C32" s="96" t="s">
        <v>52</v>
      </c>
      <c r="D32" s="77" t="s">
        <v>44</v>
      </c>
      <c r="E32" s="77" t="s">
        <v>46</v>
      </c>
      <c r="F32" s="88">
        <v>-30000</v>
      </c>
      <c r="G32" s="88">
        <v>-15000</v>
      </c>
      <c r="H32" s="88">
        <v>-15000</v>
      </c>
      <c r="I32" s="88">
        <v>-15000</v>
      </c>
      <c r="J32" s="290" t="s">
        <v>53</v>
      </c>
      <c r="K32" s="26" t="s">
        <v>48</v>
      </c>
      <c r="L32" s="26">
        <f t="shared" si="3"/>
        <v>4</v>
      </c>
      <c r="M32" s="197"/>
      <c r="N32" s="256">
        <v>0.86350000000000005</v>
      </c>
      <c r="O32" s="198"/>
      <c r="P32" s="26"/>
      <c r="R32" s="248"/>
      <c r="S32" s="248"/>
      <c r="T32" s="248"/>
      <c r="U32" s="248"/>
      <c r="V32" s="337"/>
    </row>
    <row r="33" spans="1:22" s="36" customFormat="1" x14ac:dyDescent="0.25">
      <c r="A33" s="76" t="s">
        <v>44</v>
      </c>
      <c r="B33" s="336" t="str">
        <f t="shared" si="2"/>
        <v>I5</v>
      </c>
      <c r="C33" s="96" t="s">
        <v>54</v>
      </c>
      <c r="D33" s="77" t="s">
        <v>44</v>
      </c>
      <c r="E33" s="77" t="s">
        <v>46</v>
      </c>
      <c r="F33" s="88">
        <v>-10300</v>
      </c>
      <c r="G33" s="88">
        <v>-10300</v>
      </c>
      <c r="H33" s="88">
        <v>-10300</v>
      </c>
      <c r="I33" s="88">
        <v>-10300</v>
      </c>
      <c r="J33" s="290" t="s">
        <v>55</v>
      </c>
      <c r="K33" s="26" t="s">
        <v>48</v>
      </c>
      <c r="L33" s="26">
        <f t="shared" si="3"/>
        <v>5</v>
      </c>
      <c r="M33" s="197"/>
      <c r="N33" s="198"/>
      <c r="O33" s="198"/>
      <c r="P33" s="26"/>
      <c r="R33" s="338"/>
      <c r="S33" s="338"/>
      <c r="T33" s="338"/>
      <c r="U33" s="338"/>
      <c r="V33" s="337"/>
    </row>
    <row r="34" spans="1:22" s="36" customFormat="1" x14ac:dyDescent="0.25">
      <c r="A34" s="76" t="s">
        <v>44</v>
      </c>
      <c r="B34" s="336" t="str">
        <f t="shared" si="2"/>
        <v>I6</v>
      </c>
      <c r="C34" s="96" t="s">
        <v>56</v>
      </c>
      <c r="D34" s="77" t="s">
        <v>44</v>
      </c>
      <c r="E34" s="77" t="s">
        <v>46</v>
      </c>
      <c r="F34" s="88">
        <v>10300</v>
      </c>
      <c r="G34" s="88">
        <v>10300</v>
      </c>
      <c r="H34" s="88">
        <v>10300</v>
      </c>
      <c r="I34" s="88">
        <v>10300</v>
      </c>
      <c r="J34" s="290" t="s">
        <v>55</v>
      </c>
      <c r="K34" s="26" t="s">
        <v>48</v>
      </c>
      <c r="L34" s="26">
        <f t="shared" si="3"/>
        <v>6</v>
      </c>
      <c r="M34" s="197"/>
      <c r="N34" s="198">
        <f>G31+G34</f>
        <v>-53700</v>
      </c>
      <c r="O34" s="198">
        <f>H31+H34</f>
        <v>-53700</v>
      </c>
      <c r="P34" s="198">
        <f>I31+I34</f>
        <v>-53700</v>
      </c>
      <c r="Q34" s="198"/>
      <c r="R34" s="338"/>
      <c r="S34" s="338"/>
      <c r="T34" s="338"/>
      <c r="U34" s="338"/>
      <c r="V34" s="337"/>
    </row>
    <row r="35" spans="1:22" s="36" customFormat="1" x14ac:dyDescent="0.25">
      <c r="A35" s="76" t="s">
        <v>44</v>
      </c>
      <c r="B35" s="336" t="str">
        <f t="shared" si="2"/>
        <v>I7</v>
      </c>
      <c r="C35" s="96" t="s">
        <v>57</v>
      </c>
      <c r="D35" s="77" t="s">
        <v>44</v>
      </c>
      <c r="E35" s="77" t="s">
        <v>46</v>
      </c>
      <c r="F35" s="88">
        <v>-9900</v>
      </c>
      <c r="G35" s="88">
        <v>-10100</v>
      </c>
      <c r="H35" s="88">
        <v>-9700</v>
      </c>
      <c r="I35" s="88">
        <v>-9200</v>
      </c>
      <c r="J35" s="290" t="s">
        <v>58</v>
      </c>
      <c r="K35" s="26" t="s">
        <v>48</v>
      </c>
      <c r="L35" s="26">
        <f t="shared" si="3"/>
        <v>7</v>
      </c>
      <c r="M35" s="197"/>
      <c r="N35" s="198"/>
      <c r="O35" s="198"/>
      <c r="P35" s="26"/>
      <c r="R35" s="338"/>
      <c r="S35" s="338"/>
      <c r="T35" s="338"/>
      <c r="U35" s="338"/>
      <c r="V35" s="337"/>
    </row>
    <row r="36" spans="1:22" s="36" customFormat="1" x14ac:dyDescent="0.25">
      <c r="A36" s="76" t="s">
        <v>44</v>
      </c>
      <c r="B36" s="336" t="str">
        <f t="shared" si="2"/>
        <v>I8</v>
      </c>
      <c r="C36" s="96" t="s">
        <v>59</v>
      </c>
      <c r="D36" s="77" t="s">
        <v>44</v>
      </c>
      <c r="E36" s="77" t="s">
        <v>46</v>
      </c>
      <c r="F36" s="88">
        <v>-42649</v>
      </c>
      <c r="G36" s="88">
        <v>-44032</v>
      </c>
      <c r="H36" s="88">
        <v>-44772</v>
      </c>
      <c r="I36" s="88">
        <v>-46620</v>
      </c>
      <c r="J36" s="290" t="s">
        <v>60</v>
      </c>
      <c r="K36" s="26" t="s">
        <v>48</v>
      </c>
      <c r="L36" s="26">
        <f t="shared" si="3"/>
        <v>8</v>
      </c>
      <c r="M36" s="197"/>
      <c r="N36" s="198"/>
      <c r="O36" s="198"/>
      <c r="P36" s="26"/>
      <c r="R36" s="338"/>
      <c r="S36" s="338"/>
      <c r="T36" s="338"/>
      <c r="U36" s="338"/>
      <c r="V36" s="337"/>
    </row>
    <row r="37" spans="1:22" s="36" customFormat="1" x14ac:dyDescent="0.25">
      <c r="A37" s="76" t="s">
        <v>44</v>
      </c>
      <c r="B37" s="336" t="str">
        <f t="shared" si="2"/>
        <v>I9</v>
      </c>
      <c r="C37" s="281" t="s">
        <v>61</v>
      </c>
      <c r="D37" s="282" t="s">
        <v>44</v>
      </c>
      <c r="E37" s="282" t="s">
        <v>46</v>
      </c>
      <c r="F37" s="283">
        <v>101000</v>
      </c>
      <c r="G37" s="283">
        <v>123000</v>
      </c>
      <c r="H37" s="283">
        <v>131000</v>
      </c>
      <c r="I37" s="283">
        <v>138000</v>
      </c>
      <c r="J37" s="290" t="s">
        <v>58</v>
      </c>
      <c r="K37" s="26" t="s">
        <v>48</v>
      </c>
      <c r="L37" s="26">
        <f t="shared" si="3"/>
        <v>9</v>
      </c>
      <c r="M37" s="197"/>
      <c r="N37" s="198"/>
      <c r="O37" s="198"/>
      <c r="P37" s="26"/>
      <c r="R37" s="338"/>
      <c r="S37" s="338"/>
      <c r="T37" s="338"/>
      <c r="U37" s="338"/>
      <c r="V37" s="337"/>
    </row>
    <row r="38" spans="1:22" s="36" customFormat="1" x14ac:dyDescent="0.25">
      <c r="A38" s="76" t="s">
        <v>44</v>
      </c>
      <c r="B38" s="336" t="str">
        <f t="shared" si="2"/>
        <v>I10</v>
      </c>
      <c r="C38" s="281" t="s">
        <v>62</v>
      </c>
      <c r="D38" s="282" t="s">
        <v>44</v>
      </c>
      <c r="E38" s="282" t="s">
        <v>46</v>
      </c>
      <c r="F38" s="283">
        <v>291000</v>
      </c>
      <c r="G38" s="283">
        <v>307000</v>
      </c>
      <c r="H38" s="283">
        <v>320000</v>
      </c>
      <c r="I38" s="283">
        <v>334000</v>
      </c>
      <c r="J38" s="290" t="s">
        <v>58</v>
      </c>
      <c r="K38" s="26" t="s">
        <v>48</v>
      </c>
      <c r="L38" s="26">
        <f t="shared" si="3"/>
        <v>10</v>
      </c>
      <c r="M38" s="197"/>
      <c r="N38" s="198"/>
      <c r="O38" s="198"/>
      <c r="P38" s="26"/>
      <c r="R38" s="338"/>
      <c r="S38" s="338"/>
      <c r="T38" s="338"/>
      <c r="U38" s="338"/>
      <c r="V38" s="337"/>
    </row>
    <row r="39" spans="1:22" s="36" customFormat="1" x14ac:dyDescent="0.25">
      <c r="A39" s="76" t="s">
        <v>44</v>
      </c>
      <c r="B39" s="336" t="str">
        <f t="shared" si="2"/>
        <v>I11</v>
      </c>
      <c r="C39" s="96" t="s">
        <v>63</v>
      </c>
      <c r="D39" s="77" t="s">
        <v>44</v>
      </c>
      <c r="E39" s="77" t="s">
        <v>46</v>
      </c>
      <c r="F39" s="88">
        <v>-17800</v>
      </c>
      <c r="G39" s="88">
        <v>-23300</v>
      </c>
      <c r="H39" s="88">
        <v>-25600</v>
      </c>
      <c r="I39" s="88">
        <v>-26800</v>
      </c>
      <c r="J39" s="290" t="s">
        <v>58</v>
      </c>
      <c r="K39" s="26" t="s">
        <v>48</v>
      </c>
      <c r="L39" s="26">
        <f t="shared" si="3"/>
        <v>11</v>
      </c>
      <c r="M39" s="197"/>
      <c r="N39" s="197"/>
      <c r="O39" s="197"/>
      <c r="P39" s="26"/>
    </row>
    <row r="40" spans="1:22" s="36" customFormat="1" x14ac:dyDescent="0.25">
      <c r="A40" s="76" t="s">
        <v>44</v>
      </c>
      <c r="B40" s="336" t="str">
        <f t="shared" si="2"/>
        <v>I12</v>
      </c>
      <c r="C40" s="96" t="s">
        <v>64</v>
      </c>
      <c r="D40" s="77" t="s">
        <v>44</v>
      </c>
      <c r="E40" s="77" t="s">
        <v>46</v>
      </c>
      <c r="F40" s="88">
        <v>-36400</v>
      </c>
      <c r="G40" s="88">
        <v>-48800</v>
      </c>
      <c r="H40" s="88">
        <v>-56000</v>
      </c>
      <c r="I40" s="88">
        <v>-61000</v>
      </c>
      <c r="J40" s="290" t="s">
        <v>58</v>
      </c>
      <c r="K40" s="26" t="s">
        <v>48</v>
      </c>
      <c r="L40" s="26">
        <f t="shared" si="3"/>
        <v>12</v>
      </c>
      <c r="M40" s="197"/>
      <c r="N40" s="197"/>
      <c r="O40" s="197"/>
      <c r="P40" s="10"/>
      <c r="Q40" s="2"/>
      <c r="R40" s="2"/>
      <c r="S40" s="2"/>
      <c r="T40" s="93"/>
      <c r="U40" s="93"/>
    </row>
    <row r="41" spans="1:22" s="36" customFormat="1" x14ac:dyDescent="0.25">
      <c r="A41" s="76" t="s">
        <v>44</v>
      </c>
      <c r="B41" s="336" t="str">
        <f t="shared" si="2"/>
        <v>I13</v>
      </c>
      <c r="C41" s="96" t="s">
        <v>65</v>
      </c>
      <c r="D41" s="77" t="s">
        <v>44</v>
      </c>
      <c r="E41" s="77" t="s">
        <v>46</v>
      </c>
      <c r="F41" s="88">
        <v>36400</v>
      </c>
      <c r="G41" s="88">
        <v>48800</v>
      </c>
      <c r="H41" s="88">
        <v>56000</v>
      </c>
      <c r="I41" s="88">
        <v>61000</v>
      </c>
      <c r="J41" s="290" t="s">
        <v>58</v>
      </c>
      <c r="K41" s="26" t="s">
        <v>48</v>
      </c>
      <c r="L41" s="26">
        <f t="shared" si="3"/>
        <v>13</v>
      </c>
      <c r="M41" s="197"/>
      <c r="N41" s="197"/>
      <c r="O41" s="197"/>
      <c r="P41" s="198"/>
      <c r="Q41" s="2"/>
      <c r="R41" s="2"/>
      <c r="S41" s="2"/>
    </row>
    <row r="42" spans="1:22" s="36" customFormat="1" x14ac:dyDescent="0.25">
      <c r="A42" s="76" t="s">
        <v>44</v>
      </c>
      <c r="B42" s="336" t="str">
        <f t="shared" si="2"/>
        <v>I14</v>
      </c>
      <c r="C42" s="96" t="s">
        <v>66</v>
      </c>
      <c r="D42" s="77" t="s">
        <v>44</v>
      </c>
      <c r="E42" s="77" t="s">
        <v>46</v>
      </c>
      <c r="F42" s="88">
        <v>-10500</v>
      </c>
      <c r="G42" s="88">
        <v>-11500</v>
      </c>
      <c r="H42" s="88">
        <v>-11500</v>
      </c>
      <c r="I42" s="88">
        <v>-11000</v>
      </c>
      <c r="J42" s="290" t="s">
        <v>58</v>
      </c>
      <c r="K42" s="26" t="s">
        <v>48</v>
      </c>
      <c r="L42" s="26">
        <f t="shared" si="3"/>
        <v>14</v>
      </c>
      <c r="M42" s="197"/>
      <c r="N42" s="197"/>
      <c r="O42" s="197"/>
      <c r="P42" s="199"/>
      <c r="Q42" s="199"/>
      <c r="R42" s="199"/>
      <c r="S42" s="199"/>
    </row>
    <row r="43" spans="1:22" s="36" customFormat="1" x14ac:dyDescent="0.25">
      <c r="A43" s="76" t="s">
        <v>44</v>
      </c>
      <c r="B43" s="336" t="str">
        <f t="shared" si="2"/>
        <v>I15</v>
      </c>
      <c r="C43" s="96" t="s">
        <v>67</v>
      </c>
      <c r="D43" s="77" t="s">
        <v>44</v>
      </c>
      <c r="E43" s="77" t="s">
        <v>46</v>
      </c>
      <c r="F43" s="88">
        <v>-127000</v>
      </c>
      <c r="G43" s="88">
        <v>-129000</v>
      </c>
      <c r="H43" s="88">
        <v>-131000</v>
      </c>
      <c r="I43" s="88">
        <v>-135000</v>
      </c>
      <c r="J43" s="290" t="s">
        <v>744</v>
      </c>
      <c r="K43" s="26" t="s">
        <v>48</v>
      </c>
      <c r="L43" s="26">
        <f t="shared" si="3"/>
        <v>15</v>
      </c>
      <c r="M43" s="197"/>
      <c r="N43" s="197"/>
      <c r="O43" s="197"/>
      <c r="P43" s="199"/>
      <c r="Q43" s="199"/>
      <c r="R43" s="199"/>
      <c r="S43" s="199"/>
    </row>
    <row r="44" spans="1:22" s="36" customFormat="1" x14ac:dyDescent="0.25">
      <c r="A44" s="76" t="s">
        <v>44</v>
      </c>
      <c r="B44" s="336" t="str">
        <f t="shared" si="2"/>
        <v>I16</v>
      </c>
      <c r="C44" s="96" t="s">
        <v>69</v>
      </c>
      <c r="D44" s="77" t="s">
        <v>44</v>
      </c>
      <c r="E44" s="77" t="s">
        <v>46</v>
      </c>
      <c r="F44" s="88">
        <v>-1250</v>
      </c>
      <c r="G44" s="88">
        <v>-1339</v>
      </c>
      <c r="H44" s="88">
        <v>-1607</v>
      </c>
      <c r="I44" s="88">
        <v>-1607</v>
      </c>
      <c r="J44" s="290" t="s">
        <v>744</v>
      </c>
      <c r="K44" s="26" t="s">
        <v>48</v>
      </c>
      <c r="L44" s="26">
        <f t="shared" si="3"/>
        <v>16</v>
      </c>
      <c r="M44" s="197"/>
      <c r="N44" s="197"/>
      <c r="O44" s="197"/>
      <c r="P44" s="199"/>
      <c r="Q44" s="199"/>
      <c r="R44" s="199"/>
      <c r="S44" s="199"/>
    </row>
    <row r="45" spans="1:22" s="36" customFormat="1" x14ac:dyDescent="0.25">
      <c r="A45" s="76" t="s">
        <v>44</v>
      </c>
      <c r="B45" s="336" t="str">
        <f t="shared" si="2"/>
        <v>I17</v>
      </c>
      <c r="C45" s="96" t="s">
        <v>71</v>
      </c>
      <c r="D45" s="77" t="s">
        <v>44</v>
      </c>
      <c r="E45" s="77" t="s">
        <v>46</v>
      </c>
      <c r="F45" s="88">
        <v>-2000</v>
      </c>
      <c r="G45" s="88">
        <v>-2000</v>
      </c>
      <c r="H45" s="88">
        <v>-2000</v>
      </c>
      <c r="I45" s="88">
        <v>-2000</v>
      </c>
      <c r="J45" s="290" t="s">
        <v>70</v>
      </c>
      <c r="K45" s="26" t="s">
        <v>48</v>
      </c>
      <c r="L45" s="26">
        <f t="shared" si="3"/>
        <v>17</v>
      </c>
      <c r="M45" s="197"/>
      <c r="N45" s="197"/>
      <c r="O45" s="197"/>
      <c r="P45" s="199"/>
      <c r="Q45" s="199"/>
      <c r="R45" s="199"/>
      <c r="S45" s="199"/>
    </row>
    <row r="46" spans="1:22" s="36" customFormat="1" x14ac:dyDescent="0.25">
      <c r="A46" s="76" t="s">
        <v>44</v>
      </c>
      <c r="B46" s="336" t="str">
        <f t="shared" si="2"/>
        <v>I18</v>
      </c>
      <c r="C46" s="96" t="s">
        <v>72</v>
      </c>
      <c r="D46" s="77" t="s">
        <v>44</v>
      </c>
      <c r="E46" s="77" t="s">
        <v>46</v>
      </c>
      <c r="F46" s="88">
        <v>-3600</v>
      </c>
      <c r="G46" s="88">
        <v>-3900</v>
      </c>
      <c r="H46" s="88">
        <v>-3900</v>
      </c>
      <c r="I46" s="88">
        <v>-3800</v>
      </c>
      <c r="J46" s="290" t="s">
        <v>58</v>
      </c>
      <c r="K46" s="26" t="s">
        <v>48</v>
      </c>
      <c r="L46" s="26">
        <f t="shared" si="3"/>
        <v>18</v>
      </c>
      <c r="M46" s="197"/>
      <c r="N46" s="197"/>
      <c r="O46" s="197"/>
      <c r="P46" s="197"/>
    </row>
    <row r="47" spans="1:22" s="36" customFormat="1" x14ac:dyDescent="0.25">
      <c r="A47" s="76" t="s">
        <v>44</v>
      </c>
      <c r="B47" s="336" t="str">
        <f t="shared" si="2"/>
        <v>I19</v>
      </c>
      <c r="C47" s="96" t="s">
        <v>73</v>
      </c>
      <c r="D47" s="77" t="s">
        <v>44</v>
      </c>
      <c r="E47" s="77" t="s">
        <v>46</v>
      </c>
      <c r="F47" s="88">
        <v>-3000</v>
      </c>
      <c r="G47" s="88">
        <v>-4000</v>
      </c>
      <c r="H47" s="88">
        <v>-4000</v>
      </c>
      <c r="I47" s="88">
        <v>-4000</v>
      </c>
      <c r="J47" s="290" t="s">
        <v>744</v>
      </c>
      <c r="K47" s="26" t="s">
        <v>48</v>
      </c>
      <c r="L47" s="26">
        <f t="shared" si="3"/>
        <v>19</v>
      </c>
      <c r="M47" s="197"/>
      <c r="N47" s="197"/>
      <c r="O47" s="197"/>
      <c r="P47" s="197"/>
    </row>
    <row r="48" spans="1:22" s="36" customFormat="1" x14ac:dyDescent="0.25">
      <c r="A48" s="76" t="s">
        <v>44</v>
      </c>
      <c r="B48" s="336" t="str">
        <f t="shared" si="2"/>
        <v>I20</v>
      </c>
      <c r="C48" s="96" t="s">
        <v>75</v>
      </c>
      <c r="D48" s="77" t="s">
        <v>44</v>
      </c>
      <c r="E48" s="77" t="s">
        <v>46</v>
      </c>
      <c r="F48" s="88">
        <v>-500</v>
      </c>
      <c r="G48" s="88">
        <v>-500</v>
      </c>
      <c r="H48" s="88">
        <v>-500</v>
      </c>
      <c r="I48" s="88">
        <v>-500</v>
      </c>
      <c r="J48" s="290" t="s">
        <v>76</v>
      </c>
      <c r="K48" s="26" t="s">
        <v>48</v>
      </c>
      <c r="L48" s="26">
        <f t="shared" si="3"/>
        <v>20</v>
      </c>
      <c r="M48" s="197"/>
      <c r="N48" s="197"/>
      <c r="O48" s="197"/>
      <c r="P48" s="197"/>
    </row>
    <row r="49" spans="1:49" s="36" customFormat="1" x14ac:dyDescent="0.25">
      <c r="A49" s="76" t="s">
        <v>44</v>
      </c>
      <c r="B49" s="336" t="str">
        <f t="shared" si="2"/>
        <v>I21</v>
      </c>
      <c r="C49" s="281" t="s">
        <v>77</v>
      </c>
      <c r="D49" s="282" t="s">
        <v>44</v>
      </c>
      <c r="E49" s="282" t="s">
        <v>46</v>
      </c>
      <c r="F49" s="283">
        <v>80561</v>
      </c>
      <c r="G49" s="283">
        <v>87919</v>
      </c>
      <c r="H49" s="283">
        <v>123095</v>
      </c>
      <c r="I49" s="283">
        <v>129085</v>
      </c>
      <c r="J49" s="250" t="s">
        <v>743</v>
      </c>
      <c r="K49" s="26" t="s">
        <v>48</v>
      </c>
      <c r="L49" s="26">
        <f t="shared" si="3"/>
        <v>21</v>
      </c>
      <c r="M49" s="36">
        <v>47663</v>
      </c>
      <c r="N49" s="36">
        <v>42964</v>
      </c>
      <c r="O49" s="36">
        <v>35638</v>
      </c>
      <c r="P49" s="36">
        <v>35638</v>
      </c>
    </row>
    <row r="50" spans="1:49" s="36" customFormat="1" x14ac:dyDescent="0.25">
      <c r="A50" s="76" t="s">
        <v>44</v>
      </c>
      <c r="B50" s="336" t="str">
        <f t="shared" si="2"/>
        <v>I22</v>
      </c>
      <c r="C50" s="96" t="s">
        <v>78</v>
      </c>
      <c r="D50" s="77" t="s">
        <v>44</v>
      </c>
      <c r="E50" s="77" t="s">
        <v>46</v>
      </c>
      <c r="F50" s="496">
        <v>-27256</v>
      </c>
      <c r="G50" s="496"/>
      <c r="H50" s="88"/>
      <c r="I50" s="88"/>
      <c r="J50" s="250" t="s">
        <v>79</v>
      </c>
      <c r="K50" s="26" t="s">
        <v>48</v>
      </c>
      <c r="L50" s="26">
        <f t="shared" si="3"/>
        <v>22</v>
      </c>
      <c r="M50" s="26"/>
      <c r="N50" s="26"/>
      <c r="O50" s="26"/>
      <c r="P50" s="26"/>
    </row>
    <row r="51" spans="1:49" s="36" customFormat="1" x14ac:dyDescent="0.25">
      <c r="A51" s="43" t="s">
        <v>44</v>
      </c>
      <c r="B51" s="336" t="str">
        <f t="shared" si="2"/>
        <v>I23</v>
      </c>
      <c r="C51" s="96" t="s">
        <v>80</v>
      </c>
      <c r="D51" s="77" t="s">
        <v>44</v>
      </c>
      <c r="E51" s="77" t="s">
        <v>46</v>
      </c>
      <c r="F51" s="88">
        <v>270000</v>
      </c>
      <c r="G51" s="88">
        <v>283000</v>
      </c>
      <c r="H51" s="88">
        <v>296000</v>
      </c>
      <c r="I51" s="88">
        <v>309000</v>
      </c>
      <c r="J51" s="290" t="s">
        <v>81</v>
      </c>
      <c r="K51" s="26" t="s">
        <v>48</v>
      </c>
      <c r="L51" s="26">
        <f t="shared" si="3"/>
        <v>23</v>
      </c>
      <c r="M51" s="26"/>
      <c r="N51" s="26"/>
      <c r="O51" s="26"/>
      <c r="P51" s="26"/>
    </row>
    <row r="52" spans="1:49" s="36" customFormat="1" x14ac:dyDescent="0.25">
      <c r="A52" s="43" t="s">
        <v>44</v>
      </c>
      <c r="B52" s="336" t="str">
        <f t="shared" si="2"/>
        <v>I24</v>
      </c>
      <c r="C52" s="96" t="s">
        <v>82</v>
      </c>
      <c r="D52" s="77" t="s">
        <v>44</v>
      </c>
      <c r="E52" s="77" t="s">
        <v>46</v>
      </c>
      <c r="F52" s="88">
        <v>-270000</v>
      </c>
      <c r="G52" s="88">
        <v>-283000</v>
      </c>
      <c r="H52" s="88">
        <v>-296000</v>
      </c>
      <c r="I52" s="88">
        <v>-309000</v>
      </c>
      <c r="J52" s="290" t="s">
        <v>81</v>
      </c>
      <c r="K52" s="26" t="s">
        <v>48</v>
      </c>
      <c r="L52" s="26">
        <f t="shared" si="3"/>
        <v>24</v>
      </c>
      <c r="M52" s="26"/>
      <c r="N52" s="26"/>
      <c r="O52" s="26"/>
      <c r="P52" s="26"/>
    </row>
    <row r="53" spans="1:49" s="36" customFormat="1" x14ac:dyDescent="0.25">
      <c r="A53" s="43" t="s">
        <v>44</v>
      </c>
      <c r="B53" s="336" t="str">
        <f t="shared" si="2"/>
        <v>I25</v>
      </c>
      <c r="C53" s="96" t="s">
        <v>83</v>
      </c>
      <c r="D53" s="77" t="s">
        <v>44</v>
      </c>
      <c r="E53" s="77" t="s">
        <v>46</v>
      </c>
      <c r="F53" s="88">
        <v>-19941</v>
      </c>
      <c r="G53" s="88">
        <v>-21381</v>
      </c>
      <c r="H53" s="88">
        <v>-21189</v>
      </c>
      <c r="I53" s="88">
        <v>-21619</v>
      </c>
      <c r="J53" s="290" t="s">
        <v>84</v>
      </c>
      <c r="K53" s="26" t="s">
        <v>48</v>
      </c>
      <c r="L53" s="26">
        <f t="shared" si="3"/>
        <v>25</v>
      </c>
      <c r="M53" s="26"/>
      <c r="N53" s="26"/>
      <c r="O53" s="26"/>
      <c r="P53" s="26"/>
    </row>
    <row r="54" spans="1:49" s="36" customFormat="1" x14ac:dyDescent="0.25">
      <c r="A54" s="43" t="s">
        <v>44</v>
      </c>
      <c r="B54" s="336" t="str">
        <f t="shared" si="2"/>
        <v>I26</v>
      </c>
      <c r="C54" s="96" t="s">
        <v>85</v>
      </c>
      <c r="D54" s="77" t="s">
        <v>44</v>
      </c>
      <c r="E54" s="77" t="s">
        <v>46</v>
      </c>
      <c r="F54" s="88">
        <v>-41629</v>
      </c>
      <c r="G54" s="88">
        <v>-46431</v>
      </c>
      <c r="H54" s="88">
        <v>-50107</v>
      </c>
      <c r="I54" s="88">
        <v>-50938</v>
      </c>
      <c r="J54" s="290" t="s">
        <v>84</v>
      </c>
      <c r="K54" s="26" t="s">
        <v>48</v>
      </c>
      <c r="L54" s="26">
        <f t="shared" si="3"/>
        <v>26</v>
      </c>
      <c r="M54" s="26"/>
      <c r="N54" s="26"/>
      <c r="O54" s="26"/>
      <c r="P54" s="26"/>
    </row>
    <row r="55" spans="1:49" s="36" customFormat="1" x14ac:dyDescent="0.25">
      <c r="A55" s="43" t="s">
        <v>44</v>
      </c>
      <c r="B55" s="336" t="str">
        <f t="shared" si="2"/>
        <v>I27</v>
      </c>
      <c r="C55" s="96" t="s">
        <v>86</v>
      </c>
      <c r="D55" s="77" t="s">
        <v>44</v>
      </c>
      <c r="E55" s="77" t="s">
        <v>46</v>
      </c>
      <c r="F55" s="88">
        <v>141</v>
      </c>
      <c r="G55" s="88">
        <v>88</v>
      </c>
      <c r="H55" s="88">
        <v>-153</v>
      </c>
      <c r="I55" s="88">
        <v>-1059</v>
      </c>
      <c r="J55" s="290" t="s">
        <v>84</v>
      </c>
      <c r="K55" s="26" t="s">
        <v>48</v>
      </c>
      <c r="L55" s="26">
        <f t="shared" si="3"/>
        <v>27</v>
      </c>
      <c r="M55" s="26"/>
      <c r="N55" s="26"/>
      <c r="O55" s="26"/>
      <c r="P55" s="26"/>
    </row>
    <row r="56" spans="1:49" s="36" customFormat="1" x14ac:dyDescent="0.25">
      <c r="A56" s="76" t="s">
        <v>44</v>
      </c>
      <c r="B56" s="336" t="str">
        <f t="shared" si="2"/>
        <v>I28</v>
      </c>
      <c r="C56" s="96"/>
      <c r="D56" s="77" t="s">
        <v>44</v>
      </c>
      <c r="E56" s="77" t="s">
        <v>46</v>
      </c>
      <c r="F56" s="88"/>
      <c r="G56" s="88"/>
      <c r="H56" s="88"/>
      <c r="I56" s="88"/>
      <c r="J56" s="290"/>
      <c r="K56" s="26" t="s">
        <v>48</v>
      </c>
      <c r="L56" s="26">
        <f t="shared" si="3"/>
        <v>28</v>
      </c>
      <c r="M56" s="26"/>
      <c r="N56" s="26"/>
      <c r="O56" s="26"/>
      <c r="P56" s="26"/>
    </row>
    <row r="57" spans="1:49" s="36" customFormat="1" x14ac:dyDescent="0.25">
      <c r="A57" s="76" t="s">
        <v>44</v>
      </c>
      <c r="B57" s="336" t="str">
        <f t="shared" si="2"/>
        <v>I29</v>
      </c>
      <c r="C57" s="96"/>
      <c r="D57" s="77" t="s">
        <v>44</v>
      </c>
      <c r="E57" s="77" t="s">
        <v>46</v>
      </c>
      <c r="F57" s="88"/>
      <c r="G57" s="88"/>
      <c r="H57" s="88"/>
      <c r="I57" s="88"/>
      <c r="J57" s="290"/>
      <c r="K57" s="26" t="s">
        <v>48</v>
      </c>
      <c r="L57" s="26">
        <f t="shared" si="3"/>
        <v>29</v>
      </c>
      <c r="M57" s="26"/>
      <c r="N57" s="26"/>
      <c r="O57" s="26"/>
      <c r="P57" s="26"/>
    </row>
    <row r="58" spans="1:49" s="36" customFormat="1" x14ac:dyDescent="0.25">
      <c r="A58" s="76" t="s">
        <v>44</v>
      </c>
      <c r="B58" s="336" t="str">
        <f t="shared" si="2"/>
        <v>I30</v>
      </c>
      <c r="C58" s="96"/>
      <c r="D58" s="77" t="s">
        <v>44</v>
      </c>
      <c r="E58" s="77" t="s">
        <v>46</v>
      </c>
      <c r="F58" s="88"/>
      <c r="G58" s="88"/>
      <c r="H58" s="88"/>
      <c r="I58" s="88"/>
      <c r="J58" s="290"/>
      <c r="K58" s="26" t="s">
        <v>48</v>
      </c>
      <c r="L58" s="26">
        <f t="shared" si="3"/>
        <v>30</v>
      </c>
      <c r="M58" s="26"/>
      <c r="N58" s="26"/>
      <c r="O58" s="26"/>
      <c r="P58" s="26"/>
      <c r="AW58" s="93"/>
    </row>
    <row r="59" spans="1:49" s="36" customFormat="1" x14ac:dyDescent="0.25">
      <c r="A59" s="76" t="s">
        <v>44</v>
      </c>
      <c r="B59" s="336" t="str">
        <f t="shared" si="2"/>
        <v>I31</v>
      </c>
      <c r="C59" s="96"/>
      <c r="D59" s="77" t="s">
        <v>44</v>
      </c>
      <c r="E59" s="77" t="s">
        <v>46</v>
      </c>
      <c r="F59" s="88"/>
      <c r="G59" s="88"/>
      <c r="H59" s="88"/>
      <c r="I59" s="88"/>
      <c r="J59" s="290"/>
      <c r="K59" s="26" t="s">
        <v>48</v>
      </c>
      <c r="L59" s="26">
        <f t="shared" si="3"/>
        <v>31</v>
      </c>
      <c r="M59" s="26"/>
      <c r="N59" s="26"/>
      <c r="O59" s="26"/>
      <c r="P59" s="26"/>
    </row>
    <row r="60" spans="1:49" s="36" customFormat="1" x14ac:dyDescent="0.25">
      <c r="A60" s="76" t="s">
        <v>44</v>
      </c>
      <c r="B60" s="336" t="str">
        <f t="shared" si="2"/>
        <v>I32</v>
      </c>
      <c r="C60" s="96"/>
      <c r="D60" s="77" t="s">
        <v>44</v>
      </c>
      <c r="E60" s="77" t="s">
        <v>46</v>
      </c>
      <c r="F60" s="88"/>
      <c r="G60" s="88"/>
      <c r="H60" s="88"/>
      <c r="I60" s="88"/>
      <c r="J60" s="290"/>
      <c r="K60" s="26" t="s">
        <v>48</v>
      </c>
      <c r="L60" s="26">
        <f t="shared" si="3"/>
        <v>32</v>
      </c>
      <c r="M60" s="26"/>
      <c r="N60" s="26"/>
      <c r="O60" s="26"/>
      <c r="P60" s="26"/>
    </row>
    <row r="61" spans="1:49" s="36" customFormat="1" x14ac:dyDescent="0.25">
      <c r="A61" s="242"/>
      <c r="B61" s="242"/>
      <c r="C61" s="243"/>
      <c r="D61" s="212"/>
      <c r="E61" s="109"/>
      <c r="F61" s="108"/>
      <c r="G61" s="108"/>
      <c r="H61" s="108"/>
      <c r="I61" s="108"/>
      <c r="J61" s="37"/>
      <c r="K61" s="26" t="s">
        <v>48</v>
      </c>
      <c r="L61" s="26">
        <f t="shared" si="3"/>
        <v>33</v>
      </c>
      <c r="M61" s="26"/>
      <c r="N61" s="26"/>
      <c r="O61" s="26"/>
      <c r="P61" s="26"/>
    </row>
    <row r="62" spans="1:49" s="36" customFormat="1" x14ac:dyDescent="0.25">
      <c r="A62" s="41"/>
      <c r="B62" s="41"/>
      <c r="C62" s="3" t="s">
        <v>87</v>
      </c>
      <c r="D62" s="61"/>
      <c r="E62" s="61"/>
      <c r="F62" s="7">
        <f>SUMIF($A:$A,"SENT.INNT",F:F)</f>
        <v>-4802323</v>
      </c>
      <c r="G62" s="7">
        <f>SUMIF($A:$A,"SENT.INNT",G:G)</f>
        <v>-4795476</v>
      </c>
      <c r="H62" s="7">
        <f>SUMIF($A:$A,"SENT.INNT",H:H)</f>
        <v>-4804933</v>
      </c>
      <c r="I62" s="7">
        <f>SUMIF($A:$A,"SENT.INNT",I:I)</f>
        <v>-4840058</v>
      </c>
      <c r="J62" s="37"/>
      <c r="K62" s="26"/>
      <c r="L62" s="26"/>
      <c r="M62" s="26"/>
      <c r="N62" s="26"/>
      <c r="O62" s="26"/>
      <c r="P62" s="26"/>
    </row>
    <row r="63" spans="1:49" s="36" customFormat="1" x14ac:dyDescent="0.25">
      <c r="A63" s="44"/>
      <c r="B63" s="44"/>
      <c r="C63" s="3" t="s">
        <v>88</v>
      </c>
      <c r="D63" s="50"/>
      <c r="E63" s="50"/>
      <c r="F63" s="7">
        <f>F4</f>
        <v>4546363</v>
      </c>
      <c r="G63" s="7">
        <f>G4</f>
        <v>4546363</v>
      </c>
      <c r="H63" s="7">
        <f>H4</f>
        <v>4546363</v>
      </c>
      <c r="I63" s="7">
        <f>I4</f>
        <v>4546363</v>
      </c>
      <c r="J63" s="37"/>
      <c r="K63" s="26"/>
      <c r="L63" s="26"/>
      <c r="M63" s="26"/>
      <c r="N63" s="26"/>
      <c r="O63" s="26"/>
      <c r="P63" s="26"/>
    </row>
    <row r="64" spans="1:49" s="36" customFormat="1" x14ac:dyDescent="0.25">
      <c r="A64" s="41"/>
      <c r="B64" s="41"/>
      <c r="C64" s="3" t="s">
        <v>89</v>
      </c>
      <c r="D64" s="50"/>
      <c r="E64" s="50"/>
      <c r="F64" s="7">
        <f>F62+F63</f>
        <v>-255960</v>
      </c>
      <c r="G64" s="7">
        <f>G62+G63</f>
        <v>-249113</v>
      </c>
      <c r="H64" s="7">
        <f>H62+H63</f>
        <v>-258570</v>
      </c>
      <c r="I64" s="7">
        <f>I62+I63</f>
        <v>-293695</v>
      </c>
      <c r="J64" s="37"/>
      <c r="K64" s="26"/>
      <c r="L64" s="26"/>
      <c r="M64" s="26"/>
      <c r="N64" s="26"/>
      <c r="O64" s="26"/>
      <c r="P64" s="26"/>
    </row>
    <row r="65" spans="1:20" s="36" customFormat="1" x14ac:dyDescent="0.25">
      <c r="A65" s="45"/>
      <c r="B65" s="45"/>
      <c r="C65" s="9"/>
      <c r="D65" s="47"/>
      <c r="E65" s="47"/>
      <c r="F65" s="10"/>
      <c r="G65" s="10"/>
      <c r="H65" s="10"/>
      <c r="I65" s="10"/>
      <c r="J65" s="37"/>
      <c r="K65" s="26"/>
      <c r="L65" s="26"/>
      <c r="M65" s="26"/>
      <c r="N65" s="26"/>
      <c r="O65" s="26"/>
      <c r="P65" s="26"/>
    </row>
    <row r="66" spans="1:20" s="1" customFormat="1" x14ac:dyDescent="0.25">
      <c r="A66" s="46"/>
      <c r="B66" s="46"/>
      <c r="C66" s="11" t="s">
        <v>90</v>
      </c>
      <c r="D66" s="48"/>
      <c r="E66" s="48"/>
      <c r="F66" s="12"/>
      <c r="G66" s="12"/>
      <c r="H66" s="12"/>
      <c r="I66" s="12"/>
      <c r="J66" s="37"/>
      <c r="K66" s="36"/>
      <c r="L66" s="36"/>
      <c r="M66" s="27"/>
      <c r="N66" s="27"/>
      <c r="O66" s="27"/>
      <c r="P66" s="27"/>
    </row>
    <row r="67" spans="1:20" s="36" customFormat="1" x14ac:dyDescent="0.25">
      <c r="A67" s="70"/>
      <c r="B67" s="339"/>
      <c r="C67" s="244" t="s">
        <v>91</v>
      </c>
      <c r="D67" s="81"/>
      <c r="E67" s="81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7"/>
      <c r="K67" s="335"/>
      <c r="L67" s="335"/>
      <c r="M67" s="97" t="s">
        <v>92</v>
      </c>
      <c r="N67" s="97" t="s">
        <v>93</v>
      </c>
      <c r="O67" s="97" t="s">
        <v>94</v>
      </c>
      <c r="P67" s="26"/>
    </row>
    <row r="68" spans="1:20" s="36" customFormat="1" x14ac:dyDescent="0.25">
      <c r="A68" s="76" t="s">
        <v>95</v>
      </c>
      <c r="B68" s="76" t="str">
        <f t="shared" ref="B68:B81" si="4">IF(L68,K68&amp;L68,"")</f>
        <v>OV1</v>
      </c>
      <c r="C68" s="243" t="s">
        <v>96</v>
      </c>
      <c r="D68" s="70" t="s">
        <v>97</v>
      </c>
      <c r="E68" s="77" t="s">
        <v>98</v>
      </c>
      <c r="F68" s="88">
        <v>5635</v>
      </c>
      <c r="G68" s="88">
        <v>9873</v>
      </c>
      <c r="H68" s="88">
        <v>12885</v>
      </c>
      <c r="I68" s="88">
        <v>13033</v>
      </c>
      <c r="J68" s="485" t="s">
        <v>99</v>
      </c>
      <c r="K68" s="26" t="s">
        <v>100</v>
      </c>
      <c r="L68" s="36">
        <v>1</v>
      </c>
      <c r="M68" s="97" t="str">
        <f>IF(E68="VEDTATT","VEDTATT",0)</f>
        <v>VEDTATT</v>
      </c>
      <c r="N68" s="97">
        <f>IF(E68="MÅ","Nye tiltak",0)</f>
        <v>0</v>
      </c>
      <c r="O68" s="97"/>
      <c r="P68" s="26"/>
      <c r="Q68" s="93"/>
      <c r="R68" s="93"/>
      <c r="S68" s="93"/>
      <c r="T68" s="93"/>
    </row>
    <row r="69" spans="1:20" s="36" customFormat="1" x14ac:dyDescent="0.25">
      <c r="A69" s="76" t="s">
        <v>95</v>
      </c>
      <c r="B69" s="76" t="str">
        <f t="shared" si="4"/>
        <v>OV2</v>
      </c>
      <c r="C69" s="243" t="s">
        <v>101</v>
      </c>
      <c r="D69" s="70" t="s">
        <v>97</v>
      </c>
      <c r="E69" s="77" t="s">
        <v>98</v>
      </c>
      <c r="F69" s="88">
        <v>-1894</v>
      </c>
      <c r="G69" s="88">
        <v>-1894</v>
      </c>
      <c r="H69" s="88">
        <v>-1894</v>
      </c>
      <c r="I69" s="88">
        <v>-1894</v>
      </c>
      <c r="J69" s="485" t="s">
        <v>99</v>
      </c>
      <c r="K69" s="26" t="s">
        <v>100</v>
      </c>
      <c r="L69" s="36">
        <f t="shared" ref="L69:L81" si="5">L68+1</f>
        <v>2</v>
      </c>
      <c r="M69" s="97"/>
      <c r="N69" s="97"/>
      <c r="O69" s="97"/>
      <c r="P69" s="26"/>
      <c r="Q69" s="93"/>
      <c r="R69" s="93"/>
      <c r="S69" s="93"/>
      <c r="T69" s="93"/>
    </row>
    <row r="70" spans="1:20" s="36" customFormat="1" x14ac:dyDescent="0.25">
      <c r="A70" s="76" t="s">
        <v>95</v>
      </c>
      <c r="B70" s="76" t="str">
        <f t="shared" si="4"/>
        <v>OV3</v>
      </c>
      <c r="C70" s="243" t="s">
        <v>102</v>
      </c>
      <c r="D70" s="70" t="s">
        <v>97</v>
      </c>
      <c r="E70" s="77" t="s">
        <v>98</v>
      </c>
      <c r="F70" s="88">
        <v>1126</v>
      </c>
      <c r="G70" s="88">
        <v>1974</v>
      </c>
      <c r="H70" s="88">
        <v>2576</v>
      </c>
      <c r="I70" s="88">
        <v>2605</v>
      </c>
      <c r="J70" s="485" t="s">
        <v>99</v>
      </c>
      <c r="K70" s="26" t="s">
        <v>100</v>
      </c>
      <c r="L70" s="36">
        <f t="shared" si="5"/>
        <v>3</v>
      </c>
      <c r="M70" s="97" t="str">
        <f>IF(E70="VEDTATT","VEDTATT",0)</f>
        <v>VEDTATT</v>
      </c>
      <c r="N70" s="97">
        <f>IF(E70="MÅ","Nye tiltak",0)</f>
        <v>0</v>
      </c>
      <c r="O70" s="97"/>
      <c r="P70" s="26"/>
      <c r="R70" s="93"/>
      <c r="S70" s="93"/>
      <c r="T70" s="93"/>
    </row>
    <row r="71" spans="1:20" s="36" customFormat="1" x14ac:dyDescent="0.25">
      <c r="A71" s="76" t="s">
        <v>95</v>
      </c>
      <c r="B71" s="76" t="str">
        <f t="shared" si="4"/>
        <v>OV4</v>
      </c>
      <c r="C71" s="243" t="s">
        <v>103</v>
      </c>
      <c r="D71" s="70" t="s">
        <v>97</v>
      </c>
      <c r="E71" s="77" t="s">
        <v>98</v>
      </c>
      <c r="F71" s="88">
        <v>-379</v>
      </c>
      <c r="G71" s="88">
        <v>-379</v>
      </c>
      <c r="H71" s="88">
        <v>-379</v>
      </c>
      <c r="I71" s="88">
        <v>-379</v>
      </c>
      <c r="J71" s="485" t="s">
        <v>99</v>
      </c>
      <c r="K71" s="26" t="s">
        <v>100</v>
      </c>
      <c r="L71" s="36">
        <f t="shared" si="5"/>
        <v>4</v>
      </c>
      <c r="M71" s="97"/>
      <c r="N71" s="97"/>
      <c r="O71" s="97"/>
      <c r="P71" s="26"/>
      <c r="R71" s="93"/>
      <c r="S71" s="93"/>
      <c r="T71" s="93"/>
    </row>
    <row r="72" spans="1:20" s="36" customFormat="1" x14ac:dyDescent="0.25">
      <c r="A72" s="76" t="s">
        <v>95</v>
      </c>
      <c r="B72" s="76" t="str">
        <f t="shared" si="4"/>
        <v>OV5</v>
      </c>
      <c r="C72" s="243" t="s">
        <v>104</v>
      </c>
      <c r="D72" s="70" t="s">
        <v>105</v>
      </c>
      <c r="E72" s="77" t="s">
        <v>98</v>
      </c>
      <c r="F72" s="88"/>
      <c r="G72" s="88"/>
      <c r="H72" s="88">
        <v>-852</v>
      </c>
      <c r="I72" s="88">
        <v>-852</v>
      </c>
      <c r="J72" s="408"/>
      <c r="K72" s="26" t="s">
        <v>100</v>
      </c>
      <c r="L72" s="36">
        <f t="shared" si="5"/>
        <v>5</v>
      </c>
      <c r="M72" s="97" t="str">
        <f>IF(E72="VEDTATT","VEDTATT",0)</f>
        <v>VEDTATT</v>
      </c>
      <c r="N72" s="97">
        <f>IF(E72="MÅ","Nye tiltak",0)</f>
        <v>0</v>
      </c>
      <c r="O72" s="251"/>
      <c r="P72" s="26"/>
    </row>
    <row r="73" spans="1:20" s="36" customFormat="1" x14ac:dyDescent="0.25">
      <c r="A73" s="76" t="s">
        <v>95</v>
      </c>
      <c r="B73" s="76" t="str">
        <f t="shared" si="4"/>
        <v>OV6</v>
      </c>
      <c r="C73" s="243" t="s">
        <v>106</v>
      </c>
      <c r="D73" s="70" t="s">
        <v>105</v>
      </c>
      <c r="E73" s="77" t="s">
        <v>98</v>
      </c>
      <c r="F73" s="88"/>
      <c r="G73" s="88">
        <v>-2300</v>
      </c>
      <c r="H73" s="88">
        <v>-2300</v>
      </c>
      <c r="I73" s="88">
        <v>-2300</v>
      </c>
      <c r="K73" s="26" t="s">
        <v>100</v>
      </c>
      <c r="L73" s="36">
        <f t="shared" si="5"/>
        <v>6</v>
      </c>
      <c r="M73" s="97"/>
      <c r="N73" s="97"/>
      <c r="O73" s="251"/>
      <c r="P73" s="26"/>
    </row>
    <row r="74" spans="1:20" s="36" customFormat="1" ht="25.5" x14ac:dyDescent="0.25">
      <c r="A74" s="484" t="s">
        <v>95</v>
      </c>
      <c r="B74" s="76" t="str">
        <f t="shared" si="4"/>
        <v>OV7</v>
      </c>
      <c r="C74" s="243" t="s">
        <v>107</v>
      </c>
      <c r="D74" s="70" t="s">
        <v>108</v>
      </c>
      <c r="E74" s="77" t="s">
        <v>46</v>
      </c>
      <c r="F74" s="108">
        <v>2100</v>
      </c>
      <c r="G74" s="108">
        <v>2100</v>
      </c>
      <c r="H74" s="108">
        <v>2100</v>
      </c>
      <c r="I74" s="108">
        <v>2100</v>
      </c>
      <c r="K74" s="26" t="s">
        <v>100</v>
      </c>
      <c r="L74" s="36">
        <f t="shared" si="5"/>
        <v>7</v>
      </c>
      <c r="M74" s="97"/>
      <c r="N74" s="97"/>
      <c r="O74" s="251"/>
      <c r="P74" s="26"/>
    </row>
    <row r="75" spans="1:20" s="36" customFormat="1" x14ac:dyDescent="0.25">
      <c r="A75" s="76" t="s">
        <v>95</v>
      </c>
      <c r="B75" s="76" t="str">
        <f t="shared" si="4"/>
        <v>OV8</v>
      </c>
      <c r="C75" s="243" t="s">
        <v>109</v>
      </c>
      <c r="D75" s="70" t="s">
        <v>97</v>
      </c>
      <c r="E75" s="77" t="s">
        <v>98</v>
      </c>
      <c r="F75" s="88">
        <v>121</v>
      </c>
      <c r="G75" s="88">
        <v>212</v>
      </c>
      <c r="H75" s="88">
        <v>276</v>
      </c>
      <c r="I75" s="88">
        <v>279</v>
      </c>
      <c r="J75" s="485" t="s">
        <v>99</v>
      </c>
      <c r="K75" s="26" t="s">
        <v>100</v>
      </c>
      <c r="L75" s="36">
        <f t="shared" si="5"/>
        <v>8</v>
      </c>
      <c r="M75" s="97"/>
      <c r="N75" s="97"/>
      <c r="O75" s="251"/>
      <c r="P75" s="26"/>
    </row>
    <row r="76" spans="1:20" s="36" customFormat="1" x14ac:dyDescent="0.25">
      <c r="A76" s="76" t="s">
        <v>95</v>
      </c>
      <c r="B76" s="76" t="str">
        <f t="shared" si="4"/>
        <v>OV9</v>
      </c>
      <c r="C76" s="243" t="s">
        <v>110</v>
      </c>
      <c r="D76" s="70" t="s">
        <v>97</v>
      </c>
      <c r="E76" s="77" t="s">
        <v>98</v>
      </c>
      <c r="F76" s="108">
        <v>-41</v>
      </c>
      <c r="G76" s="108">
        <v>-41</v>
      </c>
      <c r="H76" s="108">
        <v>-41</v>
      </c>
      <c r="I76" s="108">
        <v>-41</v>
      </c>
      <c r="J76" s="485" t="s">
        <v>99</v>
      </c>
      <c r="K76" s="26" t="s">
        <v>100</v>
      </c>
      <c r="L76" s="36">
        <f t="shared" si="5"/>
        <v>9</v>
      </c>
      <c r="M76" s="97"/>
      <c r="N76" s="97"/>
      <c r="O76" s="251"/>
      <c r="P76" s="26"/>
    </row>
    <row r="77" spans="1:20" s="36" customFormat="1" x14ac:dyDescent="0.25">
      <c r="A77" s="76" t="s">
        <v>95</v>
      </c>
      <c r="B77" s="76" t="str">
        <f t="shared" si="4"/>
        <v>OV10</v>
      </c>
      <c r="C77" s="243" t="s">
        <v>111</v>
      </c>
      <c r="D77" s="70" t="s">
        <v>97</v>
      </c>
      <c r="E77" s="77"/>
      <c r="F77" s="108">
        <v>2316</v>
      </c>
      <c r="G77" s="108">
        <v>2316</v>
      </c>
      <c r="H77" s="108">
        <v>2316</v>
      </c>
      <c r="I77" s="108">
        <v>2316</v>
      </c>
      <c r="J77" s="485" t="s">
        <v>112</v>
      </c>
      <c r="K77" s="26" t="s">
        <v>100</v>
      </c>
      <c r="L77" s="36">
        <f t="shared" si="5"/>
        <v>10</v>
      </c>
      <c r="M77" s="97" t="str">
        <f>IF(E75="VEDTATT","VEDTATT",0)</f>
        <v>VEDTATT</v>
      </c>
      <c r="N77" s="97">
        <f>IF(E75="MÅ","Nye tiltak",0)</f>
        <v>0</v>
      </c>
      <c r="O77" s="97"/>
      <c r="P77" s="26"/>
    </row>
    <row r="78" spans="1:20" s="36" customFormat="1" x14ac:dyDescent="0.25">
      <c r="A78" s="76" t="s">
        <v>95</v>
      </c>
      <c r="B78" s="76" t="str">
        <f t="shared" si="4"/>
        <v>OV11</v>
      </c>
      <c r="C78" s="243" t="s">
        <v>113</v>
      </c>
      <c r="D78" s="70" t="s">
        <v>97</v>
      </c>
      <c r="E78" s="77"/>
      <c r="F78" s="108">
        <v>-2316</v>
      </c>
      <c r="G78" s="108">
        <v>-2316</v>
      </c>
      <c r="H78" s="108">
        <v>-2316</v>
      </c>
      <c r="I78" s="108">
        <v>-2316</v>
      </c>
      <c r="J78" s="485" t="s">
        <v>112</v>
      </c>
      <c r="K78" s="26" t="s">
        <v>100</v>
      </c>
      <c r="L78" s="36">
        <f t="shared" si="5"/>
        <v>11</v>
      </c>
      <c r="M78" s="510"/>
      <c r="N78" s="510"/>
      <c r="O78" s="510"/>
      <c r="P78" s="26"/>
    </row>
    <row r="79" spans="1:20" s="36" customFormat="1" x14ac:dyDescent="0.25">
      <c r="A79" s="76" t="s">
        <v>95</v>
      </c>
      <c r="B79" s="76" t="str">
        <f t="shared" si="4"/>
        <v>OV12</v>
      </c>
      <c r="C79" s="522" t="s">
        <v>114</v>
      </c>
      <c r="D79" s="70" t="s">
        <v>97</v>
      </c>
      <c r="E79" s="77" t="s">
        <v>98</v>
      </c>
      <c r="F79" s="521">
        <v>18700</v>
      </c>
      <c r="G79" s="521">
        <v>18700</v>
      </c>
      <c r="H79" s="521">
        <v>18700</v>
      </c>
      <c r="I79" s="521">
        <v>18700</v>
      </c>
      <c r="J79" s="485" t="s">
        <v>115</v>
      </c>
      <c r="K79" s="26" t="s">
        <v>100</v>
      </c>
      <c r="L79" s="36">
        <f t="shared" si="5"/>
        <v>12</v>
      </c>
      <c r="M79" s="510"/>
      <c r="N79" s="510"/>
      <c r="O79" s="510"/>
      <c r="P79" s="26"/>
    </row>
    <row r="80" spans="1:20" s="36" customFormat="1" x14ac:dyDescent="0.25">
      <c r="A80" s="76" t="s">
        <v>95</v>
      </c>
      <c r="B80" s="76" t="str">
        <f t="shared" si="4"/>
        <v>OV13</v>
      </c>
      <c r="C80" s="520" t="s">
        <v>116</v>
      </c>
      <c r="D80" s="70" t="s">
        <v>97</v>
      </c>
      <c r="E80" s="77" t="s">
        <v>98</v>
      </c>
      <c r="F80" s="519">
        <v>900</v>
      </c>
      <c r="G80" s="521">
        <v>4700</v>
      </c>
      <c r="H80" s="521">
        <v>11100</v>
      </c>
      <c r="I80" s="521">
        <v>11100</v>
      </c>
      <c r="J80" s="485" t="s">
        <v>115</v>
      </c>
      <c r="K80" s="26" t="s">
        <v>100</v>
      </c>
      <c r="L80" s="36">
        <f t="shared" si="5"/>
        <v>13</v>
      </c>
      <c r="M80" s="510"/>
      <c r="N80" s="510"/>
      <c r="O80" s="510"/>
      <c r="P80" s="26"/>
    </row>
    <row r="81" spans="1:21" ht="29.45" customHeight="1" x14ac:dyDescent="0.25">
      <c r="A81" s="76" t="s">
        <v>95</v>
      </c>
      <c r="B81" s="76" t="str">
        <f t="shared" si="4"/>
        <v>OV14</v>
      </c>
      <c r="C81" s="522" t="s">
        <v>117</v>
      </c>
      <c r="D81" s="70" t="s">
        <v>97</v>
      </c>
      <c r="E81" s="77" t="s">
        <v>98</v>
      </c>
      <c r="F81" s="521">
        <v>2000</v>
      </c>
      <c r="G81" s="521">
        <v>2000</v>
      </c>
      <c r="H81" s="521">
        <v>2000</v>
      </c>
      <c r="I81" s="521">
        <v>2000</v>
      </c>
      <c r="J81" s="485" t="s">
        <v>118</v>
      </c>
      <c r="K81" s="26" t="s">
        <v>100</v>
      </c>
      <c r="L81" s="36">
        <f t="shared" si="5"/>
        <v>14</v>
      </c>
    </row>
    <row r="82" spans="1:21" s="36" customFormat="1" x14ac:dyDescent="0.25">
      <c r="A82" s="46"/>
      <c r="B82" s="46"/>
      <c r="J82" s="207"/>
      <c r="M82" s="97"/>
      <c r="N82" s="97"/>
      <c r="O82" s="97"/>
      <c r="P82" s="26"/>
    </row>
    <row r="83" spans="1:21" s="1" customFormat="1" x14ac:dyDescent="0.25">
      <c r="A83" s="42"/>
      <c r="B83" s="42"/>
      <c r="C83" s="14" t="s">
        <v>119</v>
      </c>
      <c r="D83" s="48"/>
      <c r="E83" s="48"/>
      <c r="F83" s="4">
        <f>F67</f>
        <v>2022</v>
      </c>
      <c r="G83" s="4">
        <f>F83+1</f>
        <v>2023</v>
      </c>
      <c r="H83" s="4">
        <f>G83+1</f>
        <v>2024</v>
      </c>
      <c r="I83" s="4">
        <f>H83+1</f>
        <v>2025</v>
      </c>
      <c r="J83" s="207"/>
      <c r="K83" s="335"/>
      <c r="L83" s="335"/>
      <c r="M83" s="97"/>
      <c r="N83" s="97"/>
      <c r="O83" s="97"/>
      <c r="P83" s="27"/>
    </row>
    <row r="84" spans="1:21" s="36" customFormat="1" x14ac:dyDescent="0.25">
      <c r="A84" s="76" t="s">
        <v>95</v>
      </c>
      <c r="B84" s="76" t="str">
        <f t="shared" ref="B84:B88" si="6">IF(L84,K84&amp;L84,"")</f>
        <v>OV15</v>
      </c>
      <c r="C84" s="243" t="s">
        <v>120</v>
      </c>
      <c r="D84" s="70" t="s">
        <v>105</v>
      </c>
      <c r="E84" s="77" t="s">
        <v>98</v>
      </c>
      <c r="F84" s="72"/>
      <c r="G84" s="72"/>
      <c r="H84" s="72">
        <f>I84/12*5</f>
        <v>6666.6666666666661</v>
      </c>
      <c r="I84" s="72">
        <v>16000</v>
      </c>
      <c r="J84" s="207" t="s">
        <v>121</v>
      </c>
      <c r="K84" s="26" t="s">
        <v>100</v>
      </c>
      <c r="L84" s="26">
        <f>L81+1</f>
        <v>15</v>
      </c>
      <c r="M84" s="97" t="str">
        <f>IF(E84="VEDTATT","VEDTATT",0)</f>
        <v>VEDTATT</v>
      </c>
      <c r="N84" s="97">
        <f>IF(E84="MÅ","Nye tiltak",0)</f>
        <v>0</v>
      </c>
      <c r="O84" s="97"/>
      <c r="P84" s="26"/>
    </row>
    <row r="85" spans="1:21" s="36" customFormat="1" x14ac:dyDescent="0.25">
      <c r="A85" s="76" t="s">
        <v>95</v>
      </c>
      <c r="B85" s="76" t="str">
        <f t="shared" si="6"/>
        <v>OV16</v>
      </c>
      <c r="C85" s="243" t="s">
        <v>122</v>
      </c>
      <c r="D85" s="70" t="s">
        <v>105</v>
      </c>
      <c r="E85" s="77" t="s">
        <v>98</v>
      </c>
      <c r="F85" s="72"/>
      <c r="G85" s="72"/>
      <c r="H85" s="72">
        <f>I85/12*5</f>
        <v>-1332.0833333333335</v>
      </c>
      <c r="I85" s="72">
        <v>-3197</v>
      </c>
      <c r="J85" s="207" t="s">
        <v>123</v>
      </c>
      <c r="K85" s="26" t="s">
        <v>100</v>
      </c>
      <c r="L85" s="26">
        <f>L84+1</f>
        <v>16</v>
      </c>
      <c r="M85" s="97" t="str">
        <f>IF(E85="VEDTATT","VEDTATT",0)</f>
        <v>VEDTATT</v>
      </c>
      <c r="N85" s="97">
        <f>IF(E85="MÅ","Nye tiltak",0)</f>
        <v>0</v>
      </c>
      <c r="O85" s="97"/>
      <c r="P85" s="26"/>
    </row>
    <row r="86" spans="1:21" s="36" customFormat="1" x14ac:dyDescent="0.25">
      <c r="A86" s="76" t="s">
        <v>95</v>
      </c>
      <c r="B86" s="76" t="str">
        <f t="shared" si="6"/>
        <v>OV17</v>
      </c>
      <c r="C86" s="243" t="s">
        <v>124</v>
      </c>
      <c r="D86" s="70" t="s">
        <v>105</v>
      </c>
      <c r="E86" s="77" t="s">
        <v>98</v>
      </c>
      <c r="F86" s="72">
        <v>-5390</v>
      </c>
      <c r="G86" s="72">
        <v>-5390</v>
      </c>
      <c r="H86" s="72">
        <v>-5390</v>
      </c>
      <c r="I86" s="72">
        <v>-5390</v>
      </c>
      <c r="J86" s="340"/>
      <c r="K86" s="26" t="s">
        <v>100</v>
      </c>
      <c r="L86" s="26">
        <f>L85+1</f>
        <v>17</v>
      </c>
      <c r="M86" s="97" t="str">
        <f>IF(E86="VEDTATT","VEDTATT",0)</f>
        <v>VEDTATT</v>
      </c>
      <c r="N86" s="97">
        <f>IF(E86="MÅ","Nye tiltak",0)</f>
        <v>0</v>
      </c>
      <c r="O86" s="97"/>
      <c r="P86" s="26"/>
    </row>
    <row r="87" spans="1:21" s="36" customFormat="1" x14ac:dyDescent="0.25">
      <c r="A87" s="76" t="s">
        <v>95</v>
      </c>
      <c r="B87" s="76" t="str">
        <f t="shared" si="6"/>
        <v>OV18</v>
      </c>
      <c r="C87" s="243" t="s">
        <v>125</v>
      </c>
      <c r="D87" s="77" t="s">
        <v>97</v>
      </c>
      <c r="E87" s="77" t="s">
        <v>98</v>
      </c>
      <c r="F87" s="88">
        <v>19000</v>
      </c>
      <c r="G87" s="88">
        <v>19000</v>
      </c>
      <c r="H87" s="88">
        <v>19000</v>
      </c>
      <c r="I87" s="88">
        <v>19000</v>
      </c>
      <c r="J87" s="207" t="s">
        <v>126</v>
      </c>
      <c r="K87" s="26" t="s">
        <v>100</v>
      </c>
      <c r="L87" s="26">
        <f>L86+1</f>
        <v>18</v>
      </c>
      <c r="M87" s="97"/>
      <c r="N87" s="97"/>
      <c r="O87" s="97"/>
      <c r="P87" s="26"/>
    </row>
    <row r="88" spans="1:21" s="36" customFormat="1" x14ac:dyDescent="0.25">
      <c r="A88" s="76" t="s">
        <v>95</v>
      </c>
      <c r="B88" s="76" t="str">
        <f t="shared" si="6"/>
        <v>OV19</v>
      </c>
      <c r="C88" s="243" t="s">
        <v>127</v>
      </c>
      <c r="D88" s="39" t="s">
        <v>108</v>
      </c>
      <c r="E88" s="58" t="s">
        <v>46</v>
      </c>
      <c r="F88" s="36">
        <v>231</v>
      </c>
      <c r="G88" s="36">
        <v>231</v>
      </c>
      <c r="H88" s="36">
        <v>231</v>
      </c>
      <c r="I88" s="36">
        <v>231</v>
      </c>
      <c r="J88" s="91" t="s">
        <v>128</v>
      </c>
      <c r="K88" s="26" t="s">
        <v>100</v>
      </c>
      <c r="L88" s="26">
        <f>L87+1</f>
        <v>19</v>
      </c>
      <c r="M88" s="97">
        <f>IF(E88="VEDTATT","VEDTATT",0)</f>
        <v>0</v>
      </c>
      <c r="N88" s="97" t="str">
        <f>IF(E88="MÅ","Nye tiltak",0)</f>
        <v>Nye tiltak</v>
      </c>
      <c r="O88" s="97"/>
      <c r="P88" s="26"/>
    </row>
    <row r="89" spans="1:21" s="36" customFormat="1" x14ac:dyDescent="0.25">
      <c r="A89" s="76"/>
      <c r="B89" s="76"/>
      <c r="C89" s="243"/>
      <c r="D89" s="212"/>
      <c r="E89" s="69"/>
      <c r="J89" s="91"/>
      <c r="K89" s="26"/>
      <c r="L89" s="26"/>
      <c r="M89" s="97"/>
      <c r="N89" s="97"/>
      <c r="O89" s="97"/>
      <c r="P89" s="26"/>
    </row>
    <row r="90" spans="1:21" s="36" customFormat="1" x14ac:dyDescent="0.25">
      <c r="A90" s="76"/>
      <c r="B90" s="76"/>
      <c r="C90" s="80" t="s">
        <v>129</v>
      </c>
      <c r="D90" s="94"/>
      <c r="E90" s="69"/>
      <c r="F90" s="4">
        <f>F83</f>
        <v>2022</v>
      </c>
      <c r="G90" s="4">
        <f>F90+1</f>
        <v>2023</v>
      </c>
      <c r="H90" s="4">
        <f>G90+1</f>
        <v>2024</v>
      </c>
      <c r="I90" s="4">
        <f>H90+1</f>
        <v>2025</v>
      </c>
      <c r="J90" s="207"/>
      <c r="K90" s="335"/>
      <c r="L90" s="335"/>
      <c r="M90" s="97"/>
      <c r="N90" s="97"/>
      <c r="O90" s="97"/>
      <c r="P90" s="26"/>
      <c r="Q90" s="2"/>
      <c r="R90" s="2"/>
      <c r="S90" s="2"/>
      <c r="T90" s="2"/>
      <c r="U90" s="2"/>
    </row>
    <row r="91" spans="1:21" s="36" customFormat="1" x14ac:dyDescent="0.25">
      <c r="A91" s="76" t="s">
        <v>95</v>
      </c>
      <c r="B91" s="76" t="str">
        <f t="shared" ref="B91:B102" si="7">IF(L91,K91&amp;L91,"")</f>
        <v>OV20</v>
      </c>
      <c r="C91" s="243" t="s">
        <v>130</v>
      </c>
      <c r="D91" s="70" t="s">
        <v>105</v>
      </c>
      <c r="E91" s="109" t="s">
        <v>98</v>
      </c>
      <c r="F91" s="72">
        <v>0</v>
      </c>
      <c r="G91" s="72">
        <v>990</v>
      </c>
      <c r="H91" s="72">
        <v>990</v>
      </c>
      <c r="I91" s="72">
        <v>990</v>
      </c>
      <c r="J91" s="207"/>
      <c r="K91" s="26" t="s">
        <v>100</v>
      </c>
      <c r="L91" s="26">
        <f>L88+1</f>
        <v>20</v>
      </c>
      <c r="M91" s="97" t="str">
        <f>IF(E91="VEDTATT","VEDTATT",0)</f>
        <v>VEDTATT</v>
      </c>
      <c r="N91" s="97">
        <f>IF(E91="MÅ","Nye tiltak",0)</f>
        <v>0</v>
      </c>
      <c r="O91" s="97"/>
      <c r="P91" s="26"/>
    </row>
    <row r="92" spans="1:21" s="36" customFormat="1" x14ac:dyDescent="0.25">
      <c r="A92" s="76" t="s">
        <v>95</v>
      </c>
      <c r="B92" s="76" t="str">
        <f t="shared" si="7"/>
        <v>OV21</v>
      </c>
      <c r="C92" s="243" t="s">
        <v>131</v>
      </c>
      <c r="D92" s="70" t="s">
        <v>105</v>
      </c>
      <c r="E92" s="69" t="s">
        <v>98</v>
      </c>
      <c r="F92" s="189"/>
      <c r="G92" s="189">
        <v>-3040</v>
      </c>
      <c r="H92" s="189">
        <v>-3040</v>
      </c>
      <c r="I92" s="189">
        <v>-3040</v>
      </c>
      <c r="J92" s="207" t="s">
        <v>132</v>
      </c>
      <c r="K92" s="26" t="s">
        <v>100</v>
      </c>
      <c r="L92" s="26">
        <f t="shared" ref="L92:L104" si="8">L91+1</f>
        <v>21</v>
      </c>
      <c r="M92" s="97" t="str">
        <f>IF(E93="VEDTATT","VEDTATT",0)</f>
        <v>VEDTATT</v>
      </c>
      <c r="N92" s="97">
        <f>IF(E93="MÅ","Nye tiltak",0)</f>
        <v>0</v>
      </c>
      <c r="O92" s="97"/>
      <c r="P92" s="26"/>
    </row>
    <row r="93" spans="1:21" s="36" customFormat="1" x14ac:dyDescent="0.25">
      <c r="A93" s="76" t="s">
        <v>95</v>
      </c>
      <c r="B93" s="76" t="str">
        <f t="shared" si="7"/>
        <v>OV22</v>
      </c>
      <c r="C93" s="243" t="s">
        <v>133</v>
      </c>
      <c r="D93" s="70" t="s">
        <v>97</v>
      </c>
      <c r="E93" s="69" t="s">
        <v>98</v>
      </c>
      <c r="F93" s="189">
        <v>5000</v>
      </c>
      <c r="G93" s="189">
        <v>5000</v>
      </c>
      <c r="H93" s="189">
        <v>5000</v>
      </c>
      <c r="I93" s="189">
        <v>5000</v>
      </c>
      <c r="J93" s="408" t="s">
        <v>740</v>
      </c>
      <c r="K93" s="26" t="s">
        <v>100</v>
      </c>
      <c r="L93" s="26">
        <f t="shared" si="8"/>
        <v>22</v>
      </c>
      <c r="M93" s="97" t="str">
        <f>IF(E94="VEDTATT","VEDTATT",0)</f>
        <v>VEDTATT</v>
      </c>
      <c r="N93" s="97">
        <f>IF(E94="MÅ","Nye tiltak",0)</f>
        <v>0</v>
      </c>
      <c r="O93" s="97"/>
      <c r="P93" s="26"/>
    </row>
    <row r="94" spans="1:21" s="36" customFormat="1" x14ac:dyDescent="0.25">
      <c r="A94" s="76" t="s">
        <v>95</v>
      </c>
      <c r="B94" s="76" t="str">
        <f t="shared" si="7"/>
        <v>OV23</v>
      </c>
      <c r="C94" s="243" t="s">
        <v>134</v>
      </c>
      <c r="D94" s="392" t="s">
        <v>97</v>
      </c>
      <c r="E94" s="393" t="s">
        <v>98</v>
      </c>
      <c r="F94" s="395">
        <v>-5000</v>
      </c>
      <c r="G94" s="395">
        <v>-5000</v>
      </c>
      <c r="H94" s="395">
        <v>-5000</v>
      </c>
      <c r="I94" s="395">
        <v>-5000</v>
      </c>
      <c r="J94" s="408" t="s">
        <v>740</v>
      </c>
      <c r="K94" s="26" t="s">
        <v>100</v>
      </c>
      <c r="L94" s="26">
        <f t="shared" si="8"/>
        <v>23</v>
      </c>
      <c r="M94" s="97"/>
      <c r="N94" s="97"/>
      <c r="O94" s="97"/>
      <c r="P94" s="26"/>
    </row>
    <row r="95" spans="1:21" s="36" customFormat="1" x14ac:dyDescent="0.25">
      <c r="A95" s="76" t="s">
        <v>95</v>
      </c>
      <c r="B95" s="76" t="str">
        <f t="shared" si="7"/>
        <v>OV24</v>
      </c>
      <c r="C95" s="243" t="s">
        <v>135</v>
      </c>
      <c r="D95" s="392" t="s">
        <v>108</v>
      </c>
      <c r="E95" s="393" t="s">
        <v>46</v>
      </c>
      <c r="F95" s="395">
        <v>1800</v>
      </c>
      <c r="G95" s="395">
        <f t="shared" ref="G95:I98" si="9">F95</f>
        <v>1800</v>
      </c>
      <c r="H95" s="395">
        <f t="shared" si="9"/>
        <v>1800</v>
      </c>
      <c r="I95" s="395">
        <f t="shared" si="9"/>
        <v>1800</v>
      </c>
      <c r="J95" s="81"/>
      <c r="K95" s="26" t="s">
        <v>100</v>
      </c>
      <c r="L95" s="26">
        <f t="shared" si="8"/>
        <v>24</v>
      </c>
      <c r="M95" s="97"/>
      <c r="N95" s="97"/>
      <c r="O95" s="97"/>
      <c r="P95" s="26"/>
    </row>
    <row r="96" spans="1:21" s="36" customFormat="1" x14ac:dyDescent="0.25">
      <c r="A96" s="76" t="s">
        <v>95</v>
      </c>
      <c r="B96" s="76" t="str">
        <f t="shared" si="7"/>
        <v>OV25</v>
      </c>
      <c r="C96" s="243" t="s">
        <v>136</v>
      </c>
      <c r="D96" s="392" t="s">
        <v>108</v>
      </c>
      <c r="E96" s="393" t="s">
        <v>46</v>
      </c>
      <c r="F96" s="395">
        <v>8000</v>
      </c>
      <c r="G96" s="395">
        <f t="shared" si="9"/>
        <v>8000</v>
      </c>
      <c r="H96" s="395">
        <f t="shared" si="9"/>
        <v>8000</v>
      </c>
      <c r="I96" s="395">
        <f t="shared" si="9"/>
        <v>8000</v>
      </c>
      <c r="J96" s="81"/>
      <c r="K96" s="26" t="s">
        <v>100</v>
      </c>
      <c r="L96" s="26">
        <f t="shared" si="8"/>
        <v>25</v>
      </c>
      <c r="M96" s="97"/>
      <c r="N96" s="97"/>
      <c r="O96" s="97"/>
      <c r="P96" s="26"/>
    </row>
    <row r="97" spans="1:16" s="36" customFormat="1" x14ac:dyDescent="0.25">
      <c r="A97" s="76" t="s">
        <v>95</v>
      </c>
      <c r="B97" s="76" t="str">
        <f t="shared" si="7"/>
        <v>OV26</v>
      </c>
      <c r="C97" s="243" t="s">
        <v>137</v>
      </c>
      <c r="D97" s="392" t="s">
        <v>108</v>
      </c>
      <c r="E97" s="393" t="s">
        <v>46</v>
      </c>
      <c r="F97" s="395">
        <v>25000</v>
      </c>
      <c r="G97" s="395">
        <f t="shared" si="9"/>
        <v>25000</v>
      </c>
      <c r="H97" s="395">
        <f t="shared" si="9"/>
        <v>25000</v>
      </c>
      <c r="I97" s="395">
        <f t="shared" si="9"/>
        <v>25000</v>
      </c>
      <c r="J97" s="478"/>
      <c r="K97" s="26" t="s">
        <v>100</v>
      </c>
      <c r="L97" s="26">
        <f t="shared" si="8"/>
        <v>26</v>
      </c>
      <c r="M97" s="97"/>
      <c r="N97" s="97"/>
      <c r="O97" s="97"/>
      <c r="P97" s="26"/>
    </row>
    <row r="98" spans="1:16" s="36" customFormat="1" x14ac:dyDescent="0.25">
      <c r="A98" s="76" t="s">
        <v>95</v>
      </c>
      <c r="B98" s="76" t="str">
        <f t="shared" si="7"/>
        <v>OV27</v>
      </c>
      <c r="C98" s="243" t="s">
        <v>138</v>
      </c>
      <c r="D98" s="392" t="s">
        <v>108</v>
      </c>
      <c r="E98" s="393" t="s">
        <v>46</v>
      </c>
      <c r="F98" s="395">
        <v>1900</v>
      </c>
      <c r="G98" s="395">
        <f t="shared" si="9"/>
        <v>1900</v>
      </c>
      <c r="H98" s="395">
        <f t="shared" si="9"/>
        <v>1900</v>
      </c>
      <c r="I98" s="395">
        <f t="shared" si="9"/>
        <v>1900</v>
      </c>
      <c r="J98" s="478" t="s">
        <v>139</v>
      </c>
      <c r="K98" s="26" t="s">
        <v>100</v>
      </c>
      <c r="L98" s="26">
        <f t="shared" si="8"/>
        <v>27</v>
      </c>
      <c r="M98" s="97"/>
      <c r="N98" s="97"/>
      <c r="O98" s="97"/>
      <c r="P98" s="26"/>
    </row>
    <row r="99" spans="1:16" s="36" customFormat="1" x14ac:dyDescent="0.25">
      <c r="A99" s="76" t="s">
        <v>95</v>
      </c>
      <c r="B99" s="76" t="str">
        <f t="shared" si="7"/>
        <v>OV28</v>
      </c>
      <c r="C99" s="394" t="s">
        <v>140</v>
      </c>
      <c r="D99" s="392" t="s">
        <v>108</v>
      </c>
      <c r="E99" s="393" t="s">
        <v>46</v>
      </c>
      <c r="F99" s="395">
        <v>550</v>
      </c>
      <c r="G99" s="395">
        <f>F99</f>
        <v>550</v>
      </c>
      <c r="H99" s="395">
        <f>G99</f>
        <v>550</v>
      </c>
      <c r="I99" s="395">
        <f>H99</f>
        <v>550</v>
      </c>
      <c r="J99" s="207" t="s">
        <v>141</v>
      </c>
      <c r="K99" s="26" t="s">
        <v>100</v>
      </c>
      <c r="L99" s="26">
        <f t="shared" si="8"/>
        <v>28</v>
      </c>
      <c r="M99" s="97"/>
      <c r="N99" s="97"/>
      <c r="O99" s="97"/>
      <c r="P99" s="26"/>
    </row>
    <row r="100" spans="1:16" s="36" customFormat="1" x14ac:dyDescent="0.25">
      <c r="A100" s="242" t="s">
        <v>95</v>
      </c>
      <c r="B100" s="76" t="str">
        <f t="shared" si="7"/>
        <v>OV29</v>
      </c>
      <c r="C100" s="394" t="s">
        <v>142</v>
      </c>
      <c r="D100" s="392" t="s">
        <v>108</v>
      </c>
      <c r="E100" s="109" t="s">
        <v>46</v>
      </c>
      <c r="F100" s="395">
        <v>5500</v>
      </c>
      <c r="G100" s="395">
        <v>5500</v>
      </c>
      <c r="J100" s="207" t="s">
        <v>143</v>
      </c>
      <c r="K100" s="26" t="s">
        <v>100</v>
      </c>
      <c r="L100" s="26">
        <f t="shared" si="8"/>
        <v>29</v>
      </c>
      <c r="M100" s="97"/>
      <c r="N100" s="97"/>
      <c r="O100" s="97"/>
      <c r="P100" s="26"/>
    </row>
    <row r="101" spans="1:16" s="36" customFormat="1" x14ac:dyDescent="0.25">
      <c r="A101" s="242" t="s">
        <v>95</v>
      </c>
      <c r="B101" s="76" t="str">
        <f t="shared" si="7"/>
        <v>OV30</v>
      </c>
      <c r="C101" s="523" t="s">
        <v>144</v>
      </c>
      <c r="D101" s="511" t="s">
        <v>108</v>
      </c>
      <c r="E101" s="512" t="s">
        <v>46</v>
      </c>
      <c r="F101" s="524">
        <v>5500</v>
      </c>
      <c r="G101" s="524">
        <v>5500</v>
      </c>
      <c r="H101" s="513"/>
      <c r="I101" s="513"/>
      <c r="J101" s="207" t="s">
        <v>145</v>
      </c>
      <c r="K101" s="26" t="s">
        <v>100</v>
      </c>
      <c r="L101" s="26">
        <f t="shared" si="8"/>
        <v>30</v>
      </c>
      <c r="M101" s="97"/>
      <c r="N101" s="97"/>
      <c r="O101" s="97"/>
      <c r="P101" s="26"/>
    </row>
    <row r="102" spans="1:16" s="36" customFormat="1" x14ac:dyDescent="0.25">
      <c r="A102" s="242" t="s">
        <v>95</v>
      </c>
      <c r="B102" s="76" t="str">
        <f t="shared" si="7"/>
        <v>OV31</v>
      </c>
      <c r="C102" s="394" t="s">
        <v>146</v>
      </c>
      <c r="D102" s="516" t="s">
        <v>108</v>
      </c>
      <c r="E102" s="517" t="s">
        <v>46</v>
      </c>
      <c r="F102" s="435">
        <v>-11000</v>
      </c>
      <c r="G102" s="435">
        <v>-11000</v>
      </c>
      <c r="J102" s="408" t="s">
        <v>147</v>
      </c>
      <c r="K102" s="26" t="s">
        <v>100</v>
      </c>
      <c r="L102" s="26">
        <f t="shared" si="8"/>
        <v>31</v>
      </c>
      <c r="M102" s="97"/>
      <c r="N102" s="97"/>
      <c r="O102" s="97"/>
      <c r="P102" s="26"/>
    </row>
    <row r="103" spans="1:16" s="36" customFormat="1" x14ac:dyDescent="0.25">
      <c r="A103" s="76" t="s">
        <v>95</v>
      </c>
      <c r="B103" s="76" t="str">
        <f>IF(L103,K103&amp;L103,"")</f>
        <v>OV32</v>
      </c>
      <c r="C103" s="243" t="s">
        <v>148</v>
      </c>
      <c r="D103" s="70" t="s">
        <v>97</v>
      </c>
      <c r="E103" s="77" t="s">
        <v>98</v>
      </c>
      <c r="F103" s="502">
        <v>950</v>
      </c>
      <c r="G103" s="502">
        <v>950</v>
      </c>
      <c r="H103" s="502">
        <v>950</v>
      </c>
      <c r="I103" s="502">
        <v>950</v>
      </c>
      <c r="J103" s="485" t="s">
        <v>149</v>
      </c>
      <c r="K103" s="26" t="s">
        <v>100</v>
      </c>
      <c r="L103" s="26">
        <f t="shared" si="8"/>
        <v>32</v>
      </c>
      <c r="M103" s="97" t="str">
        <f>IF(E103="VEDTATT","VEDTATT",0)</f>
        <v>VEDTATT</v>
      </c>
      <c r="N103" s="97">
        <f>IF(E103="MÅ","Nye tiltak",0)</f>
        <v>0</v>
      </c>
      <c r="O103" s="97"/>
      <c r="P103" s="26"/>
    </row>
    <row r="104" spans="1:16" s="36" customFormat="1" ht="25.5" x14ac:dyDescent="0.25">
      <c r="A104" s="76" t="s">
        <v>95</v>
      </c>
      <c r="B104" s="76" t="str">
        <f>IF(L104,K104&amp;L104,"")</f>
        <v>OV33</v>
      </c>
      <c r="C104" s="243" t="s">
        <v>150</v>
      </c>
      <c r="D104" s="70" t="s">
        <v>97</v>
      </c>
      <c r="E104" s="109" t="s">
        <v>98</v>
      </c>
      <c r="F104" s="502">
        <v>250</v>
      </c>
      <c r="G104" s="502">
        <v>250</v>
      </c>
      <c r="H104" s="502">
        <v>250</v>
      </c>
      <c r="I104" s="502">
        <v>250</v>
      </c>
      <c r="J104" s="485" t="s">
        <v>151</v>
      </c>
      <c r="K104" s="26" t="s">
        <v>100</v>
      </c>
      <c r="L104" s="26">
        <f t="shared" si="8"/>
        <v>33</v>
      </c>
      <c r="M104" s="97" t="str">
        <f>IF(E104="VEDTATT","VEDTATT",0)</f>
        <v>VEDTATT</v>
      </c>
      <c r="N104" s="97">
        <f>IF(E104="MÅ","Nye tiltak",0)</f>
        <v>0</v>
      </c>
      <c r="O104" s="97"/>
      <c r="P104" s="26"/>
    </row>
    <row r="105" spans="1:16" s="36" customFormat="1" x14ac:dyDescent="0.25">
      <c r="A105" s="242"/>
      <c r="B105" s="242"/>
      <c r="C105" s="394"/>
      <c r="J105" s="207"/>
      <c r="K105" s="26"/>
      <c r="L105" s="26"/>
      <c r="M105" s="97"/>
      <c r="N105" s="97"/>
      <c r="O105" s="97"/>
      <c r="P105" s="26"/>
    </row>
    <row r="106" spans="1:16" s="36" customFormat="1" x14ac:dyDescent="0.25">
      <c r="A106" s="242"/>
      <c r="B106" s="242"/>
      <c r="C106" s="394"/>
      <c r="J106" s="207"/>
      <c r="K106" s="26"/>
      <c r="L106" s="26"/>
      <c r="M106" s="97"/>
      <c r="N106" s="97"/>
      <c r="O106" s="97"/>
      <c r="P106" s="26"/>
    </row>
    <row r="107" spans="1:16" s="36" customFormat="1" x14ac:dyDescent="0.25">
      <c r="A107" s="41"/>
      <c r="B107" s="41" t="s">
        <v>152</v>
      </c>
      <c r="C107" s="3" t="s">
        <v>153</v>
      </c>
      <c r="D107" s="50"/>
      <c r="E107" s="50"/>
      <c r="F107" s="54">
        <f>SUMIF($A:$A,"OPP",F:F)</f>
        <v>80559</v>
      </c>
      <c r="G107" s="54">
        <f>SUMIF($A:$A,"OPP",G:G)</f>
        <v>85186</v>
      </c>
      <c r="H107" s="54">
        <f>SUMIF($A:$A,"OPP",H:H)</f>
        <v>99746.583333333328</v>
      </c>
      <c r="I107" s="54">
        <f>SUMIF($A:$A,"OPP",I:I)</f>
        <v>107395</v>
      </c>
      <c r="J107" s="207"/>
      <c r="K107" s="335"/>
      <c r="L107" s="335"/>
      <c r="M107" s="97"/>
      <c r="N107" s="97"/>
      <c r="O107" s="97"/>
      <c r="P107" s="26"/>
    </row>
    <row r="108" spans="1:16" s="36" customFormat="1" x14ac:dyDescent="0.25">
      <c r="A108" s="45"/>
      <c r="B108" s="45"/>
      <c r="C108" s="9"/>
      <c r="D108" s="47"/>
      <c r="E108" s="47"/>
      <c r="F108" s="55"/>
      <c r="G108" s="55"/>
      <c r="H108" s="55"/>
      <c r="I108" s="55"/>
      <c r="J108" s="207"/>
      <c r="K108" s="26"/>
      <c r="L108" s="26"/>
      <c r="M108" s="97"/>
      <c r="N108" s="97"/>
      <c r="O108" s="97"/>
      <c r="P108" s="26"/>
    </row>
    <row r="109" spans="1:16" s="36" customFormat="1" x14ac:dyDescent="0.25">
      <c r="A109" s="46"/>
      <c r="B109" s="46"/>
      <c r="C109" s="11" t="s">
        <v>154</v>
      </c>
      <c r="D109" s="48"/>
      <c r="E109" s="59"/>
      <c r="F109" s="56"/>
      <c r="G109" s="56"/>
      <c r="H109" s="56"/>
      <c r="I109" s="56"/>
      <c r="J109" s="207"/>
      <c r="M109" s="97"/>
      <c r="N109" s="97"/>
      <c r="O109" s="97"/>
      <c r="P109" s="26"/>
    </row>
    <row r="110" spans="1:16" s="36" customFormat="1" x14ac:dyDescent="0.25">
      <c r="A110" s="76"/>
      <c r="B110" s="76" t="str">
        <f t="shared" ref="B110:B118" si="10">IF(L110,K110&amp;L110,"")</f>
        <v/>
      </c>
      <c r="C110" s="80" t="s">
        <v>155</v>
      </c>
      <c r="D110" s="70"/>
      <c r="E110" s="69"/>
      <c r="F110" s="4">
        <f>F90</f>
        <v>2022</v>
      </c>
      <c r="G110" s="4">
        <f>F110+1</f>
        <v>2023</v>
      </c>
      <c r="H110" s="4">
        <f>G110+1</f>
        <v>2024</v>
      </c>
      <c r="I110" s="4">
        <f>H110+1</f>
        <v>2025</v>
      </c>
      <c r="J110" s="207"/>
      <c r="K110" s="335"/>
      <c r="L110" s="335"/>
      <c r="M110" s="97"/>
      <c r="N110" s="97"/>
      <c r="O110" s="97"/>
      <c r="P110" s="26"/>
    </row>
    <row r="111" spans="1:16" s="36" customFormat="1" x14ac:dyDescent="0.25">
      <c r="A111" s="76" t="s">
        <v>156</v>
      </c>
      <c r="B111" s="76" t="str">
        <f t="shared" si="10"/>
        <v>H1</v>
      </c>
      <c r="C111" s="243" t="s">
        <v>157</v>
      </c>
      <c r="D111" s="70" t="s">
        <v>105</v>
      </c>
      <c r="E111" s="69" t="s">
        <v>98</v>
      </c>
      <c r="F111" s="72">
        <v>5000</v>
      </c>
      <c r="G111" s="72">
        <v>5000</v>
      </c>
      <c r="H111" s="72">
        <v>5000</v>
      </c>
      <c r="I111" s="68">
        <v>5000</v>
      </c>
      <c r="J111" s="207"/>
      <c r="K111" s="26" t="s">
        <v>158</v>
      </c>
      <c r="L111" s="26">
        <v>1</v>
      </c>
      <c r="M111" s="97" t="str">
        <f>IF(E111="VEDTATT","VEDTATT",0)</f>
        <v>VEDTATT</v>
      </c>
      <c r="N111" s="97">
        <f>IF(E111="MÅ","Nye tiltak",0)</f>
        <v>0</v>
      </c>
      <c r="O111" s="97"/>
      <c r="P111" s="26"/>
    </row>
    <row r="112" spans="1:16" s="36" customFormat="1" x14ac:dyDescent="0.25">
      <c r="A112" s="76" t="s">
        <v>156</v>
      </c>
      <c r="B112" s="76" t="str">
        <f t="shared" si="10"/>
        <v>H2</v>
      </c>
      <c r="C112" s="243" t="s">
        <v>159</v>
      </c>
      <c r="D112" s="70" t="s">
        <v>105</v>
      </c>
      <c r="E112" s="69" t="s">
        <v>98</v>
      </c>
      <c r="F112" s="72"/>
      <c r="G112" s="72"/>
      <c r="H112" s="72">
        <v>1000</v>
      </c>
      <c r="I112" s="72">
        <v>9000</v>
      </c>
      <c r="J112" s="207"/>
      <c r="K112" s="26" t="s">
        <v>158</v>
      </c>
      <c r="L112" s="26">
        <f>L111+1</f>
        <v>2</v>
      </c>
      <c r="M112" s="97" t="str">
        <f>IF(E112="VEDTATT","VEDTATT",0)</f>
        <v>VEDTATT</v>
      </c>
      <c r="N112" s="97">
        <f>IF(E112="MÅ","Nye tiltak",0)</f>
        <v>0</v>
      </c>
      <c r="O112" s="97"/>
      <c r="P112" s="26"/>
    </row>
    <row r="113" spans="1:17" s="36" customFormat="1" x14ac:dyDescent="0.25">
      <c r="A113" s="76" t="s">
        <v>156</v>
      </c>
      <c r="B113" s="76" t="str">
        <f t="shared" si="10"/>
        <v>H3</v>
      </c>
      <c r="C113" s="243" t="s">
        <v>160</v>
      </c>
      <c r="D113" s="70" t="s">
        <v>108</v>
      </c>
      <c r="E113" s="69" t="s">
        <v>46</v>
      </c>
      <c r="F113" s="72">
        <v>1600</v>
      </c>
      <c r="G113" s="72">
        <v>1600</v>
      </c>
      <c r="H113" s="72">
        <v>1600</v>
      </c>
      <c r="I113" s="72">
        <v>1600</v>
      </c>
      <c r="J113" s="207"/>
      <c r="K113" s="26" t="s">
        <v>158</v>
      </c>
      <c r="L113" s="26">
        <f>L112+1</f>
        <v>3</v>
      </c>
      <c r="M113" s="97"/>
      <c r="N113" s="97"/>
      <c r="O113" s="97"/>
      <c r="P113" s="26"/>
    </row>
    <row r="114" spans="1:17" s="36" customFormat="1" x14ac:dyDescent="0.25">
      <c r="A114" s="76" t="s">
        <v>156</v>
      </c>
      <c r="B114" s="76" t="str">
        <f t="shared" si="10"/>
        <v>H4</v>
      </c>
      <c r="C114" s="243" t="s">
        <v>161</v>
      </c>
      <c r="D114" s="70" t="s">
        <v>105</v>
      </c>
      <c r="E114" s="69" t="s">
        <v>98</v>
      </c>
      <c r="F114" s="88">
        <v>900</v>
      </c>
      <c r="G114" s="88">
        <v>2550</v>
      </c>
      <c r="H114" s="88">
        <v>4500</v>
      </c>
      <c r="I114" s="88">
        <v>5800</v>
      </c>
      <c r="J114" s="485" t="s">
        <v>149</v>
      </c>
      <c r="K114" s="26" t="s">
        <v>158</v>
      </c>
      <c r="L114" s="26">
        <f>L113+1</f>
        <v>4</v>
      </c>
      <c r="M114" s="97" t="str">
        <f>IF(E114="VEDTATT","VEDTATT",0)</f>
        <v>VEDTATT</v>
      </c>
      <c r="N114" s="97">
        <f>IF(E114="MÅ","Nye tiltak",0)</f>
        <v>0</v>
      </c>
      <c r="O114" s="97"/>
      <c r="P114" s="26"/>
    </row>
    <row r="115" spans="1:17" s="36" customFormat="1" x14ac:dyDescent="0.25">
      <c r="A115" s="76"/>
      <c r="B115" s="76" t="str">
        <f t="shared" si="10"/>
        <v/>
      </c>
      <c r="C115" s="80" t="s">
        <v>162</v>
      </c>
      <c r="D115" s="70"/>
      <c r="E115" s="69"/>
      <c r="F115" s="4">
        <f>F110</f>
        <v>2022</v>
      </c>
      <c r="G115" s="4">
        <f>F115+1</f>
        <v>2023</v>
      </c>
      <c r="H115" s="4">
        <f>G115+1</f>
        <v>2024</v>
      </c>
      <c r="I115" s="4">
        <f>H115+1</f>
        <v>2025</v>
      </c>
      <c r="J115" s="207"/>
      <c r="K115" s="335"/>
      <c r="L115" s="335"/>
      <c r="M115" s="97"/>
      <c r="N115" s="97"/>
      <c r="O115" s="97"/>
      <c r="P115" s="26"/>
    </row>
    <row r="116" spans="1:17" s="36" customFormat="1" x14ac:dyDescent="0.25">
      <c r="A116" s="76" t="s">
        <v>156</v>
      </c>
      <c r="B116" s="76" t="str">
        <f t="shared" si="10"/>
        <v>H5</v>
      </c>
      <c r="C116" s="243" t="s">
        <v>163</v>
      </c>
      <c r="D116" s="70" t="s">
        <v>105</v>
      </c>
      <c r="E116" s="69" t="s">
        <v>98</v>
      </c>
      <c r="F116" s="68">
        <v>2500</v>
      </c>
      <c r="G116" s="68">
        <v>5000</v>
      </c>
      <c r="H116" s="68">
        <v>7500</v>
      </c>
      <c r="I116" s="68">
        <v>10000</v>
      </c>
      <c r="J116" s="207"/>
      <c r="K116" s="26" t="s">
        <v>158</v>
      </c>
      <c r="L116" s="26">
        <f>L114+1</f>
        <v>5</v>
      </c>
      <c r="M116" s="97" t="str">
        <f>IF(E116="VEDTATT","VEDTATT",0)</f>
        <v>VEDTATT</v>
      </c>
      <c r="N116" s="97">
        <f>IF(E116="MÅ","Nye tiltak",0)</f>
        <v>0</v>
      </c>
      <c r="O116" s="97"/>
      <c r="P116" s="26"/>
    </row>
    <row r="117" spans="1:17" s="36" customFormat="1" x14ac:dyDescent="0.25">
      <c r="A117" s="76" t="s">
        <v>156</v>
      </c>
      <c r="B117" s="76" t="str">
        <f t="shared" si="10"/>
        <v>H6</v>
      </c>
      <c r="C117" s="243" t="s">
        <v>164</v>
      </c>
      <c r="D117" s="70" t="s">
        <v>105</v>
      </c>
      <c r="E117" s="69" t="s">
        <v>98</v>
      </c>
      <c r="F117" s="215">
        <v>10000</v>
      </c>
      <c r="G117" s="215">
        <v>20000</v>
      </c>
      <c r="H117" s="215">
        <v>20000</v>
      </c>
      <c r="I117" s="215">
        <v>20000</v>
      </c>
      <c r="J117" s="207"/>
      <c r="K117" s="26" t="s">
        <v>158</v>
      </c>
      <c r="L117" s="26">
        <f>L116+1</f>
        <v>6</v>
      </c>
      <c r="M117" s="97"/>
      <c r="N117" s="97"/>
      <c r="O117" s="97"/>
      <c r="P117" s="26"/>
    </row>
    <row r="118" spans="1:17" s="36" customFormat="1" x14ac:dyDescent="0.25">
      <c r="A118" s="76" t="s">
        <v>156</v>
      </c>
      <c r="B118" s="76" t="str">
        <f t="shared" si="10"/>
        <v>H7</v>
      </c>
      <c r="C118" s="243" t="s">
        <v>165</v>
      </c>
      <c r="D118" s="70" t="s">
        <v>108</v>
      </c>
      <c r="E118" s="69" t="s">
        <v>46</v>
      </c>
      <c r="F118" s="215">
        <v>1400</v>
      </c>
      <c r="G118" s="215">
        <f>F118</f>
        <v>1400</v>
      </c>
      <c r="H118" s="215">
        <f>G118</f>
        <v>1400</v>
      </c>
      <c r="I118" s="215">
        <f>H118</f>
        <v>1400</v>
      </c>
      <c r="J118" s="207"/>
      <c r="K118" s="26" t="s">
        <v>158</v>
      </c>
      <c r="L118" s="26">
        <f>L117+1</f>
        <v>7</v>
      </c>
      <c r="M118" s="97">
        <f>IF(E118="VEDTATT","VEDTATT",0)</f>
        <v>0</v>
      </c>
      <c r="N118" s="97" t="str">
        <f>IF(E118="MÅ","Nye tiltak",0)</f>
        <v>Nye tiltak</v>
      </c>
      <c r="O118" s="97"/>
      <c r="P118" s="26"/>
    </row>
    <row r="119" spans="1:17" s="36" customFormat="1" x14ac:dyDescent="0.25">
      <c r="A119" s="339"/>
      <c r="B119" s="339"/>
      <c r="C119" s="80" t="s">
        <v>166</v>
      </c>
      <c r="D119" s="81"/>
      <c r="E119" s="69"/>
      <c r="F119" s="4">
        <f>F115</f>
        <v>2022</v>
      </c>
      <c r="G119" s="4">
        <f>F119+1</f>
        <v>2023</v>
      </c>
      <c r="H119" s="4">
        <f>G119+1</f>
        <v>2024</v>
      </c>
      <c r="I119" s="4">
        <f>H119+1</f>
        <v>2025</v>
      </c>
      <c r="J119" s="207"/>
      <c r="K119" s="335"/>
      <c r="L119" s="335"/>
      <c r="M119" s="97"/>
      <c r="N119" s="97"/>
      <c r="O119" s="97"/>
      <c r="P119" s="26"/>
    </row>
    <row r="120" spans="1:17" s="36" customFormat="1" x14ac:dyDescent="0.25">
      <c r="A120" s="76" t="s">
        <v>156</v>
      </c>
      <c r="B120" s="76" t="str">
        <f t="shared" ref="B120:B128" si="11">IF(L120,K120&amp;L120,"")</f>
        <v>H8</v>
      </c>
      <c r="C120" s="243" t="s">
        <v>167</v>
      </c>
      <c r="D120" s="70" t="s">
        <v>105</v>
      </c>
      <c r="E120" s="69" t="s">
        <v>98</v>
      </c>
      <c r="F120" s="68">
        <v>-300</v>
      </c>
      <c r="G120" s="68">
        <v>-900</v>
      </c>
      <c r="H120" s="68">
        <v>-1500</v>
      </c>
      <c r="I120" s="68">
        <v>-2100</v>
      </c>
      <c r="J120" s="207"/>
      <c r="K120" s="26" t="s">
        <v>158</v>
      </c>
      <c r="L120" s="26">
        <f>L118+1</f>
        <v>8</v>
      </c>
      <c r="M120" s="97" t="str">
        <f>IF(E120="VEDTATT","VEDTATT",0)</f>
        <v>VEDTATT</v>
      </c>
      <c r="N120" s="97">
        <f>IF(E120="MÅ","Nye tiltak",0)</f>
        <v>0</v>
      </c>
      <c r="O120" s="97"/>
      <c r="P120" s="26"/>
    </row>
    <row r="121" spans="1:17" s="36" customFormat="1" x14ac:dyDescent="0.25">
      <c r="A121" s="76" t="s">
        <v>156</v>
      </c>
      <c r="B121" s="76" t="str">
        <f t="shared" si="11"/>
        <v>H9</v>
      </c>
      <c r="C121" s="243" t="s">
        <v>168</v>
      </c>
      <c r="D121" s="70" t="s">
        <v>108</v>
      </c>
      <c r="E121" s="69" t="s">
        <v>46</v>
      </c>
      <c r="F121" s="68">
        <v>950</v>
      </c>
      <c r="G121" s="68">
        <v>950</v>
      </c>
      <c r="H121" s="68">
        <v>950</v>
      </c>
      <c r="I121" s="68">
        <v>950</v>
      </c>
      <c r="J121" s="408">
        <v>2</v>
      </c>
      <c r="K121" s="26" t="s">
        <v>158</v>
      </c>
      <c r="L121" s="26">
        <f>L120+1</f>
        <v>9</v>
      </c>
      <c r="M121" s="97"/>
      <c r="N121" s="97"/>
      <c r="O121" s="97"/>
      <c r="Q121" s="293"/>
    </row>
    <row r="122" spans="1:17" s="36" customFormat="1" x14ac:dyDescent="0.25">
      <c r="A122" s="76" t="s">
        <v>156</v>
      </c>
      <c r="B122" s="76" t="str">
        <f t="shared" si="11"/>
        <v>H10</v>
      </c>
      <c r="C122" s="436" t="s">
        <v>169</v>
      </c>
      <c r="D122" s="226" t="s">
        <v>105</v>
      </c>
      <c r="E122" s="229" t="s">
        <v>98</v>
      </c>
      <c r="F122" s="67">
        <f>-11400-15856</f>
        <v>-27256</v>
      </c>
      <c r="G122" s="68">
        <f>-11400-15856</f>
        <v>-27256</v>
      </c>
      <c r="H122" s="68">
        <f>G122</f>
        <v>-27256</v>
      </c>
      <c r="I122" s="68">
        <f>H122</f>
        <v>-27256</v>
      </c>
      <c r="J122" s="207"/>
      <c r="K122" s="26" t="s">
        <v>158</v>
      </c>
      <c r="L122" s="26">
        <f>L121+1</f>
        <v>10</v>
      </c>
      <c r="M122" s="97" t="str">
        <f>IF(E122="VEDTATT","VEDTATT",0)</f>
        <v>VEDTATT</v>
      </c>
      <c r="N122" s="97">
        <f>IF(E122="MÅ","Nye tiltak",0)</f>
        <v>0</v>
      </c>
      <c r="O122" s="97"/>
      <c r="Q122" s="293"/>
    </row>
    <row r="123" spans="1:17" s="36" customFormat="1" x14ac:dyDescent="0.25">
      <c r="A123" s="76" t="s">
        <v>156</v>
      </c>
      <c r="B123" s="76" t="str">
        <f t="shared" si="11"/>
        <v>H11</v>
      </c>
      <c r="C123" s="518" t="s">
        <v>170</v>
      </c>
      <c r="D123" s="226" t="s">
        <v>108</v>
      </c>
      <c r="E123" s="229" t="s">
        <v>46</v>
      </c>
      <c r="F123" s="440">
        <v>27256</v>
      </c>
      <c r="G123" s="252">
        <v>0</v>
      </c>
      <c r="H123" s="252">
        <v>0</v>
      </c>
      <c r="I123" s="252">
        <v>0</v>
      </c>
      <c r="J123" s="207" t="s">
        <v>171</v>
      </c>
      <c r="K123" s="26" t="s">
        <v>158</v>
      </c>
      <c r="L123" s="26">
        <f>L122+1</f>
        <v>11</v>
      </c>
      <c r="M123" s="97"/>
      <c r="N123" s="97"/>
      <c r="O123" s="97"/>
      <c r="Q123" s="293"/>
    </row>
    <row r="124" spans="1:17" s="36" customFormat="1" x14ac:dyDescent="0.25">
      <c r="A124" s="76" t="s">
        <v>156</v>
      </c>
      <c r="B124" s="76" t="str">
        <f t="shared" si="11"/>
        <v>H12</v>
      </c>
      <c r="C124" s="525" t="s">
        <v>172</v>
      </c>
      <c r="D124" s="514" t="s">
        <v>108</v>
      </c>
      <c r="E124" s="515" t="s">
        <v>46</v>
      </c>
      <c r="F124" s="272">
        <v>1000</v>
      </c>
      <c r="G124" s="272">
        <v>1000</v>
      </c>
      <c r="H124" s="272">
        <v>1000</v>
      </c>
      <c r="I124" s="272">
        <v>1000</v>
      </c>
      <c r="J124" s="207"/>
      <c r="K124" s="26" t="s">
        <v>158</v>
      </c>
      <c r="L124" s="26">
        <f>L123+1</f>
        <v>12</v>
      </c>
      <c r="M124" s="97"/>
      <c r="N124" s="97"/>
      <c r="O124" s="97"/>
      <c r="Q124" s="293"/>
    </row>
    <row r="125" spans="1:17" s="36" customFormat="1" x14ac:dyDescent="0.25">
      <c r="A125" s="76"/>
      <c r="B125" s="76" t="str">
        <f t="shared" si="11"/>
        <v/>
      </c>
      <c r="C125" s="80" t="s">
        <v>173</v>
      </c>
      <c r="D125" s="70"/>
      <c r="E125" s="69"/>
      <c r="F125" s="4">
        <f>F119</f>
        <v>2022</v>
      </c>
      <c r="G125" s="4">
        <f>F125+1</f>
        <v>2023</v>
      </c>
      <c r="H125" s="4">
        <f>G125+1</f>
        <v>2024</v>
      </c>
      <c r="I125" s="4">
        <f>H125+1</f>
        <v>2025</v>
      </c>
      <c r="J125" s="207"/>
      <c r="K125" s="4"/>
      <c r="L125" s="4"/>
      <c r="M125" s="97"/>
      <c r="N125" s="97"/>
      <c r="O125" s="97"/>
    </row>
    <row r="126" spans="1:17" s="36" customFormat="1" x14ac:dyDescent="0.25">
      <c r="A126" s="76" t="s">
        <v>156</v>
      </c>
      <c r="B126" s="76" t="str">
        <f t="shared" si="11"/>
        <v>H13</v>
      </c>
      <c r="C126" s="243" t="s">
        <v>174</v>
      </c>
      <c r="D126" s="70" t="s">
        <v>108</v>
      </c>
      <c r="E126" s="69" t="s">
        <v>46</v>
      </c>
      <c r="F126" s="68">
        <v>600</v>
      </c>
      <c r="G126" s="68">
        <v>600</v>
      </c>
      <c r="H126" s="68">
        <v>600</v>
      </c>
      <c r="I126" s="68">
        <v>600</v>
      </c>
      <c r="J126" s="207"/>
      <c r="K126" s="26" t="s">
        <v>158</v>
      </c>
      <c r="L126" s="26">
        <f>L124+1</f>
        <v>13</v>
      </c>
      <c r="M126" s="97"/>
      <c r="N126" s="97"/>
      <c r="O126" s="97"/>
      <c r="P126" s="26"/>
    </row>
    <row r="127" spans="1:17" s="36" customFormat="1" x14ac:dyDescent="0.25">
      <c r="A127" s="76" t="s">
        <v>156</v>
      </c>
      <c r="B127" s="76" t="str">
        <f t="shared" si="11"/>
        <v>H14</v>
      </c>
      <c r="C127" s="243" t="s">
        <v>175</v>
      </c>
      <c r="D127" s="70" t="s">
        <v>97</v>
      </c>
      <c r="E127" s="69" t="s">
        <v>98</v>
      </c>
      <c r="F127" s="68">
        <v>5461</v>
      </c>
      <c r="G127" s="68">
        <v>5521</v>
      </c>
      <c r="H127" s="68">
        <v>5578</v>
      </c>
      <c r="I127" s="68">
        <v>5635</v>
      </c>
      <c r="J127" s="408"/>
      <c r="K127" s="26" t="s">
        <v>158</v>
      </c>
      <c r="L127" s="26">
        <f>L126+1</f>
        <v>14</v>
      </c>
      <c r="M127" s="97" t="str">
        <f>IF(E127="VEDTATT","VEDTATT",0)</f>
        <v>VEDTATT</v>
      </c>
      <c r="N127" s="97">
        <f>IF(E127="MÅ","Nye tiltak",0)</f>
        <v>0</v>
      </c>
      <c r="O127" s="97"/>
      <c r="P127" s="26"/>
    </row>
    <row r="128" spans="1:17" s="36" customFormat="1" ht="25.5" x14ac:dyDescent="0.25">
      <c r="A128" s="76" t="s">
        <v>156</v>
      </c>
      <c r="B128" s="76" t="str">
        <f t="shared" si="11"/>
        <v>H15</v>
      </c>
      <c r="C128" s="243" t="s">
        <v>176</v>
      </c>
      <c r="D128" s="70" t="s">
        <v>97</v>
      </c>
      <c r="E128" s="69" t="s">
        <v>98</v>
      </c>
      <c r="F128" s="88">
        <v>100</v>
      </c>
      <c r="G128" s="88">
        <v>100</v>
      </c>
      <c r="H128" s="88">
        <v>100</v>
      </c>
      <c r="I128" s="88">
        <v>100</v>
      </c>
      <c r="J128" s="485" t="s">
        <v>177</v>
      </c>
      <c r="K128" s="26" t="s">
        <v>158</v>
      </c>
      <c r="L128" s="26">
        <f>L127+1</f>
        <v>15</v>
      </c>
      <c r="M128" s="97" t="str">
        <f>IF(E128="VEDTATT","VEDTATT",0)</f>
        <v>VEDTATT</v>
      </c>
      <c r="N128" s="97">
        <f>IF(E128="MÅ","Nye tiltak",0)</f>
        <v>0</v>
      </c>
      <c r="O128" s="97"/>
      <c r="P128" s="26"/>
    </row>
    <row r="129" spans="1:16" s="36" customFormat="1" x14ac:dyDescent="0.25">
      <c r="A129" s="76"/>
      <c r="B129" s="76"/>
      <c r="C129" s="80" t="s">
        <v>178</v>
      </c>
      <c r="D129" s="81"/>
      <c r="E129" s="69"/>
      <c r="F129" s="4">
        <f>F125</f>
        <v>2022</v>
      </c>
      <c r="G129" s="4">
        <f>F129+1</f>
        <v>2023</v>
      </c>
      <c r="H129" s="4">
        <f>G129+1</f>
        <v>2024</v>
      </c>
      <c r="I129" s="4">
        <f>H129+1</f>
        <v>2025</v>
      </c>
      <c r="J129" s="207"/>
      <c r="K129" s="335"/>
      <c r="L129" s="335"/>
      <c r="M129" s="97"/>
      <c r="N129" s="97"/>
      <c r="O129" s="97"/>
      <c r="P129" s="26"/>
    </row>
    <row r="130" spans="1:16" s="36" customFormat="1" x14ac:dyDescent="0.25">
      <c r="A130" s="76" t="s">
        <v>156</v>
      </c>
      <c r="B130" s="76" t="str">
        <f t="shared" ref="B130:B137" si="12">IF(L130,K130&amp;L130,"")</f>
        <v>H16</v>
      </c>
      <c r="C130" s="243" t="s">
        <v>179</v>
      </c>
      <c r="D130" s="70" t="s">
        <v>97</v>
      </c>
      <c r="E130" s="69" t="s">
        <v>98</v>
      </c>
      <c r="F130" s="68">
        <v>-1883</v>
      </c>
      <c r="G130" s="57">
        <v>-1178</v>
      </c>
      <c r="H130" s="57">
        <v>232</v>
      </c>
      <c r="I130" s="57">
        <v>4583</v>
      </c>
      <c r="J130" s="408"/>
      <c r="K130" s="26" t="s">
        <v>158</v>
      </c>
      <c r="L130" s="26">
        <f>L128+1</f>
        <v>16</v>
      </c>
      <c r="M130" s="97" t="str">
        <f>IF(E130="VEDTATT","VEDTATT",0)</f>
        <v>VEDTATT</v>
      </c>
      <c r="N130" s="97">
        <f>IF(E130="MÅ","Nye tiltak",0)</f>
        <v>0</v>
      </c>
      <c r="O130" s="97"/>
      <c r="P130" s="26"/>
    </row>
    <row r="131" spans="1:16" s="36" customFormat="1" x14ac:dyDescent="0.25">
      <c r="A131" s="76" t="s">
        <v>156</v>
      </c>
      <c r="B131" s="76" t="str">
        <f t="shared" si="12"/>
        <v>H17</v>
      </c>
      <c r="C131" s="243" t="s">
        <v>180</v>
      </c>
      <c r="D131" s="70" t="s">
        <v>97</v>
      </c>
      <c r="E131" s="69" t="s">
        <v>98</v>
      </c>
      <c r="F131" s="68">
        <v>5000</v>
      </c>
      <c r="G131" s="68">
        <v>0</v>
      </c>
      <c r="H131" s="68">
        <v>-2000</v>
      </c>
      <c r="I131" s="68">
        <v>-2000</v>
      </c>
      <c r="J131" s="408"/>
      <c r="K131" s="26" t="s">
        <v>158</v>
      </c>
      <c r="L131" s="26">
        <f>L130+1</f>
        <v>17</v>
      </c>
      <c r="M131" s="97" t="str">
        <f>IF(E131="VEDTATT","VEDTATT",0)</f>
        <v>VEDTATT</v>
      </c>
      <c r="N131" s="97">
        <f>IF(E131="MÅ","Nye tiltak",0)</f>
        <v>0</v>
      </c>
      <c r="O131" s="97"/>
      <c r="P131" s="26"/>
    </row>
    <row r="132" spans="1:16" s="36" customFormat="1" x14ac:dyDescent="0.25">
      <c r="A132" s="76" t="s">
        <v>156</v>
      </c>
      <c r="B132" s="76" t="str">
        <f t="shared" si="12"/>
        <v>H18</v>
      </c>
      <c r="C132" s="243" t="s">
        <v>181</v>
      </c>
      <c r="D132" s="70" t="s">
        <v>97</v>
      </c>
      <c r="E132" s="69" t="s">
        <v>98</v>
      </c>
      <c r="F132" s="501">
        <v>1750</v>
      </c>
      <c r="G132" s="501">
        <v>3450</v>
      </c>
      <c r="H132" s="501">
        <v>3450</v>
      </c>
      <c r="I132" s="501">
        <v>3450</v>
      </c>
      <c r="J132" s="485" t="s">
        <v>177</v>
      </c>
      <c r="K132" s="26" t="s">
        <v>158</v>
      </c>
      <c r="L132" s="26">
        <f>L131+1</f>
        <v>18</v>
      </c>
      <c r="M132" s="97" t="str">
        <f>IF(E131="VEDTATT","VEDTATT",0)</f>
        <v>VEDTATT</v>
      </c>
      <c r="N132" s="97">
        <f>IF(E131="MÅ","Nye tiltak",0)</f>
        <v>0</v>
      </c>
      <c r="O132" s="97"/>
      <c r="P132" s="26"/>
    </row>
    <row r="133" spans="1:16" s="36" customFormat="1" ht="25.5" x14ac:dyDescent="0.25">
      <c r="A133" s="76" t="s">
        <v>156</v>
      </c>
      <c r="B133" s="76" t="str">
        <f t="shared" si="12"/>
        <v>H19</v>
      </c>
      <c r="C133" s="243" t="s">
        <v>182</v>
      </c>
      <c r="D133" s="70" t="s">
        <v>97</v>
      </c>
      <c r="E133" s="69" t="s">
        <v>98</v>
      </c>
      <c r="F133" s="501">
        <v>3510</v>
      </c>
      <c r="G133" s="501">
        <v>10430</v>
      </c>
      <c r="H133" s="501">
        <v>17050</v>
      </c>
      <c r="I133" s="501">
        <v>22010</v>
      </c>
      <c r="J133" s="485" t="s">
        <v>183</v>
      </c>
      <c r="K133" s="26" t="s">
        <v>158</v>
      </c>
      <c r="L133" s="26">
        <f>L132+1</f>
        <v>19</v>
      </c>
      <c r="M133" s="97" t="str">
        <f>IF(E132="VEDTATT","VEDTATT",0)</f>
        <v>VEDTATT</v>
      </c>
      <c r="N133" s="97">
        <f>IF(E132="MÅ","Nye tiltak",0)</f>
        <v>0</v>
      </c>
      <c r="O133" s="97"/>
      <c r="P133" s="26"/>
    </row>
    <row r="134" spans="1:16" s="36" customFormat="1" x14ac:dyDescent="0.25">
      <c r="A134" s="76"/>
      <c r="B134" s="76" t="str">
        <f t="shared" si="12"/>
        <v/>
      </c>
      <c r="C134" s="80" t="s">
        <v>184</v>
      </c>
      <c r="D134" s="81"/>
      <c r="E134" s="69"/>
      <c r="F134" s="4">
        <f>F129</f>
        <v>2022</v>
      </c>
      <c r="G134" s="4">
        <f>F134+1</f>
        <v>2023</v>
      </c>
      <c r="H134" s="4">
        <f>G134+1</f>
        <v>2024</v>
      </c>
      <c r="I134" s="4">
        <f>H134+1</f>
        <v>2025</v>
      </c>
      <c r="J134" s="207"/>
      <c r="K134" s="335"/>
      <c r="L134" s="335"/>
      <c r="M134" s="97"/>
      <c r="N134" s="97"/>
      <c r="O134" s="97"/>
      <c r="P134" s="26"/>
    </row>
    <row r="135" spans="1:16" s="36" customFormat="1" x14ac:dyDescent="0.25">
      <c r="A135" s="76" t="s">
        <v>156</v>
      </c>
      <c r="B135" s="76" t="str">
        <f t="shared" si="12"/>
        <v>H20</v>
      </c>
      <c r="C135" s="243" t="s">
        <v>185</v>
      </c>
      <c r="D135" s="70" t="s">
        <v>105</v>
      </c>
      <c r="E135" s="69" t="s">
        <v>98</v>
      </c>
      <c r="F135" s="68">
        <v>0</v>
      </c>
      <c r="G135" s="68"/>
      <c r="H135" s="68">
        <v>6000</v>
      </c>
      <c r="I135" s="189">
        <v>12000</v>
      </c>
      <c r="J135" s="207" t="s">
        <v>186</v>
      </c>
      <c r="K135" s="26" t="s">
        <v>158</v>
      </c>
      <c r="L135" s="26">
        <f>L133+1</f>
        <v>20</v>
      </c>
      <c r="M135" s="97" t="str">
        <f>IF(E135="VEDTATT","VEDTATT",0)</f>
        <v>VEDTATT</v>
      </c>
      <c r="N135" s="97">
        <f>IF(E135="MÅ","Nye tiltak",0)</f>
        <v>0</v>
      </c>
      <c r="O135" s="97"/>
      <c r="P135" s="26"/>
    </row>
    <row r="136" spans="1:16" s="36" customFormat="1" x14ac:dyDescent="0.25">
      <c r="A136" s="76" t="s">
        <v>156</v>
      </c>
      <c r="B136" s="76" t="str">
        <f t="shared" si="12"/>
        <v>H21</v>
      </c>
      <c r="C136" s="243" t="s">
        <v>187</v>
      </c>
      <c r="D136" s="70" t="s">
        <v>105</v>
      </c>
      <c r="E136" s="69" t="s">
        <v>98</v>
      </c>
      <c r="F136" s="189">
        <v>0</v>
      </c>
      <c r="G136" s="189">
        <v>-2500</v>
      </c>
      <c r="H136" s="189">
        <f>G136</f>
        <v>-2500</v>
      </c>
      <c r="I136" s="189">
        <f>H136</f>
        <v>-2500</v>
      </c>
      <c r="J136" s="207"/>
      <c r="K136" s="26" t="s">
        <v>158</v>
      </c>
      <c r="L136" s="26">
        <f>L135+1</f>
        <v>21</v>
      </c>
      <c r="M136" s="97"/>
      <c r="N136" s="97"/>
      <c r="O136" s="97"/>
      <c r="P136" s="26"/>
    </row>
    <row r="137" spans="1:16" s="36" customFormat="1" x14ac:dyDescent="0.25">
      <c r="A137" s="76" t="s">
        <v>156</v>
      </c>
      <c r="B137" s="76" t="str">
        <f t="shared" si="12"/>
        <v>H22</v>
      </c>
      <c r="C137" s="243" t="s">
        <v>188</v>
      </c>
      <c r="D137" s="70" t="s">
        <v>108</v>
      </c>
      <c r="E137" s="69" t="s">
        <v>46</v>
      </c>
      <c r="F137" s="189">
        <v>4000</v>
      </c>
      <c r="G137" s="189">
        <f>F137</f>
        <v>4000</v>
      </c>
      <c r="H137" s="189">
        <f>G137</f>
        <v>4000</v>
      </c>
      <c r="I137" s="189">
        <f>H137</f>
        <v>4000</v>
      </c>
      <c r="J137" s="207"/>
      <c r="K137" s="26" t="s">
        <v>158</v>
      </c>
      <c r="L137" s="26">
        <f>L136+1</f>
        <v>22</v>
      </c>
      <c r="M137" s="97">
        <f>IF(E137="VEDTATT","VEDTATT",0)</f>
        <v>0</v>
      </c>
      <c r="N137" s="97" t="str">
        <f>IF(E137="MÅ","Nye tiltak",0)</f>
        <v>Nye tiltak</v>
      </c>
      <c r="O137" s="97"/>
      <c r="P137" s="26"/>
    </row>
    <row r="138" spans="1:16" s="36" customFormat="1" x14ac:dyDescent="0.25">
      <c r="A138" s="41"/>
      <c r="B138" s="41" t="s">
        <v>152</v>
      </c>
      <c r="C138" s="3" t="s">
        <v>189</v>
      </c>
      <c r="D138" s="50"/>
      <c r="E138" s="50"/>
      <c r="F138" s="54">
        <f>SUMIF($A:$A,"H&amp;V",F:F)</f>
        <v>41588</v>
      </c>
      <c r="G138" s="54">
        <f>SUMIF($A:$A,"H&amp;V",G:G)</f>
        <v>29767</v>
      </c>
      <c r="H138" s="54">
        <f>SUMIF($A:$A,"H&amp;V",H:H)</f>
        <v>46704</v>
      </c>
      <c r="I138" s="54">
        <f>SUMIF($A:$A,"H&amp;V",I:I)</f>
        <v>73272</v>
      </c>
      <c r="J138" s="207"/>
      <c r="K138" s="335"/>
      <c r="L138" s="335"/>
      <c r="M138" s="97"/>
      <c r="N138" s="97"/>
      <c r="O138" s="97"/>
    </row>
    <row r="139" spans="1:16" s="36" customFormat="1" x14ac:dyDescent="0.25">
      <c r="A139" s="45"/>
      <c r="B139" s="45"/>
      <c r="C139" s="9"/>
      <c r="D139" s="47"/>
      <c r="E139" s="47"/>
      <c r="F139" s="55"/>
      <c r="G139" s="55"/>
      <c r="H139" s="55"/>
      <c r="I139" s="55"/>
      <c r="J139" s="207"/>
      <c r="K139" s="26"/>
      <c r="L139" s="26"/>
      <c r="M139" s="97"/>
      <c r="N139" s="97"/>
      <c r="O139" s="97"/>
    </row>
    <row r="140" spans="1:16" s="36" customFormat="1" x14ac:dyDescent="0.25">
      <c r="A140" s="46"/>
      <c r="B140" s="46"/>
      <c r="C140" s="11" t="s">
        <v>190</v>
      </c>
      <c r="D140" s="48"/>
      <c r="E140" s="59"/>
      <c r="F140" s="56"/>
      <c r="G140" s="56"/>
      <c r="H140" s="56"/>
      <c r="I140" s="56"/>
      <c r="J140" s="207"/>
      <c r="M140" s="97"/>
      <c r="N140" s="97"/>
      <c r="O140" s="97"/>
    </row>
    <row r="141" spans="1:16" s="36" customFormat="1" x14ac:dyDescent="0.25">
      <c r="A141" s="339"/>
      <c r="B141" s="339"/>
      <c r="C141" s="80" t="s">
        <v>191</v>
      </c>
      <c r="D141" s="81"/>
      <c r="E141" s="69"/>
      <c r="F141" s="4">
        <f>F134</f>
        <v>2022</v>
      </c>
      <c r="G141" s="4">
        <f>F141+1</f>
        <v>2023</v>
      </c>
      <c r="H141" s="4">
        <f>G141+1</f>
        <v>2024</v>
      </c>
      <c r="I141" s="4">
        <f>H141+1</f>
        <v>2025</v>
      </c>
      <c r="J141" s="410"/>
      <c r="K141" s="335"/>
      <c r="L141" s="335"/>
      <c r="M141" s="97"/>
      <c r="N141" s="97"/>
      <c r="O141" s="97"/>
    </row>
    <row r="142" spans="1:16" s="36" customFormat="1" x14ac:dyDescent="0.25">
      <c r="A142" s="76" t="s">
        <v>192</v>
      </c>
      <c r="B142" s="76" t="str">
        <f t="shared" ref="B142:B148" si="13">IF(L142,K142&amp;L142,"")</f>
        <v>K1</v>
      </c>
      <c r="C142" s="210" t="s">
        <v>193</v>
      </c>
      <c r="D142" s="77" t="s">
        <v>105</v>
      </c>
      <c r="E142" s="69" t="s">
        <v>98</v>
      </c>
      <c r="F142" s="189">
        <v>-400</v>
      </c>
      <c r="G142" s="189">
        <v>-500</v>
      </c>
      <c r="H142" s="189">
        <v>-600</v>
      </c>
      <c r="I142" s="189">
        <v>-600</v>
      </c>
      <c r="J142" s="207"/>
      <c r="K142" s="26" t="s">
        <v>194</v>
      </c>
      <c r="L142" s="26">
        <v>1</v>
      </c>
      <c r="M142" s="97" t="str">
        <f t="shared" ref="M142:M148" si="14">IF(E142="VEDTATT","VEDTATT",0)</f>
        <v>VEDTATT</v>
      </c>
      <c r="N142" s="97">
        <f t="shared" ref="N142:N148" si="15">IF(E142="MÅ","Nye tiltak",0)</f>
        <v>0</v>
      </c>
      <c r="O142" s="97"/>
    </row>
    <row r="143" spans="1:16" s="36" customFormat="1" x14ac:dyDescent="0.25">
      <c r="A143" s="76" t="s">
        <v>192</v>
      </c>
      <c r="B143" s="76" t="str">
        <f t="shared" si="13"/>
        <v>K2</v>
      </c>
      <c r="C143" s="210" t="s">
        <v>195</v>
      </c>
      <c r="D143" s="77" t="s">
        <v>108</v>
      </c>
      <c r="E143" s="69" t="s">
        <v>46</v>
      </c>
      <c r="F143" s="189">
        <v>300</v>
      </c>
      <c r="G143" s="189">
        <v>300</v>
      </c>
      <c r="H143" s="189">
        <v>300</v>
      </c>
      <c r="I143" s="189">
        <v>300</v>
      </c>
      <c r="J143" s="207"/>
      <c r="K143" s="26" t="s">
        <v>194</v>
      </c>
      <c r="L143" s="26">
        <f>L142+1</f>
        <v>2</v>
      </c>
      <c r="M143" s="97">
        <f t="shared" si="14"/>
        <v>0</v>
      </c>
      <c r="N143" s="97" t="str">
        <f t="shared" si="15"/>
        <v>Nye tiltak</v>
      </c>
      <c r="O143" s="97"/>
    </row>
    <row r="144" spans="1:16" s="36" customFormat="1" x14ac:dyDescent="0.25">
      <c r="A144" s="76" t="s">
        <v>192</v>
      </c>
      <c r="B144" s="76" t="str">
        <f t="shared" si="13"/>
        <v>K3</v>
      </c>
      <c r="C144" s="210" t="s">
        <v>196</v>
      </c>
      <c r="D144" s="77" t="s">
        <v>108</v>
      </c>
      <c r="E144" s="69" t="s">
        <v>46</v>
      </c>
      <c r="F144" s="189">
        <v>100</v>
      </c>
      <c r="G144" s="253">
        <v>100</v>
      </c>
      <c r="H144" s="253">
        <v>100</v>
      </c>
      <c r="I144" s="253">
        <v>100</v>
      </c>
      <c r="J144" s="207"/>
      <c r="K144" s="26" t="s">
        <v>194</v>
      </c>
      <c r="L144" s="26">
        <f t="shared" ref="L144:L145" si="16">L143+1</f>
        <v>3</v>
      </c>
      <c r="M144" s="97"/>
      <c r="N144" s="97"/>
      <c r="O144" s="97"/>
    </row>
    <row r="145" spans="1:15" s="36" customFormat="1" x14ac:dyDescent="0.25">
      <c r="A145" s="76" t="s">
        <v>192</v>
      </c>
      <c r="B145" s="76" t="str">
        <f t="shared" si="13"/>
        <v>K4</v>
      </c>
      <c r="C145" s="210" t="s">
        <v>197</v>
      </c>
      <c r="D145" s="77" t="s">
        <v>108</v>
      </c>
      <c r="E145" s="69" t="s">
        <v>46</v>
      </c>
      <c r="F145" s="189">
        <v>-100</v>
      </c>
      <c r="G145" s="253">
        <v>-100</v>
      </c>
      <c r="H145" s="253">
        <v>-100</v>
      </c>
      <c r="I145" s="253">
        <v>-100</v>
      </c>
      <c r="J145" s="207"/>
      <c r="K145" s="26" t="s">
        <v>194</v>
      </c>
      <c r="L145" s="26">
        <f t="shared" si="16"/>
        <v>4</v>
      </c>
      <c r="M145" s="97">
        <f t="shared" si="14"/>
        <v>0</v>
      </c>
      <c r="N145" s="97" t="str">
        <f t="shared" si="15"/>
        <v>Nye tiltak</v>
      </c>
      <c r="O145" s="97"/>
    </row>
    <row r="146" spans="1:15" s="36" customFormat="1" x14ac:dyDescent="0.25">
      <c r="A146" s="76"/>
      <c r="B146" s="76" t="str">
        <f t="shared" si="13"/>
        <v/>
      </c>
      <c r="C146" s="385" t="s">
        <v>198</v>
      </c>
      <c r="D146" s="77"/>
      <c r="E146" s="69"/>
      <c r="F146" s="189"/>
      <c r="G146" s="189"/>
      <c r="H146" s="189"/>
      <c r="I146" s="189"/>
      <c r="J146" s="207"/>
      <c r="K146" s="26" t="s">
        <v>194</v>
      </c>
      <c r="L146" s="26"/>
      <c r="M146" s="97">
        <f t="shared" si="14"/>
        <v>0</v>
      </c>
      <c r="N146" s="97">
        <f t="shared" si="15"/>
        <v>0</v>
      </c>
      <c r="O146" s="97"/>
    </row>
    <row r="147" spans="1:15" s="36" customFormat="1" x14ac:dyDescent="0.25">
      <c r="A147" s="76" t="s">
        <v>192</v>
      </c>
      <c r="B147" s="76" t="str">
        <f t="shared" si="13"/>
        <v>K5</v>
      </c>
      <c r="C147" s="211" t="s">
        <v>199</v>
      </c>
      <c r="D147" s="70" t="s">
        <v>105</v>
      </c>
      <c r="E147" s="69" t="s">
        <v>98</v>
      </c>
      <c r="F147" s="68">
        <v>0</v>
      </c>
      <c r="G147" s="68">
        <v>50</v>
      </c>
      <c r="H147" s="68">
        <v>50</v>
      </c>
      <c r="I147" s="68">
        <v>50</v>
      </c>
      <c r="J147" s="411" t="s">
        <v>200</v>
      </c>
      <c r="K147" s="26" t="s">
        <v>194</v>
      </c>
      <c r="L147" s="26">
        <v>5</v>
      </c>
      <c r="M147" s="97" t="str">
        <f t="shared" si="14"/>
        <v>VEDTATT</v>
      </c>
      <c r="N147" s="97">
        <f t="shared" si="15"/>
        <v>0</v>
      </c>
      <c r="O147" s="97"/>
    </row>
    <row r="148" spans="1:15" s="36" customFormat="1" x14ac:dyDescent="0.25">
      <c r="A148" s="76" t="s">
        <v>192</v>
      </c>
      <c r="B148" s="76" t="str">
        <f t="shared" si="13"/>
        <v>K6</v>
      </c>
      <c r="C148" s="211" t="s">
        <v>201</v>
      </c>
      <c r="D148" s="70" t="s">
        <v>105</v>
      </c>
      <c r="E148" s="69" t="s">
        <v>98</v>
      </c>
      <c r="F148" s="88">
        <v>460</v>
      </c>
      <c r="G148" s="88">
        <v>460</v>
      </c>
      <c r="H148" s="88">
        <v>460</v>
      </c>
      <c r="I148" s="88">
        <v>460</v>
      </c>
      <c r="J148" s="486" t="s">
        <v>202</v>
      </c>
      <c r="K148" s="26" t="s">
        <v>194</v>
      </c>
      <c r="L148" s="26">
        <f>L147+1</f>
        <v>6</v>
      </c>
      <c r="M148" s="97" t="str">
        <f t="shared" si="14"/>
        <v>VEDTATT</v>
      </c>
      <c r="N148" s="97">
        <f t="shared" si="15"/>
        <v>0</v>
      </c>
      <c r="O148" s="97"/>
    </row>
    <row r="149" spans="1:15" s="36" customFormat="1" x14ac:dyDescent="0.25">
      <c r="A149" s="76" t="s">
        <v>192</v>
      </c>
      <c r="B149" s="76" t="str">
        <f>IF(L149,K149&amp;L149,"")</f>
        <v>K7</v>
      </c>
      <c r="C149" s="211" t="s">
        <v>742</v>
      </c>
      <c r="D149" s="70" t="s">
        <v>108</v>
      </c>
      <c r="E149" s="69" t="s">
        <v>46</v>
      </c>
      <c r="F149" s="88">
        <v>165</v>
      </c>
      <c r="G149" s="88">
        <v>165</v>
      </c>
      <c r="H149" s="88">
        <v>165</v>
      </c>
      <c r="I149" s="88">
        <v>165</v>
      </c>
      <c r="J149" s="486" t="s">
        <v>741</v>
      </c>
      <c r="K149" s="26" t="s">
        <v>194</v>
      </c>
      <c r="L149" s="26">
        <f>L148+1</f>
        <v>7</v>
      </c>
      <c r="M149" s="97"/>
      <c r="N149" s="97"/>
      <c r="O149" s="97"/>
    </row>
    <row r="150" spans="1:15" s="36" customFormat="1" x14ac:dyDescent="0.25">
      <c r="A150" s="76"/>
      <c r="B150" s="76"/>
      <c r="C150" s="80"/>
      <c r="D150" s="70"/>
      <c r="E150" s="69"/>
      <c r="F150" s="68"/>
      <c r="G150" s="68"/>
      <c r="H150" s="68"/>
      <c r="I150" s="68"/>
      <c r="J150" s="207"/>
      <c r="K150" s="26" t="s">
        <v>194</v>
      </c>
      <c r="L150" s="26">
        <f>L149+1</f>
        <v>8</v>
      </c>
      <c r="M150" s="97"/>
      <c r="N150" s="97"/>
      <c r="O150" s="97"/>
    </row>
    <row r="151" spans="1:15" s="36" customFormat="1" x14ac:dyDescent="0.25">
      <c r="A151" s="41"/>
      <c r="B151" s="41" t="s">
        <v>152</v>
      </c>
      <c r="C151" s="3" t="s">
        <v>203</v>
      </c>
      <c r="D151" s="50"/>
      <c r="E151" s="50"/>
      <c r="F151" s="54">
        <f>SUMIF($A:$A,"KuN",F:F)</f>
        <v>525</v>
      </c>
      <c r="G151" s="54">
        <f>SUMIF($A:$A,"KuN",G:G)</f>
        <v>475</v>
      </c>
      <c r="H151" s="54">
        <f>SUMIF($A:$A,"KuN",H:H)</f>
        <v>375</v>
      </c>
      <c r="I151" s="54">
        <f>SUMIF($A:$A,"KuN",I:I)</f>
        <v>375</v>
      </c>
      <c r="J151" s="412"/>
      <c r="K151" s="335"/>
      <c r="L151" s="335"/>
      <c r="M151" s="97"/>
      <c r="N151" s="97"/>
      <c r="O151" s="97"/>
    </row>
    <row r="152" spans="1:15" s="36" customFormat="1" x14ac:dyDescent="0.25">
      <c r="A152" s="45"/>
      <c r="B152" s="45"/>
      <c r="C152" s="9"/>
      <c r="D152" s="47"/>
      <c r="E152" s="47"/>
      <c r="F152" s="55"/>
      <c r="G152" s="55"/>
      <c r="H152" s="55"/>
      <c r="I152" s="55"/>
      <c r="J152" s="412"/>
      <c r="K152" s="26"/>
      <c r="L152" s="26"/>
      <c r="M152" s="97"/>
      <c r="N152" s="97"/>
      <c r="O152" s="97"/>
    </row>
    <row r="153" spans="1:15" s="36" customFormat="1" x14ac:dyDescent="0.25">
      <c r="A153" s="46"/>
      <c r="B153" s="46"/>
      <c r="C153" s="246" t="s">
        <v>204</v>
      </c>
      <c r="D153" s="81"/>
      <c r="E153" s="69"/>
      <c r="F153" s="4">
        <f>F141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412"/>
      <c r="K153" s="335"/>
      <c r="L153" s="335"/>
      <c r="M153" s="97"/>
      <c r="N153" s="97"/>
      <c r="O153" s="97"/>
    </row>
    <row r="154" spans="1:15" s="36" customFormat="1" x14ac:dyDescent="0.25">
      <c r="A154" s="76"/>
      <c r="B154" s="76"/>
      <c r="C154" s="342"/>
      <c r="D154" s="70"/>
      <c r="E154" s="69"/>
      <c r="F154" s="215"/>
      <c r="G154" s="215"/>
      <c r="H154" s="215"/>
      <c r="I154" s="215"/>
      <c r="J154" s="412"/>
      <c r="K154" s="26"/>
      <c r="L154" s="26"/>
      <c r="M154" s="97"/>
      <c r="N154" s="97"/>
      <c r="O154" s="97"/>
    </row>
    <row r="155" spans="1:15" s="36" customFormat="1" x14ac:dyDescent="0.25">
      <c r="A155" s="46"/>
      <c r="B155" s="76" t="str">
        <f t="shared" ref="B155:B180" si="17">IF(L155,K155&amp;L155,"")</f>
        <v/>
      </c>
      <c r="C155" s="206" t="s">
        <v>205</v>
      </c>
      <c r="D155" s="81"/>
      <c r="E155" s="69"/>
      <c r="F155" s="4">
        <f>F153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412"/>
      <c r="K155" s="335"/>
      <c r="L155" s="335"/>
      <c r="M155" s="97"/>
      <c r="N155" s="97"/>
      <c r="O155" s="97"/>
    </row>
    <row r="156" spans="1:15" s="36" customFormat="1" x14ac:dyDescent="0.25">
      <c r="A156" s="76" t="s">
        <v>206</v>
      </c>
      <c r="B156" s="76" t="str">
        <f t="shared" si="17"/>
        <v>T1</v>
      </c>
      <c r="C156" s="210" t="s">
        <v>207</v>
      </c>
      <c r="D156" s="70" t="s">
        <v>108</v>
      </c>
      <c r="E156" s="69" t="s">
        <v>46</v>
      </c>
      <c r="F156" s="215">
        <v>500</v>
      </c>
      <c r="G156" s="215">
        <v>500</v>
      </c>
      <c r="H156" s="215">
        <v>500</v>
      </c>
      <c r="I156" s="215">
        <v>500</v>
      </c>
      <c r="J156" s="91" t="s">
        <v>143</v>
      </c>
      <c r="K156" s="26" t="s">
        <v>208</v>
      </c>
      <c r="L156" s="26">
        <v>1</v>
      </c>
      <c r="M156" s="97"/>
      <c r="N156" s="97"/>
      <c r="O156" s="97"/>
    </row>
    <row r="157" spans="1:15" s="36" customFormat="1" ht="25.5" x14ac:dyDescent="0.25">
      <c r="A157" s="76" t="s">
        <v>206</v>
      </c>
      <c r="B157" s="76" t="str">
        <f t="shared" si="17"/>
        <v>T2</v>
      </c>
      <c r="C157" s="210" t="s">
        <v>209</v>
      </c>
      <c r="D157" s="70" t="s">
        <v>108</v>
      </c>
      <c r="E157" s="69" t="s">
        <v>46</v>
      </c>
      <c r="F157" s="215">
        <v>700</v>
      </c>
      <c r="G157" s="215">
        <v>700</v>
      </c>
      <c r="H157" s="215">
        <v>700</v>
      </c>
      <c r="I157" s="215">
        <v>700</v>
      </c>
      <c r="J157" s="91" t="s">
        <v>210</v>
      </c>
      <c r="K157" s="26" t="s">
        <v>208</v>
      </c>
      <c r="L157" s="26">
        <f>L156+1</f>
        <v>2</v>
      </c>
      <c r="M157" s="97"/>
      <c r="N157" s="97"/>
      <c r="O157" s="97"/>
    </row>
    <row r="158" spans="1:15" s="36" customFormat="1" x14ac:dyDescent="0.25">
      <c r="A158" s="76" t="s">
        <v>206</v>
      </c>
      <c r="B158" s="76" t="str">
        <f t="shared" si="17"/>
        <v>T3</v>
      </c>
      <c r="C158" s="210" t="s">
        <v>211</v>
      </c>
      <c r="D158" s="70" t="s">
        <v>108</v>
      </c>
      <c r="E158" s="69" t="s">
        <v>46</v>
      </c>
      <c r="F158" s="215">
        <f>6500-5000</f>
        <v>1500</v>
      </c>
      <c r="G158" s="215">
        <f>8000-5000</f>
        <v>3000</v>
      </c>
      <c r="H158" s="215">
        <f>9000-5000</f>
        <v>4000</v>
      </c>
      <c r="I158" s="215">
        <f>9000-5000</f>
        <v>4000</v>
      </c>
      <c r="J158" s="91" t="s">
        <v>212</v>
      </c>
      <c r="K158" s="26" t="s">
        <v>208</v>
      </c>
      <c r="L158" s="26">
        <f>L157+1</f>
        <v>3</v>
      </c>
      <c r="M158" s="97"/>
      <c r="N158" s="97"/>
      <c r="O158" s="97"/>
    </row>
    <row r="159" spans="1:15" s="36" customFormat="1" ht="25.5" x14ac:dyDescent="0.25">
      <c r="A159" s="76" t="s">
        <v>206</v>
      </c>
      <c r="B159" s="76" t="str">
        <f t="shared" si="17"/>
        <v>T4</v>
      </c>
      <c r="C159" s="210" t="s">
        <v>213</v>
      </c>
      <c r="D159" s="70" t="s">
        <v>108</v>
      </c>
      <c r="E159" s="69" t="s">
        <v>46</v>
      </c>
      <c r="F159" s="215">
        <v>250</v>
      </c>
      <c r="G159" s="215">
        <v>300</v>
      </c>
      <c r="H159" s="215">
        <v>350</v>
      </c>
      <c r="I159" s="215">
        <v>400</v>
      </c>
      <c r="J159" s="91" t="s">
        <v>214</v>
      </c>
      <c r="K159" s="26" t="s">
        <v>208</v>
      </c>
      <c r="L159" s="26">
        <f>L158+1</f>
        <v>4</v>
      </c>
      <c r="M159" s="97"/>
      <c r="N159" s="97"/>
      <c r="O159" s="97"/>
    </row>
    <row r="160" spans="1:15" s="36" customFormat="1" ht="56.25" x14ac:dyDescent="0.25">
      <c r="A160" s="76" t="s">
        <v>206</v>
      </c>
      <c r="B160" s="76" t="str">
        <f t="shared" si="17"/>
        <v>T5</v>
      </c>
      <c r="C160" t="s">
        <v>215</v>
      </c>
      <c r="D160" s="70" t="s">
        <v>108</v>
      </c>
      <c r="E160" s="69" t="s">
        <v>46</v>
      </c>
      <c r="F160" s="215">
        <v>500</v>
      </c>
      <c r="G160" s="215">
        <v>500</v>
      </c>
      <c r="H160" s="215">
        <v>500</v>
      </c>
      <c r="I160" s="215">
        <v>500</v>
      </c>
      <c r="J160" s="437" t="s">
        <v>216</v>
      </c>
      <c r="K160" s="26" t="s">
        <v>208</v>
      </c>
      <c r="L160" s="26">
        <v>5</v>
      </c>
      <c r="M160" s="97"/>
      <c r="N160" s="97"/>
      <c r="O160" s="97"/>
    </row>
    <row r="161" spans="1:15" s="36" customFormat="1" x14ac:dyDescent="0.25">
      <c r="A161" s="76"/>
      <c r="B161" s="76" t="str">
        <f t="shared" si="17"/>
        <v/>
      </c>
      <c r="C161" s="210"/>
      <c r="D161" s="70"/>
      <c r="E161" s="69"/>
      <c r="F161" s="215"/>
      <c r="G161" s="215"/>
      <c r="H161" s="215"/>
      <c r="I161" s="215"/>
      <c r="J161" s="91"/>
      <c r="K161" s="26"/>
      <c r="L161" s="26"/>
      <c r="M161" s="97"/>
      <c r="N161" s="97"/>
      <c r="O161" s="97"/>
    </row>
    <row r="162" spans="1:15" s="36" customFormat="1" x14ac:dyDescent="0.25">
      <c r="A162" s="76"/>
      <c r="B162" s="76" t="str">
        <f t="shared" si="17"/>
        <v/>
      </c>
      <c r="C162" s="206" t="s">
        <v>217</v>
      </c>
      <c r="D162" s="70"/>
      <c r="E162" s="69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412"/>
      <c r="K162" s="335"/>
      <c r="L162" s="335"/>
      <c r="M162" s="97"/>
      <c r="N162" s="97"/>
      <c r="O162" s="97"/>
    </row>
    <row r="163" spans="1:15" s="36" customFormat="1" x14ac:dyDescent="0.25">
      <c r="A163" s="76" t="s">
        <v>206</v>
      </c>
      <c r="B163" s="76" t="str">
        <f t="shared" si="17"/>
        <v>T6</v>
      </c>
      <c r="C163" s="342" t="s">
        <v>218</v>
      </c>
      <c r="D163" s="70" t="s">
        <v>105</v>
      </c>
      <c r="E163" s="69" t="s">
        <v>98</v>
      </c>
      <c r="F163" s="215"/>
      <c r="G163" s="215">
        <v>-450</v>
      </c>
      <c r="H163" s="215">
        <v>-450</v>
      </c>
      <c r="I163" s="215">
        <v>-450</v>
      </c>
      <c r="J163" s="412" t="s">
        <v>219</v>
      </c>
      <c r="K163" s="26" t="s">
        <v>208</v>
      </c>
      <c r="L163" s="26">
        <f>L160+1</f>
        <v>6</v>
      </c>
      <c r="M163" s="97" t="str">
        <f>IF(E163="VEDTATT","VEDTATT",0)</f>
        <v>VEDTATT</v>
      </c>
      <c r="N163" s="97">
        <f>IF(E163="MÅ","Nye tiltak",0)</f>
        <v>0</v>
      </c>
      <c r="O163" s="97"/>
    </row>
    <row r="164" spans="1:15" s="36" customFormat="1" x14ac:dyDescent="0.25">
      <c r="A164" s="76"/>
      <c r="B164" s="76" t="str">
        <f t="shared" si="17"/>
        <v/>
      </c>
      <c r="C164" s="342"/>
      <c r="D164" s="70"/>
      <c r="E164" s="69"/>
      <c r="F164" s="215"/>
      <c r="G164" s="215"/>
      <c r="H164" s="215"/>
      <c r="I164" s="215"/>
      <c r="J164" s="412"/>
      <c r="K164" s="26"/>
      <c r="L164" s="26"/>
      <c r="M164" s="97"/>
      <c r="N164" s="97"/>
      <c r="O164" s="97"/>
    </row>
    <row r="165" spans="1:15" s="36" customFormat="1" x14ac:dyDescent="0.25">
      <c r="A165" s="76"/>
      <c r="B165" s="76" t="str">
        <f t="shared" si="17"/>
        <v/>
      </c>
      <c r="C165" s="206" t="s">
        <v>220</v>
      </c>
      <c r="D165" s="70"/>
      <c r="E165" s="69"/>
      <c r="F165" s="4">
        <f>F162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412"/>
      <c r="K165" s="335"/>
      <c r="L165" s="335"/>
      <c r="M165" s="97"/>
      <c r="N165" s="97"/>
      <c r="O165" s="97"/>
    </row>
    <row r="166" spans="1:15" s="36" customFormat="1" x14ac:dyDescent="0.25">
      <c r="A166" s="43" t="s">
        <v>206</v>
      </c>
      <c r="B166" s="76" t="str">
        <f t="shared" si="17"/>
        <v>T7</v>
      </c>
      <c r="C166" s="210" t="s">
        <v>221</v>
      </c>
      <c r="D166" s="70" t="s">
        <v>105</v>
      </c>
      <c r="E166" s="69" t="s">
        <v>98</v>
      </c>
      <c r="F166" s="215">
        <v>0</v>
      </c>
      <c r="G166" s="215">
        <v>-350</v>
      </c>
      <c r="H166" s="215">
        <v>-350</v>
      </c>
      <c r="I166" s="215">
        <v>-350</v>
      </c>
      <c r="J166" s="412"/>
      <c r="K166" s="26" t="s">
        <v>208</v>
      </c>
      <c r="L166" s="26">
        <f>+L163+1</f>
        <v>7</v>
      </c>
      <c r="M166" s="97" t="str">
        <f t="shared" ref="M166:M174" si="18">IF(E166="VEDTATT","VEDTATT",0)</f>
        <v>VEDTATT</v>
      </c>
      <c r="N166" s="97"/>
      <c r="O166" s="97"/>
    </row>
    <row r="167" spans="1:15" s="36" customFormat="1" ht="25.5" x14ac:dyDescent="0.25">
      <c r="A167" s="43" t="s">
        <v>206</v>
      </c>
      <c r="B167" s="76" t="str">
        <f t="shared" si="17"/>
        <v>T8</v>
      </c>
      <c r="C167" s="210" t="s">
        <v>222</v>
      </c>
      <c r="D167" s="70" t="s">
        <v>105</v>
      </c>
      <c r="E167" s="69" t="s">
        <v>98</v>
      </c>
      <c r="F167" s="215">
        <v>0</v>
      </c>
      <c r="G167" s="215">
        <v>2500</v>
      </c>
      <c r="H167" s="215">
        <v>2500</v>
      </c>
      <c r="I167" s="215">
        <v>2500</v>
      </c>
      <c r="J167" s="412"/>
      <c r="K167" s="26" t="s">
        <v>208</v>
      </c>
      <c r="L167" s="26">
        <f t="shared" ref="L167:L176" si="19">+L166+1</f>
        <v>8</v>
      </c>
      <c r="M167" s="97" t="str">
        <f t="shared" si="18"/>
        <v>VEDTATT</v>
      </c>
      <c r="N167" s="97"/>
      <c r="O167" s="97"/>
    </row>
    <row r="168" spans="1:15" s="36" customFormat="1" x14ac:dyDescent="0.25">
      <c r="A168" s="43" t="s">
        <v>206</v>
      </c>
      <c r="B168" s="76" t="str">
        <f t="shared" si="17"/>
        <v>T9</v>
      </c>
      <c r="C168" s="210" t="s">
        <v>223</v>
      </c>
      <c r="D168" s="70" t="s">
        <v>105</v>
      </c>
      <c r="E168" s="69" t="s">
        <v>98</v>
      </c>
      <c r="F168" s="215">
        <v>0</v>
      </c>
      <c r="G168" s="215">
        <v>-350</v>
      </c>
      <c r="H168" s="215">
        <v>-350</v>
      </c>
      <c r="I168" s="215">
        <v>-350</v>
      </c>
      <c r="J168" s="412"/>
      <c r="K168" s="26" t="s">
        <v>208</v>
      </c>
      <c r="L168" s="26">
        <f t="shared" si="19"/>
        <v>9</v>
      </c>
      <c r="M168" s="97" t="str">
        <f t="shared" si="18"/>
        <v>VEDTATT</v>
      </c>
      <c r="N168" s="97">
        <f t="shared" ref="N168:N174" si="20">IF(E168="MÅ","Nye tiltak",0)</f>
        <v>0</v>
      </c>
      <c r="O168" s="97"/>
    </row>
    <row r="169" spans="1:15" s="36" customFormat="1" x14ac:dyDescent="0.25">
      <c r="A169" s="43" t="s">
        <v>206</v>
      </c>
      <c r="B169" s="76" t="str">
        <f t="shared" si="17"/>
        <v>T10</v>
      </c>
      <c r="C169" s="210" t="s">
        <v>224</v>
      </c>
      <c r="D169" s="70" t="s">
        <v>108</v>
      </c>
      <c r="E169" s="69" t="s">
        <v>46</v>
      </c>
      <c r="F169" s="108">
        <v>10</v>
      </c>
      <c r="G169" s="108">
        <v>20</v>
      </c>
      <c r="H169" s="108">
        <v>30</v>
      </c>
      <c r="I169" s="108">
        <v>40</v>
      </c>
      <c r="J169" s="207" t="s">
        <v>225</v>
      </c>
      <c r="K169" s="26" t="s">
        <v>208</v>
      </c>
      <c r="L169" s="26">
        <f t="shared" si="19"/>
        <v>10</v>
      </c>
      <c r="M169" s="97">
        <f t="shared" si="18"/>
        <v>0</v>
      </c>
      <c r="N169" s="97" t="str">
        <f t="shared" si="20"/>
        <v>Nye tiltak</v>
      </c>
      <c r="O169" s="97"/>
    </row>
    <row r="170" spans="1:15" s="36" customFormat="1" x14ac:dyDescent="0.25">
      <c r="A170" s="43" t="s">
        <v>206</v>
      </c>
      <c r="B170" s="76" t="str">
        <f t="shared" si="17"/>
        <v>T11</v>
      </c>
      <c r="C170" s="210" t="s">
        <v>226</v>
      </c>
      <c r="D170" s="70" t="s">
        <v>108</v>
      </c>
      <c r="E170" s="69" t="s">
        <v>46</v>
      </c>
      <c r="F170" s="108">
        <v>1300</v>
      </c>
      <c r="G170" s="108">
        <v>1300</v>
      </c>
      <c r="H170" s="108">
        <v>1300</v>
      </c>
      <c r="I170" s="108">
        <v>1300</v>
      </c>
      <c r="J170" s="91" t="s">
        <v>143</v>
      </c>
      <c r="K170" s="26" t="s">
        <v>208</v>
      </c>
      <c r="L170" s="26">
        <f t="shared" si="19"/>
        <v>11</v>
      </c>
      <c r="M170" s="97">
        <f t="shared" si="18"/>
        <v>0</v>
      </c>
      <c r="N170" s="97" t="str">
        <f t="shared" si="20"/>
        <v>Nye tiltak</v>
      </c>
      <c r="O170" s="97"/>
    </row>
    <row r="171" spans="1:15" s="36" customFormat="1" x14ac:dyDescent="0.25">
      <c r="A171" s="43" t="s">
        <v>206</v>
      </c>
      <c r="B171" s="76" t="str">
        <f t="shared" si="17"/>
        <v>T12</v>
      </c>
      <c r="C171" s="210" t="s">
        <v>227</v>
      </c>
      <c r="D171" s="70" t="s">
        <v>108</v>
      </c>
      <c r="E171" s="69" t="s">
        <v>46</v>
      </c>
      <c r="F171" s="108">
        <v>400</v>
      </c>
      <c r="G171" s="108">
        <v>400</v>
      </c>
      <c r="H171" s="108">
        <v>400</v>
      </c>
      <c r="I171" s="108">
        <v>400</v>
      </c>
      <c r="J171" s="91" t="s">
        <v>143</v>
      </c>
      <c r="K171" s="26" t="s">
        <v>208</v>
      </c>
      <c r="L171" s="26">
        <f t="shared" si="19"/>
        <v>12</v>
      </c>
      <c r="M171" s="97">
        <f t="shared" si="18"/>
        <v>0</v>
      </c>
      <c r="N171" s="97" t="str">
        <f t="shared" si="20"/>
        <v>Nye tiltak</v>
      </c>
      <c r="O171" s="97"/>
    </row>
    <row r="172" spans="1:15" s="36" customFormat="1" x14ac:dyDescent="0.25">
      <c r="A172" s="43" t="s">
        <v>206</v>
      </c>
      <c r="B172" s="76" t="str">
        <f t="shared" si="17"/>
        <v>T13</v>
      </c>
      <c r="C172" s="210" t="s">
        <v>228</v>
      </c>
      <c r="D172" s="70" t="s">
        <v>108</v>
      </c>
      <c r="E172" s="69" t="s">
        <v>46</v>
      </c>
      <c r="F172" s="108">
        <v>585</v>
      </c>
      <c r="G172" s="108">
        <v>585</v>
      </c>
      <c r="H172" s="108">
        <v>585</v>
      </c>
      <c r="I172" s="108">
        <v>585</v>
      </c>
      <c r="J172" s="91" t="s">
        <v>143</v>
      </c>
      <c r="K172" s="26" t="s">
        <v>208</v>
      </c>
      <c r="L172" s="26">
        <f t="shared" si="19"/>
        <v>13</v>
      </c>
      <c r="M172" s="97">
        <f t="shared" si="18"/>
        <v>0</v>
      </c>
      <c r="N172" s="97" t="str">
        <f t="shared" si="20"/>
        <v>Nye tiltak</v>
      </c>
      <c r="O172" s="97"/>
    </row>
    <row r="173" spans="1:15" s="36" customFormat="1" ht="33.75" x14ac:dyDescent="0.25">
      <c r="A173" s="43" t="s">
        <v>206</v>
      </c>
      <c r="B173" s="76" t="str">
        <f t="shared" si="17"/>
        <v>T14</v>
      </c>
      <c r="C173" s="497" t="s">
        <v>229</v>
      </c>
      <c r="D173" s="70" t="s">
        <v>108</v>
      </c>
      <c r="E173" s="69" t="s">
        <v>46</v>
      </c>
      <c r="F173" s="498">
        <v>700</v>
      </c>
      <c r="G173" s="498">
        <v>700</v>
      </c>
      <c r="H173" s="498">
        <v>700</v>
      </c>
      <c r="I173" s="498">
        <v>700</v>
      </c>
      <c r="J173" s="411" t="s">
        <v>230</v>
      </c>
      <c r="K173" s="26" t="s">
        <v>208</v>
      </c>
      <c r="L173" s="26">
        <f t="shared" si="19"/>
        <v>14</v>
      </c>
      <c r="M173" s="97">
        <f t="shared" si="18"/>
        <v>0</v>
      </c>
      <c r="N173" s="97" t="str">
        <f t="shared" si="20"/>
        <v>Nye tiltak</v>
      </c>
      <c r="O173" s="97"/>
    </row>
    <row r="174" spans="1:15" s="36" customFormat="1" ht="22.5" x14ac:dyDescent="0.25">
      <c r="A174" s="43" t="s">
        <v>206</v>
      </c>
      <c r="B174" s="76" t="str">
        <f t="shared" si="17"/>
        <v>T15</v>
      </c>
      <c r="C174" s="210" t="s">
        <v>735</v>
      </c>
      <c r="D174" s="70" t="s">
        <v>108</v>
      </c>
      <c r="E174" s="69" t="s">
        <v>46</v>
      </c>
      <c r="F174" s="108">
        <v>300</v>
      </c>
      <c r="G174" s="108">
        <v>300</v>
      </c>
      <c r="H174" s="108"/>
      <c r="I174" s="108"/>
      <c r="J174" s="480" t="s">
        <v>232</v>
      </c>
      <c r="K174" s="26" t="s">
        <v>208</v>
      </c>
      <c r="L174" s="26">
        <f t="shared" si="19"/>
        <v>15</v>
      </c>
      <c r="M174" s="97">
        <f t="shared" si="18"/>
        <v>0</v>
      </c>
      <c r="N174" s="97" t="str">
        <f t="shared" si="20"/>
        <v>Nye tiltak</v>
      </c>
      <c r="O174" s="97"/>
    </row>
    <row r="175" spans="1:15" s="36" customFormat="1" ht="22.5" x14ac:dyDescent="0.25">
      <c r="A175" s="43" t="s">
        <v>206</v>
      </c>
      <c r="B175" s="76" t="str">
        <f t="shared" si="17"/>
        <v>T16</v>
      </c>
      <c r="C175" t="s">
        <v>233</v>
      </c>
      <c r="D175" s="70" t="s">
        <v>108</v>
      </c>
      <c r="E175" s="69" t="s">
        <v>46</v>
      </c>
      <c r="F175" s="108">
        <v>500</v>
      </c>
      <c r="G175" s="108">
        <v>500</v>
      </c>
      <c r="H175" s="108"/>
      <c r="I175" s="108"/>
      <c r="J175" s="480" t="s">
        <v>234</v>
      </c>
      <c r="K175" s="26" t="s">
        <v>208</v>
      </c>
      <c r="L175" s="26">
        <f t="shared" si="19"/>
        <v>16</v>
      </c>
      <c r="M175" s="97"/>
      <c r="N175" s="97"/>
      <c r="O175" s="97"/>
    </row>
    <row r="176" spans="1:15" s="36" customFormat="1" x14ac:dyDescent="0.25">
      <c r="A176" s="43" t="s">
        <v>206</v>
      </c>
      <c r="B176" s="76" t="str">
        <f t="shared" ref="B176" si="21">IF(L176,K176&amp;L176,"")</f>
        <v>T17</v>
      </c>
      <c r="C176" s="210" t="s">
        <v>235</v>
      </c>
      <c r="D176" s="70" t="s">
        <v>97</v>
      </c>
      <c r="E176" s="69" t="s">
        <v>98</v>
      </c>
      <c r="F176" s="501">
        <v>3300</v>
      </c>
      <c r="G176" s="501">
        <v>3300</v>
      </c>
      <c r="H176" s="501">
        <v>3300</v>
      </c>
      <c r="I176" s="501">
        <v>3300</v>
      </c>
      <c r="J176" s="485" t="s">
        <v>149</v>
      </c>
      <c r="K176" s="26" t="s">
        <v>208</v>
      </c>
      <c r="L176" s="26">
        <f t="shared" si="19"/>
        <v>17</v>
      </c>
      <c r="M176" s="97" t="str">
        <f t="shared" ref="M176" si="22">IF(E176="VEDTATT","VEDTATT",0)</f>
        <v>VEDTATT</v>
      </c>
      <c r="N176" s="97">
        <f t="shared" ref="N176" si="23">IF(E176="MÅ","Nye tiltak",0)</f>
        <v>0</v>
      </c>
      <c r="O176" s="97"/>
    </row>
    <row r="177" spans="1:16" s="36" customFormat="1" x14ac:dyDescent="0.2">
      <c r="A177" s="43"/>
      <c r="B177" s="76" t="str">
        <f t="shared" si="17"/>
        <v/>
      </c>
      <c r="C177" s="383"/>
      <c r="D177" s="70"/>
      <c r="E177" s="69"/>
      <c r="F177" s="215"/>
      <c r="G177" s="215"/>
      <c r="H177" s="215"/>
      <c r="I177" s="215"/>
      <c r="J177" s="412"/>
      <c r="K177" s="26"/>
      <c r="L177" s="26"/>
      <c r="M177" s="97">
        <f>IF(E177="VEDTATT","VEDTATT",0)</f>
        <v>0</v>
      </c>
      <c r="N177" s="97">
        <f>IF(E177="MÅ","Nye tiltak",0)</f>
        <v>0</v>
      </c>
      <c r="O177" s="97"/>
    </row>
    <row r="178" spans="1:16" s="36" customFormat="1" x14ac:dyDescent="0.25">
      <c r="A178" s="43"/>
      <c r="B178" s="76" t="str">
        <f t="shared" si="17"/>
        <v/>
      </c>
      <c r="C178" s="206" t="s">
        <v>236</v>
      </c>
      <c r="D178" s="70"/>
      <c r="E178" s="69"/>
      <c r="F178" s="215"/>
      <c r="G178" s="215"/>
      <c r="H178" s="215"/>
      <c r="I178" s="215"/>
      <c r="J178" s="412"/>
      <c r="K178" s="26"/>
      <c r="L178" s="26"/>
      <c r="M178" s="97">
        <f>IF(E178="VEDTATT","VEDTATT",0)</f>
        <v>0</v>
      </c>
      <c r="N178" s="97">
        <f>IF(E178="MÅ","Nye tiltak",0)</f>
        <v>0</v>
      </c>
      <c r="O178" s="97"/>
    </row>
    <row r="179" spans="1:16" s="36" customFormat="1" x14ac:dyDescent="0.25">
      <c r="A179" s="43" t="s">
        <v>206</v>
      </c>
      <c r="B179" s="76" t="str">
        <f t="shared" si="17"/>
        <v>T18</v>
      </c>
      <c r="C179" s="82" t="s">
        <v>237</v>
      </c>
      <c r="D179" s="70" t="s">
        <v>108</v>
      </c>
      <c r="E179" s="69" t="s">
        <v>46</v>
      </c>
      <c r="F179" s="215">
        <v>60</v>
      </c>
      <c r="G179" s="215">
        <v>60</v>
      </c>
      <c r="H179" s="215">
        <v>60</v>
      </c>
      <c r="I179" s="215">
        <v>60</v>
      </c>
      <c r="J179" s="91" t="s">
        <v>143</v>
      </c>
      <c r="K179" s="26" t="s">
        <v>208</v>
      </c>
      <c r="L179" s="26">
        <f>L176+1</f>
        <v>18</v>
      </c>
      <c r="M179" s="97">
        <f>IF(E179="VEDTATT","VEDTATT",0)</f>
        <v>0</v>
      </c>
      <c r="N179" s="97" t="str">
        <f>IF(E179="MÅ","Nye tiltak",0)</f>
        <v>Nye tiltak</v>
      </c>
      <c r="O179" s="97"/>
    </row>
    <row r="180" spans="1:16" s="36" customFormat="1" x14ac:dyDescent="0.25">
      <c r="A180" s="43" t="s">
        <v>206</v>
      </c>
      <c r="B180" s="76" t="str">
        <f t="shared" si="17"/>
        <v/>
      </c>
      <c r="C180" s="210"/>
      <c r="D180" s="70" t="s">
        <v>108</v>
      </c>
      <c r="E180" s="69"/>
      <c r="F180" s="215"/>
      <c r="G180" s="215"/>
      <c r="H180" s="215"/>
      <c r="I180" s="215"/>
      <c r="J180" s="412"/>
      <c r="K180" s="26"/>
      <c r="L180" s="26"/>
      <c r="M180" s="97">
        <f>IF(E180="VEDTATT","VEDTATT",0)</f>
        <v>0</v>
      </c>
      <c r="N180" s="97">
        <f>IF(E180="MÅ","Nye tiltak",0)</f>
        <v>0</v>
      </c>
      <c r="O180" s="97"/>
    </row>
    <row r="181" spans="1:16" s="36" customFormat="1" x14ac:dyDescent="0.25">
      <c r="A181" s="41"/>
      <c r="B181" s="41" t="s">
        <v>152</v>
      </c>
      <c r="C181" s="3" t="s">
        <v>238</v>
      </c>
      <c r="D181" s="50"/>
      <c r="E181" s="50"/>
      <c r="F181" s="54">
        <f>SUMIF($A:$A,"byte",F:F)</f>
        <v>10605</v>
      </c>
      <c r="G181" s="54">
        <f>SUMIF($A:$A,"byte",G:G)</f>
        <v>13515</v>
      </c>
      <c r="H181" s="54">
        <f>SUMIF($A:$A,"byte",H:H)</f>
        <v>13775</v>
      </c>
      <c r="I181" s="54">
        <f>SUMIF($A:$A,"byte",I:I)</f>
        <v>13835</v>
      </c>
      <c r="J181" s="412"/>
      <c r="K181" s="335"/>
      <c r="L181" s="335"/>
      <c r="M181" s="97"/>
      <c r="N181" s="97"/>
      <c r="O181" s="97"/>
    </row>
    <row r="182" spans="1:16" s="36" customFormat="1" x14ac:dyDescent="0.25">
      <c r="A182"/>
      <c r="B182"/>
      <c r="C182"/>
      <c r="D182"/>
      <c r="E182"/>
      <c r="F182"/>
      <c r="G182"/>
      <c r="H182"/>
      <c r="I182"/>
      <c r="J182" s="412"/>
      <c r="K182" s="26"/>
      <c r="L182" s="26"/>
      <c r="M182" s="97"/>
      <c r="N182" s="97"/>
      <c r="O182" s="97"/>
      <c r="P182" s="26"/>
    </row>
    <row r="183" spans="1:16" s="36" customFormat="1" x14ac:dyDescent="0.25">
      <c r="A183" s="76"/>
      <c r="B183" s="76"/>
      <c r="C183" s="206" t="s">
        <v>12</v>
      </c>
      <c r="D183" s="70"/>
      <c r="E183" s="69"/>
      <c r="F183" s="4">
        <f>F165</f>
        <v>2022</v>
      </c>
      <c r="G183" s="4">
        <f>F183+1</f>
        <v>2023</v>
      </c>
      <c r="H183" s="4">
        <f>G183+1</f>
        <v>2024</v>
      </c>
      <c r="I183" s="4">
        <f>H183+1</f>
        <v>2025</v>
      </c>
      <c r="J183" s="412"/>
      <c r="K183" s="335"/>
      <c r="L183" s="335"/>
      <c r="M183" s="97"/>
      <c r="N183" s="97"/>
      <c r="O183" s="97"/>
      <c r="P183" s="26"/>
    </row>
    <row r="184" spans="1:16" s="36" customFormat="1" x14ac:dyDescent="0.25">
      <c r="A184" s="76" t="s">
        <v>6</v>
      </c>
      <c r="B184" s="76" t="str">
        <f>IF(L184,K184&amp;L184,"")</f>
        <v>O1</v>
      </c>
      <c r="C184" s="82" t="s">
        <v>239</v>
      </c>
      <c r="D184" s="70" t="s">
        <v>105</v>
      </c>
      <c r="E184" s="69" t="s">
        <v>98</v>
      </c>
      <c r="F184" s="68">
        <v>0</v>
      </c>
      <c r="G184" s="68">
        <v>-800</v>
      </c>
      <c r="H184" s="68">
        <v>-800</v>
      </c>
      <c r="I184" s="68">
        <v>-800</v>
      </c>
      <c r="J184" s="412"/>
      <c r="K184" s="26" t="s">
        <v>240</v>
      </c>
      <c r="L184" s="26">
        <v>1</v>
      </c>
      <c r="M184" s="97" t="str">
        <f>IF(E184="VEDTATT","VEDTATT",0)</f>
        <v>VEDTATT</v>
      </c>
      <c r="N184" s="97">
        <f>IF(E184="MÅ","Nye tiltak",0)</f>
        <v>0</v>
      </c>
      <c r="O184" s="97"/>
    </row>
    <row r="185" spans="1:16" s="36" customFormat="1" x14ac:dyDescent="0.25">
      <c r="A185" s="76" t="s">
        <v>6</v>
      </c>
      <c r="B185" s="76" t="str">
        <f>IF(L185,K185&amp;L185,"")</f>
        <v>O2</v>
      </c>
      <c r="C185" s="82" t="s">
        <v>241</v>
      </c>
      <c r="D185" s="70" t="s">
        <v>108</v>
      </c>
      <c r="E185" s="69" t="s">
        <v>46</v>
      </c>
      <c r="F185" s="285"/>
      <c r="G185" s="285">
        <v>5000</v>
      </c>
      <c r="H185" s="285">
        <v>10000</v>
      </c>
      <c r="I185" s="285">
        <v>15000</v>
      </c>
      <c r="J185" s="414" t="s">
        <v>242</v>
      </c>
      <c r="K185" s="26" t="s">
        <v>240</v>
      </c>
      <c r="L185" s="26">
        <f>L184+1</f>
        <v>2</v>
      </c>
      <c r="M185" s="97"/>
      <c r="N185" s="97"/>
      <c r="O185" s="97"/>
      <c r="P185" s="26"/>
    </row>
    <row r="186" spans="1:16" s="36" customFormat="1" x14ac:dyDescent="0.25">
      <c r="A186" s="76" t="s">
        <v>6</v>
      </c>
      <c r="B186" s="76" t="str">
        <f>IF(L186,K186&amp;L186,"")</f>
        <v>O3</v>
      </c>
      <c r="C186" s="82" t="s">
        <v>243</v>
      </c>
      <c r="D186" s="70" t="s">
        <v>108</v>
      </c>
      <c r="E186" s="69" t="s">
        <v>46</v>
      </c>
      <c r="F186" s="285">
        <v>220</v>
      </c>
      <c r="G186" s="285">
        <v>220</v>
      </c>
      <c r="H186" s="285">
        <v>220</v>
      </c>
      <c r="I186" s="285">
        <v>220</v>
      </c>
      <c r="J186" s="412"/>
      <c r="K186" s="26" t="s">
        <v>240</v>
      </c>
      <c r="L186" s="26">
        <f>L185+1</f>
        <v>3</v>
      </c>
      <c r="M186" s="97"/>
      <c r="N186" s="97"/>
      <c r="O186" s="97"/>
      <c r="P186" s="26"/>
    </row>
    <row r="187" spans="1:16" s="36" customFormat="1" x14ac:dyDescent="0.25">
      <c r="A187" s="76" t="s">
        <v>6</v>
      </c>
      <c r="B187" s="76" t="str">
        <f>IF(L187,K187&amp;L187,"")</f>
        <v>O4</v>
      </c>
      <c r="C187" s="82" t="s">
        <v>244</v>
      </c>
      <c r="D187" s="70" t="s">
        <v>108</v>
      </c>
      <c r="E187" s="69" t="s">
        <v>46</v>
      </c>
      <c r="F187" s="285">
        <v>12600</v>
      </c>
      <c r="G187" s="285">
        <v>14300</v>
      </c>
      <c r="H187" s="285">
        <v>7900</v>
      </c>
      <c r="I187" s="285">
        <v>7900</v>
      </c>
      <c r="J187" s="412"/>
      <c r="K187" s="36" t="s">
        <v>240</v>
      </c>
      <c r="L187" s="26">
        <f>L186+1</f>
        <v>4</v>
      </c>
      <c r="M187" s="390"/>
      <c r="N187" s="390"/>
      <c r="O187" s="390"/>
    </row>
    <row r="188" spans="1:16" s="36" customFormat="1" x14ac:dyDescent="0.25">
      <c r="A188" s="76" t="s">
        <v>6</v>
      </c>
      <c r="B188" s="76" t="str">
        <f>IF(L188,K188&amp;L188,"")</f>
        <v>O5</v>
      </c>
      <c r="C188" s="526" t="s">
        <v>245</v>
      </c>
      <c r="D188" s="514" t="s">
        <v>108</v>
      </c>
      <c r="E188" s="515" t="s">
        <v>46</v>
      </c>
      <c r="F188" s="105">
        <v>750</v>
      </c>
      <c r="G188" s="105">
        <v>750</v>
      </c>
      <c r="H188" s="105">
        <v>750</v>
      </c>
      <c r="I188" s="105">
        <v>750</v>
      </c>
      <c r="J188" s="412"/>
      <c r="K188" s="36" t="s">
        <v>240</v>
      </c>
      <c r="L188" s="26">
        <f>L187+1</f>
        <v>5</v>
      </c>
      <c r="M188" s="97"/>
      <c r="N188" s="97"/>
      <c r="O188" s="97"/>
      <c r="P188" s="26"/>
    </row>
    <row r="189" spans="1:16" s="36" customFormat="1" x14ac:dyDescent="0.25">
      <c r="A189" s="45"/>
      <c r="B189" s="45"/>
      <c r="C189" s="243"/>
      <c r="D189" s="212"/>
      <c r="E189" s="109"/>
      <c r="F189" s="68"/>
      <c r="G189" s="68"/>
      <c r="H189" s="68"/>
      <c r="I189" s="68"/>
      <c r="J189" s="412"/>
      <c r="M189" s="97"/>
      <c r="N189" s="97"/>
      <c r="O189" s="97"/>
      <c r="P189" s="26"/>
    </row>
    <row r="190" spans="1:16" s="36" customFormat="1" x14ac:dyDescent="0.25">
      <c r="A190" s="41"/>
      <c r="B190" s="41" t="s">
        <v>152</v>
      </c>
      <c r="C190" s="3" t="s">
        <v>246</v>
      </c>
      <c r="D190" s="50"/>
      <c r="E190" s="50"/>
      <c r="F190" s="54">
        <f>SUMIF($A:$A,"ORG",F:F)</f>
        <v>13570</v>
      </c>
      <c r="G190" s="54">
        <f>SUMIF($A:$A,"ORG",G:G)</f>
        <v>19470</v>
      </c>
      <c r="H190" s="54">
        <f>SUMIF($A:$A,"ORG",H:H)</f>
        <v>18070</v>
      </c>
      <c r="I190" s="54">
        <f>SUMIF($A:$A,"ORG",I:I)</f>
        <v>23070</v>
      </c>
      <c r="J190" s="412"/>
      <c r="K190" s="335"/>
      <c r="L190" s="335"/>
      <c r="M190" s="97"/>
      <c r="N190" s="97"/>
      <c r="O190" s="97"/>
      <c r="P190" s="26"/>
    </row>
    <row r="191" spans="1:16" s="36" customFormat="1" x14ac:dyDescent="0.25">
      <c r="A191" s="45"/>
      <c r="B191" s="45"/>
      <c r="C191" s="9"/>
      <c r="D191" s="47"/>
      <c r="E191" s="47"/>
      <c r="F191" s="55"/>
      <c r="G191" s="55"/>
      <c r="H191" s="55"/>
      <c r="I191" s="55"/>
      <c r="J191" s="412"/>
      <c r="K191" s="26"/>
      <c r="L191" s="26"/>
      <c r="M191" s="97"/>
      <c r="N191" s="97"/>
      <c r="O191" s="97"/>
      <c r="P191" s="26"/>
    </row>
    <row r="192" spans="1:16" s="36" customFormat="1" x14ac:dyDescent="0.25">
      <c r="A192" s="46"/>
      <c r="B192" s="46"/>
      <c r="C192" s="11" t="s">
        <v>13</v>
      </c>
      <c r="D192" s="48"/>
      <c r="E192" s="59"/>
      <c r="F192" s="4">
        <f>F183</f>
        <v>2022</v>
      </c>
      <c r="G192" s="4">
        <f>F192+1</f>
        <v>2023</v>
      </c>
      <c r="H192" s="4">
        <f>G192+1</f>
        <v>2024</v>
      </c>
      <c r="I192" s="4">
        <f>H192+1</f>
        <v>2025</v>
      </c>
      <c r="J192" s="412"/>
      <c r="K192" s="335"/>
      <c r="L192" s="335"/>
      <c r="M192" s="97"/>
      <c r="N192" s="97"/>
      <c r="O192" s="97"/>
      <c r="P192" s="26"/>
    </row>
    <row r="193" spans="1:16" s="36" customFormat="1" x14ac:dyDescent="0.25">
      <c r="A193" s="43" t="s">
        <v>7</v>
      </c>
      <c r="B193" s="43" t="str">
        <f>IF(L193,K193&amp;L193,"")</f>
        <v>Ø1</v>
      </c>
      <c r="C193" s="344" t="s">
        <v>247</v>
      </c>
      <c r="D193" s="70" t="s">
        <v>105</v>
      </c>
      <c r="E193" s="69" t="s">
        <v>98</v>
      </c>
      <c r="F193" s="68">
        <v>0</v>
      </c>
      <c r="G193" s="68">
        <v>-1300</v>
      </c>
      <c r="H193" s="68">
        <v>-1300</v>
      </c>
      <c r="I193" s="68">
        <v>-1300</v>
      </c>
      <c r="J193" s="414"/>
      <c r="K193" s="26" t="s">
        <v>248</v>
      </c>
      <c r="L193" s="26">
        <v>1</v>
      </c>
      <c r="M193" s="97" t="str">
        <f>IF(E193="VEDTATT","VEDTATT",0)</f>
        <v>VEDTATT</v>
      </c>
      <c r="N193" s="97">
        <f>IF(E193="MÅ","Nye tiltak",0)</f>
        <v>0</v>
      </c>
      <c r="O193" s="97"/>
      <c r="P193" s="26"/>
    </row>
    <row r="194" spans="1:16" s="36" customFormat="1" x14ac:dyDescent="0.25">
      <c r="A194" s="43" t="s">
        <v>7</v>
      </c>
      <c r="B194" s="43" t="str">
        <f>IF(L194,K194&amp;L194,"")</f>
        <v>Ø2</v>
      </c>
      <c r="C194" s="345" t="s">
        <v>249</v>
      </c>
      <c r="D194" s="70" t="s">
        <v>105</v>
      </c>
      <c r="E194" s="69" t="s">
        <v>98</v>
      </c>
      <c r="F194" s="68">
        <v>0</v>
      </c>
      <c r="G194" s="68">
        <v>1300</v>
      </c>
      <c r="H194" s="68">
        <v>1300</v>
      </c>
      <c r="I194" s="68">
        <v>1300</v>
      </c>
      <c r="J194" s="414"/>
      <c r="K194" s="26" t="s">
        <v>248</v>
      </c>
      <c r="L194" s="26">
        <f>L193+1</f>
        <v>2</v>
      </c>
      <c r="M194" s="97" t="str">
        <f>IF(E194="VEDTATT","VEDTATT",0)</f>
        <v>VEDTATT</v>
      </c>
      <c r="N194" s="97">
        <f>IF(E194="MÅ","Nye tiltak",0)</f>
        <v>0</v>
      </c>
      <c r="O194" s="97"/>
      <c r="P194" s="26"/>
    </row>
    <row r="195" spans="1:16" s="36" customFormat="1" x14ac:dyDescent="0.25">
      <c r="A195" s="43" t="s">
        <v>7</v>
      </c>
      <c r="B195" s="43" t="str">
        <f>IF(L195,K195&amp;L195,"")</f>
        <v>Ø3</v>
      </c>
      <c r="C195" s="344" t="s">
        <v>250</v>
      </c>
      <c r="D195" s="77" t="s">
        <v>108</v>
      </c>
      <c r="E195" s="69" t="s">
        <v>46</v>
      </c>
      <c r="F195" s="189">
        <v>550</v>
      </c>
      <c r="G195" s="189">
        <v>550</v>
      </c>
      <c r="H195" s="189">
        <v>550</v>
      </c>
      <c r="I195" s="189">
        <v>550</v>
      </c>
      <c r="J195" s="92" t="s">
        <v>251</v>
      </c>
      <c r="K195" s="26" t="s">
        <v>248</v>
      </c>
      <c r="L195" s="26">
        <f>L194+1</f>
        <v>3</v>
      </c>
      <c r="M195" s="97">
        <f>IF(E195="VEDTATT","VEDTATT",0)</f>
        <v>0</v>
      </c>
      <c r="N195" s="97" t="str">
        <f>IF(E195="MÅ","Nye tiltak",0)</f>
        <v>Nye tiltak</v>
      </c>
      <c r="O195" s="97"/>
      <c r="P195" s="26"/>
    </row>
    <row r="196" spans="1:16" s="36" customFormat="1" x14ac:dyDescent="0.25">
      <c r="A196" s="43" t="s">
        <v>7</v>
      </c>
      <c r="B196" s="43" t="str">
        <f>IF(L196,K196&amp;L196,"")</f>
        <v>Ø4</v>
      </c>
      <c r="C196" s="344" t="s">
        <v>252</v>
      </c>
      <c r="D196" s="70" t="s">
        <v>108</v>
      </c>
      <c r="E196" s="69" t="s">
        <v>46</v>
      </c>
      <c r="F196" s="68">
        <v>-600</v>
      </c>
      <c r="G196" s="68">
        <v>-600</v>
      </c>
      <c r="H196" s="68">
        <v>-600</v>
      </c>
      <c r="I196" s="68">
        <v>-600</v>
      </c>
      <c r="J196" s="92" t="s">
        <v>253</v>
      </c>
      <c r="K196" s="26" t="s">
        <v>248</v>
      </c>
      <c r="L196" s="26">
        <f>L195+1</f>
        <v>4</v>
      </c>
      <c r="M196" s="97">
        <f>IF(E196="VEDTATT","VEDTATT",0)</f>
        <v>0</v>
      </c>
      <c r="N196" s="97" t="str">
        <f>IF(E196="MÅ","Nye tiltak",0)</f>
        <v>Nye tiltak</v>
      </c>
      <c r="O196" s="97"/>
      <c r="P196" s="26"/>
    </row>
    <row r="197" spans="1:16" s="36" customFormat="1" x14ac:dyDescent="0.25">
      <c r="A197" s="41"/>
      <c r="B197" s="41" t="s">
        <v>152</v>
      </c>
      <c r="C197" s="3" t="s">
        <v>254</v>
      </c>
      <c r="D197" s="50"/>
      <c r="E197" s="50"/>
      <c r="F197" s="54">
        <f>SUMIF($A:$A,"ØK",F:F)</f>
        <v>-50</v>
      </c>
      <c r="G197" s="54">
        <f>SUMIF($A:$A,"ØK",G:G)</f>
        <v>-50</v>
      </c>
      <c r="H197" s="54">
        <f>SUMIF($A:$A,"ØK",H:H)</f>
        <v>-50</v>
      </c>
      <c r="I197" s="54">
        <f>SUMIF($A:$A,"ØK",I:I)</f>
        <v>-50</v>
      </c>
      <c r="J197" s="412"/>
      <c r="K197" s="335"/>
      <c r="L197" s="335"/>
      <c r="M197" s="97"/>
      <c r="N197" s="97"/>
      <c r="O197" s="97"/>
      <c r="P197" s="26"/>
    </row>
    <row r="198" spans="1:16" s="36" customFormat="1" x14ac:dyDescent="0.25">
      <c r="A198" s="45"/>
      <c r="B198" s="45"/>
      <c r="C198" s="9"/>
      <c r="D198" s="47"/>
      <c r="E198" s="47"/>
      <c r="F198" s="55"/>
      <c r="G198" s="55"/>
      <c r="H198" s="55"/>
      <c r="I198" s="55"/>
      <c r="J198" s="412"/>
      <c r="K198" s="26"/>
      <c r="L198" s="26"/>
      <c r="M198" s="97"/>
      <c r="N198" s="97"/>
      <c r="O198" s="97"/>
      <c r="P198" s="26"/>
    </row>
    <row r="199" spans="1:16" s="36" customFormat="1" x14ac:dyDescent="0.25">
      <c r="A199" s="46"/>
      <c r="B199" s="46"/>
      <c r="C199" s="11" t="s">
        <v>255</v>
      </c>
      <c r="D199" s="48"/>
      <c r="E199" s="59"/>
      <c r="F199" s="56"/>
      <c r="G199" s="56"/>
      <c r="H199" s="56"/>
      <c r="I199" s="56"/>
      <c r="J199" s="412"/>
      <c r="M199" s="97"/>
      <c r="N199" s="97"/>
      <c r="O199" s="97"/>
      <c r="P199" s="26"/>
    </row>
    <row r="200" spans="1:16" s="36" customFormat="1" x14ac:dyDescent="0.25">
      <c r="A200" s="247"/>
      <c r="B200" s="247"/>
      <c r="C200" s="80" t="s">
        <v>256</v>
      </c>
      <c r="D200" s="81"/>
      <c r="E200" s="69"/>
      <c r="F200" s="4">
        <f>F192</f>
        <v>2022</v>
      </c>
      <c r="G200" s="4">
        <f>F200+1</f>
        <v>2023</v>
      </c>
      <c r="H200" s="4">
        <f>G200+1</f>
        <v>2024</v>
      </c>
      <c r="I200" s="4">
        <f>H200+1</f>
        <v>2025</v>
      </c>
      <c r="J200" s="412"/>
      <c r="K200" s="335"/>
      <c r="L200" s="335"/>
      <c r="M200" s="97"/>
      <c r="N200" s="97"/>
      <c r="O200" s="97"/>
      <c r="P200" s="26"/>
    </row>
    <row r="201" spans="1:16" s="36" customFormat="1" x14ac:dyDescent="0.25">
      <c r="A201" s="70" t="s">
        <v>8</v>
      </c>
      <c r="B201" s="76"/>
      <c r="C201" s="243"/>
      <c r="D201" s="77"/>
      <c r="E201" s="69"/>
      <c r="F201" s="189"/>
      <c r="G201" s="189"/>
      <c r="H201" s="189"/>
      <c r="I201" s="189"/>
      <c r="J201" s="414"/>
      <c r="K201" s="26" t="s">
        <v>257</v>
      </c>
      <c r="L201" s="26"/>
      <c r="M201" s="97">
        <f>IF(E201="VEDTATT","VEDTATT",0)</f>
        <v>0</v>
      </c>
      <c r="N201" s="97">
        <f>IF(E201="MÅ","Nye tiltak",0)</f>
        <v>0</v>
      </c>
      <c r="O201" s="97"/>
      <c r="P201" s="26"/>
    </row>
    <row r="202" spans="1:16" s="36" customFormat="1" x14ac:dyDescent="0.25">
      <c r="A202" s="402"/>
      <c r="B202" s="465" t="str">
        <f t="shared" ref="B202:B239" si="24">IF(L202,K202&amp;L202,"")</f>
        <v/>
      </c>
      <c r="C202" s="530" t="s">
        <v>258</v>
      </c>
      <c r="D202" s="429"/>
      <c r="E202" s="403"/>
      <c r="F202" s="531">
        <f>F200</f>
        <v>2022</v>
      </c>
      <c r="G202" s="531">
        <f>F202+1</f>
        <v>2023</v>
      </c>
      <c r="H202" s="531">
        <f>G202+1</f>
        <v>2024</v>
      </c>
      <c r="I202" s="531">
        <f>H202+1</f>
        <v>2025</v>
      </c>
      <c r="J202" s="412"/>
      <c r="K202" s="335"/>
      <c r="L202" s="335"/>
      <c r="M202" s="97"/>
      <c r="N202" s="97"/>
      <c r="O202" s="97"/>
      <c r="P202" s="26"/>
    </row>
    <row r="203" spans="1:16" s="36" customFormat="1" ht="25.5" x14ac:dyDescent="0.25">
      <c r="A203" s="402" t="s">
        <v>8</v>
      </c>
      <c r="B203" s="465" t="str">
        <f t="shared" si="24"/>
        <v>F1</v>
      </c>
      <c r="C203" s="401" t="s">
        <v>259</v>
      </c>
      <c r="D203" s="402" t="s">
        <v>105</v>
      </c>
      <c r="E203" s="403" t="s">
        <v>98</v>
      </c>
      <c r="F203" s="253">
        <v>-35</v>
      </c>
      <c r="G203" s="253">
        <v>-65</v>
      </c>
      <c r="H203" s="253">
        <v>-65</v>
      </c>
      <c r="I203" s="253">
        <v>-65</v>
      </c>
      <c r="J203" s="414" t="s">
        <v>260</v>
      </c>
      <c r="K203" s="26" t="s">
        <v>257</v>
      </c>
      <c r="L203" s="26">
        <v>1</v>
      </c>
      <c r="M203" s="97" t="str">
        <f t="shared" ref="M203:M217" si="25">IF(E203="VEDTATT","VEDTATT",0)</f>
        <v>VEDTATT</v>
      </c>
      <c r="N203" s="97">
        <f t="shared" ref="N203:N217" si="26">IF(E203="MÅ","Nye tiltak",0)</f>
        <v>0</v>
      </c>
      <c r="O203" s="97"/>
      <c r="P203" s="26"/>
    </row>
    <row r="204" spans="1:16" s="36" customFormat="1" ht="25.5" x14ac:dyDescent="0.25">
      <c r="A204" s="402" t="s">
        <v>8</v>
      </c>
      <c r="B204" s="465" t="str">
        <f t="shared" si="24"/>
        <v>F2</v>
      </c>
      <c r="C204" s="401" t="s">
        <v>261</v>
      </c>
      <c r="D204" s="402" t="s">
        <v>105</v>
      </c>
      <c r="E204" s="403" t="s">
        <v>98</v>
      </c>
      <c r="F204" s="253">
        <v>-1000</v>
      </c>
      <c r="G204" s="253">
        <v>-1000</v>
      </c>
      <c r="H204" s="253">
        <v>-1000</v>
      </c>
      <c r="I204" s="253">
        <v>-1000</v>
      </c>
      <c r="J204" s="414" t="s">
        <v>262</v>
      </c>
      <c r="K204" s="26" t="s">
        <v>257</v>
      </c>
      <c r="L204" s="26">
        <f t="shared" ref="L204" si="27">L203+1</f>
        <v>2</v>
      </c>
      <c r="M204" s="97" t="str">
        <f t="shared" si="25"/>
        <v>VEDTATT</v>
      </c>
      <c r="N204" s="97">
        <f t="shared" si="26"/>
        <v>0</v>
      </c>
      <c r="O204" s="97"/>
      <c r="P204" s="26"/>
    </row>
    <row r="205" spans="1:16" s="36" customFormat="1" x14ac:dyDescent="0.25">
      <c r="A205" s="402" t="s">
        <v>8</v>
      </c>
      <c r="B205" s="465" t="str">
        <f>IF(L205,K205&amp;L205,"")</f>
        <v>F3</v>
      </c>
      <c r="C205" s="423" t="s">
        <v>281</v>
      </c>
      <c r="D205" s="226" t="s">
        <v>108</v>
      </c>
      <c r="E205" s="229" t="s">
        <v>46</v>
      </c>
      <c r="F205" s="506">
        <v>2068</v>
      </c>
      <c r="G205" s="506">
        <v>1940</v>
      </c>
      <c r="H205" s="506">
        <v>1850</v>
      </c>
      <c r="I205" s="506">
        <v>1709</v>
      </c>
      <c r="J205" s="505" t="s">
        <v>738</v>
      </c>
      <c r="K205" s="26" t="s">
        <v>257</v>
      </c>
      <c r="L205" s="26">
        <f t="shared" ref="L205:L220" si="28">L204+1</f>
        <v>3</v>
      </c>
      <c r="M205" s="97"/>
      <c r="N205" s="97"/>
      <c r="O205" s="97"/>
      <c r="P205" s="26"/>
    </row>
    <row r="206" spans="1:16" s="36" customFormat="1" ht="25.5" x14ac:dyDescent="0.25">
      <c r="A206" s="402" t="s">
        <v>8</v>
      </c>
      <c r="B206" s="465" t="str">
        <f t="shared" si="24"/>
        <v>F4</v>
      </c>
      <c r="C206" s="532" t="s">
        <v>736</v>
      </c>
      <c r="D206" s="402" t="s">
        <v>105</v>
      </c>
      <c r="E206" s="403" t="s">
        <v>98</v>
      </c>
      <c r="F206" s="253">
        <v>-1000</v>
      </c>
      <c r="G206" s="253">
        <v>-1000</v>
      </c>
      <c r="H206" s="253">
        <v>-1000</v>
      </c>
      <c r="I206" s="253">
        <v>-1000</v>
      </c>
      <c r="J206" s="414"/>
      <c r="K206" s="26" t="s">
        <v>257</v>
      </c>
      <c r="L206" s="26">
        <f t="shared" si="28"/>
        <v>4</v>
      </c>
      <c r="M206" s="97" t="str">
        <f t="shared" si="25"/>
        <v>VEDTATT</v>
      </c>
      <c r="N206" s="97">
        <f t="shared" si="26"/>
        <v>0</v>
      </c>
      <c r="O206" s="97"/>
      <c r="P206" s="26"/>
    </row>
    <row r="207" spans="1:16" s="36" customFormat="1" ht="25.5" x14ac:dyDescent="0.25">
      <c r="A207" s="402" t="s">
        <v>8</v>
      </c>
      <c r="B207" s="465" t="str">
        <f t="shared" si="24"/>
        <v>F5</v>
      </c>
      <c r="C207" s="401" t="s">
        <v>737</v>
      </c>
      <c r="D207" s="402" t="s">
        <v>105</v>
      </c>
      <c r="E207" s="403" t="s">
        <v>98</v>
      </c>
      <c r="F207" s="253">
        <v>1800</v>
      </c>
      <c r="G207" s="253">
        <v>3100</v>
      </c>
      <c r="H207" s="253">
        <v>3100</v>
      </c>
      <c r="I207" s="253">
        <v>3100</v>
      </c>
      <c r="J207" s="414" t="s">
        <v>263</v>
      </c>
      <c r="K207" s="26" t="s">
        <v>257</v>
      </c>
      <c r="L207" s="26">
        <f t="shared" si="28"/>
        <v>5</v>
      </c>
      <c r="M207" s="97" t="str">
        <f t="shared" si="25"/>
        <v>VEDTATT</v>
      </c>
      <c r="N207" s="97">
        <f t="shared" si="26"/>
        <v>0</v>
      </c>
      <c r="O207" s="97"/>
      <c r="P207" s="26"/>
    </row>
    <row r="208" spans="1:16" s="36" customFormat="1" x14ac:dyDescent="0.25">
      <c r="A208" s="402" t="s">
        <v>8</v>
      </c>
      <c r="B208" s="465" t="str">
        <f>IF(L208,K208&amp;L208,"")</f>
        <v>F6</v>
      </c>
      <c r="C208" s="423" t="s">
        <v>739</v>
      </c>
      <c r="D208" s="226" t="s">
        <v>108</v>
      </c>
      <c r="E208" s="229" t="s">
        <v>46</v>
      </c>
      <c r="F208" s="288">
        <v>7246</v>
      </c>
      <c r="G208" s="288">
        <v>8746</v>
      </c>
      <c r="H208" s="288">
        <v>6460</v>
      </c>
      <c r="I208" s="288">
        <v>5978</v>
      </c>
      <c r="J208" s="505" t="s">
        <v>738</v>
      </c>
      <c r="K208" s="26" t="s">
        <v>257</v>
      </c>
      <c r="L208" s="26">
        <f t="shared" si="28"/>
        <v>6</v>
      </c>
      <c r="M208" s="97"/>
      <c r="N208" s="97"/>
      <c r="O208" s="97"/>
      <c r="P208" s="26"/>
    </row>
    <row r="209" spans="1:16" s="36" customFormat="1" x14ac:dyDescent="0.25">
      <c r="A209" s="402" t="s">
        <v>8</v>
      </c>
      <c r="B209" s="465" t="str">
        <f t="shared" si="24"/>
        <v>F7</v>
      </c>
      <c r="C209" s="401" t="s">
        <v>264</v>
      </c>
      <c r="D209" s="402" t="s">
        <v>105</v>
      </c>
      <c r="E209" s="403" t="s">
        <v>98</v>
      </c>
      <c r="F209" s="253">
        <v>-470</v>
      </c>
      <c r="G209" s="253">
        <v>-1515</v>
      </c>
      <c r="H209" s="253">
        <v>-2090</v>
      </c>
      <c r="I209" s="253">
        <v>-2090</v>
      </c>
      <c r="J209" s="91"/>
      <c r="K209" s="26" t="s">
        <v>257</v>
      </c>
      <c r="L209" s="26">
        <f t="shared" si="28"/>
        <v>7</v>
      </c>
      <c r="M209" s="97" t="str">
        <f t="shared" si="25"/>
        <v>VEDTATT</v>
      </c>
      <c r="N209" s="97">
        <f t="shared" si="26"/>
        <v>0</v>
      </c>
      <c r="O209" s="97"/>
      <c r="P209" s="26"/>
    </row>
    <row r="210" spans="1:16" s="36" customFormat="1" x14ac:dyDescent="0.25">
      <c r="A210" s="402" t="s">
        <v>8</v>
      </c>
      <c r="B210" s="465" t="str">
        <f t="shared" si="24"/>
        <v>F8</v>
      </c>
      <c r="C210" s="401" t="s">
        <v>265</v>
      </c>
      <c r="D210" s="402" t="s">
        <v>108</v>
      </c>
      <c r="E210" s="403" t="s">
        <v>46</v>
      </c>
      <c r="F210" s="253">
        <v>109000</v>
      </c>
      <c r="G210" s="253">
        <v>109000</v>
      </c>
      <c r="H210" s="253">
        <v>109000</v>
      </c>
      <c r="I210" s="253">
        <v>109000</v>
      </c>
      <c r="J210" s="414" t="s">
        <v>266</v>
      </c>
      <c r="K210" s="26" t="s">
        <v>257</v>
      </c>
      <c r="L210" s="26">
        <f t="shared" si="28"/>
        <v>8</v>
      </c>
      <c r="M210" s="97">
        <f t="shared" si="25"/>
        <v>0</v>
      </c>
      <c r="N210" s="97" t="str">
        <f t="shared" si="26"/>
        <v>Nye tiltak</v>
      </c>
      <c r="O210" s="97"/>
      <c r="P210" s="26"/>
    </row>
    <row r="211" spans="1:16" s="36" customFormat="1" x14ac:dyDescent="0.25">
      <c r="A211" s="402" t="s">
        <v>8</v>
      </c>
      <c r="B211" s="465" t="str">
        <f t="shared" si="24"/>
        <v>F9</v>
      </c>
      <c r="C211" s="401" t="s">
        <v>267</v>
      </c>
      <c r="D211" s="402" t="s">
        <v>108</v>
      </c>
      <c r="E211" s="403" t="s">
        <v>46</v>
      </c>
      <c r="F211" s="253">
        <v>246</v>
      </c>
      <c r="G211" s="253">
        <v>246</v>
      </c>
      <c r="H211" s="253">
        <v>246</v>
      </c>
      <c r="I211" s="253">
        <v>246</v>
      </c>
      <c r="J211" s="414" t="s">
        <v>268</v>
      </c>
      <c r="K211" s="26" t="s">
        <v>257</v>
      </c>
      <c r="L211" s="26">
        <f t="shared" si="28"/>
        <v>9</v>
      </c>
      <c r="M211" s="97">
        <f t="shared" si="25"/>
        <v>0</v>
      </c>
      <c r="N211" s="97" t="str">
        <f t="shared" si="26"/>
        <v>Nye tiltak</v>
      </c>
      <c r="O211" s="97"/>
      <c r="P211" s="26"/>
    </row>
    <row r="212" spans="1:16" s="36" customFormat="1" x14ac:dyDescent="0.25">
      <c r="A212" s="402" t="s">
        <v>8</v>
      </c>
      <c r="B212" s="465" t="str">
        <f t="shared" si="24"/>
        <v>F10</v>
      </c>
      <c r="C212" s="401" t="s">
        <v>269</v>
      </c>
      <c r="D212" s="402" t="s">
        <v>108</v>
      </c>
      <c r="E212" s="403" t="s">
        <v>46</v>
      </c>
      <c r="F212" s="253">
        <v>200</v>
      </c>
      <c r="G212" s="253">
        <v>200</v>
      </c>
      <c r="H212" s="253">
        <v>200</v>
      </c>
      <c r="I212" s="253">
        <v>200</v>
      </c>
      <c r="J212" s="91" t="s">
        <v>143</v>
      </c>
      <c r="K212" s="26" t="s">
        <v>257</v>
      </c>
      <c r="L212" s="26">
        <f t="shared" si="28"/>
        <v>10</v>
      </c>
      <c r="M212" s="97">
        <f t="shared" si="25"/>
        <v>0</v>
      </c>
      <c r="N212" s="97" t="str">
        <f t="shared" si="26"/>
        <v>Nye tiltak</v>
      </c>
      <c r="O212" s="97"/>
      <c r="P212" s="26"/>
    </row>
    <row r="213" spans="1:16" s="36" customFormat="1" x14ac:dyDescent="0.25">
      <c r="A213" s="402" t="s">
        <v>8</v>
      </c>
      <c r="B213" s="465" t="str">
        <f t="shared" si="24"/>
        <v>F11</v>
      </c>
      <c r="C213" s="401" t="s">
        <v>270</v>
      </c>
      <c r="D213" s="402" t="s">
        <v>108</v>
      </c>
      <c r="E213" s="403" t="s">
        <v>46</v>
      </c>
      <c r="F213" s="253">
        <v>494</v>
      </c>
      <c r="G213" s="253">
        <v>494</v>
      </c>
      <c r="H213" s="253">
        <v>494</v>
      </c>
      <c r="I213" s="253">
        <v>494</v>
      </c>
      <c r="J213" s="91" t="s">
        <v>143</v>
      </c>
      <c r="K213" s="26" t="s">
        <v>257</v>
      </c>
      <c r="L213" s="26">
        <f t="shared" si="28"/>
        <v>11</v>
      </c>
      <c r="M213" s="97">
        <f t="shared" si="25"/>
        <v>0</v>
      </c>
      <c r="N213" s="97" t="str">
        <f t="shared" si="26"/>
        <v>Nye tiltak</v>
      </c>
      <c r="O213" s="97"/>
      <c r="P213" s="26"/>
    </row>
    <row r="214" spans="1:16" s="36" customFormat="1" x14ac:dyDescent="0.25">
      <c r="A214" s="402" t="s">
        <v>8</v>
      </c>
      <c r="B214" s="465" t="str">
        <f t="shared" si="24"/>
        <v>F12</v>
      </c>
      <c r="C214" s="533" t="s">
        <v>271</v>
      </c>
      <c r="D214" s="226" t="s">
        <v>108</v>
      </c>
      <c r="E214" s="229" t="s">
        <v>46</v>
      </c>
      <c r="F214" s="288">
        <v>15188</v>
      </c>
      <c r="G214" s="288">
        <v>15188</v>
      </c>
      <c r="H214" s="288">
        <v>15188</v>
      </c>
      <c r="I214" s="288">
        <v>15188</v>
      </c>
      <c r="J214" s="505" t="s">
        <v>738</v>
      </c>
      <c r="K214" s="26" t="s">
        <v>257</v>
      </c>
      <c r="L214" s="26">
        <f t="shared" si="28"/>
        <v>12</v>
      </c>
      <c r="M214" s="97">
        <f t="shared" si="25"/>
        <v>0</v>
      </c>
      <c r="N214" s="97" t="str">
        <f t="shared" si="26"/>
        <v>Nye tiltak</v>
      </c>
      <c r="O214" s="97"/>
      <c r="P214" s="26"/>
    </row>
    <row r="215" spans="1:16" s="36" customFormat="1" x14ac:dyDescent="0.25">
      <c r="A215" s="402" t="s">
        <v>8</v>
      </c>
      <c r="B215" s="465" t="str">
        <f t="shared" si="24"/>
        <v>F13</v>
      </c>
      <c r="C215" s="401" t="s">
        <v>272</v>
      </c>
      <c r="D215" s="402" t="s">
        <v>108</v>
      </c>
      <c r="E215" s="403" t="s">
        <v>46</v>
      </c>
      <c r="F215" s="253">
        <v>1936</v>
      </c>
      <c r="G215" s="253">
        <v>1936</v>
      </c>
      <c r="H215" s="253">
        <v>1936</v>
      </c>
      <c r="I215" s="253">
        <v>1936</v>
      </c>
      <c r="J215" s="424"/>
      <c r="K215" s="26" t="s">
        <v>257</v>
      </c>
      <c r="L215" s="26">
        <f t="shared" si="28"/>
        <v>13</v>
      </c>
      <c r="M215" s="97">
        <f t="shared" si="25"/>
        <v>0</v>
      </c>
      <c r="N215" s="97" t="str">
        <f t="shared" si="26"/>
        <v>Nye tiltak</v>
      </c>
      <c r="O215" s="97"/>
      <c r="P215" s="26"/>
    </row>
    <row r="216" spans="1:16" s="36" customFormat="1" x14ac:dyDescent="0.25">
      <c r="A216" s="402" t="s">
        <v>8</v>
      </c>
      <c r="B216" s="465" t="str">
        <f t="shared" si="24"/>
        <v>F14</v>
      </c>
      <c r="C216" s="401" t="s">
        <v>273</v>
      </c>
      <c r="D216" s="402" t="s">
        <v>108</v>
      </c>
      <c r="E216" s="403" t="s">
        <v>46</v>
      </c>
      <c r="F216" s="253">
        <v>1880</v>
      </c>
      <c r="G216" s="253">
        <v>1880</v>
      </c>
      <c r="H216" s="253">
        <v>1880</v>
      </c>
      <c r="I216" s="253">
        <v>1880</v>
      </c>
      <c r="J216" s="414" t="s">
        <v>274</v>
      </c>
      <c r="K216" s="26" t="s">
        <v>257</v>
      </c>
      <c r="L216" s="26">
        <f t="shared" si="28"/>
        <v>14</v>
      </c>
      <c r="M216" s="97">
        <f t="shared" si="25"/>
        <v>0</v>
      </c>
      <c r="N216" s="97" t="str">
        <f t="shared" si="26"/>
        <v>Nye tiltak</v>
      </c>
      <c r="O216" s="97"/>
      <c r="P216" s="26"/>
    </row>
    <row r="217" spans="1:16" s="36" customFormat="1" ht="25.5" x14ac:dyDescent="0.25">
      <c r="A217" s="402" t="s">
        <v>8</v>
      </c>
      <c r="B217" s="465" t="str">
        <f t="shared" si="24"/>
        <v>F15</v>
      </c>
      <c r="C217" s="401" t="s">
        <v>275</v>
      </c>
      <c r="D217" s="402" t="s">
        <v>108</v>
      </c>
      <c r="E217" s="403" t="s">
        <v>46</v>
      </c>
      <c r="F217" s="253">
        <v>-1880</v>
      </c>
      <c r="G217" s="253"/>
      <c r="H217" s="253"/>
      <c r="I217" s="253"/>
      <c r="J217" s="414" t="s">
        <v>276</v>
      </c>
      <c r="K217" s="26" t="s">
        <v>257</v>
      </c>
      <c r="L217" s="26">
        <f t="shared" si="28"/>
        <v>15</v>
      </c>
      <c r="M217" s="97">
        <f t="shared" si="25"/>
        <v>0</v>
      </c>
      <c r="N217" s="97" t="str">
        <f t="shared" si="26"/>
        <v>Nye tiltak</v>
      </c>
      <c r="O217" s="97"/>
      <c r="P217" s="26"/>
    </row>
    <row r="218" spans="1:16" s="36" customFormat="1" x14ac:dyDescent="0.25">
      <c r="A218" s="402" t="s">
        <v>8</v>
      </c>
      <c r="B218" s="465" t="str">
        <f t="shared" si="24"/>
        <v>F16</v>
      </c>
      <c r="C218" s="396" t="s">
        <v>279</v>
      </c>
      <c r="D218" s="402" t="s">
        <v>108</v>
      </c>
      <c r="E218" s="403" t="s">
        <v>46</v>
      </c>
      <c r="F218" s="253">
        <v>450</v>
      </c>
      <c r="G218" s="253">
        <v>450</v>
      </c>
      <c r="H218" s="253">
        <v>450</v>
      </c>
      <c r="I218" s="253">
        <v>450</v>
      </c>
      <c r="J218" s="414" t="s">
        <v>280</v>
      </c>
      <c r="K218" s="26" t="s">
        <v>257</v>
      </c>
      <c r="L218" s="26">
        <f t="shared" si="28"/>
        <v>16</v>
      </c>
      <c r="M218" s="97"/>
      <c r="N218" s="97"/>
      <c r="O218" s="97"/>
      <c r="P218" s="26"/>
    </row>
    <row r="219" spans="1:16" s="36" customFormat="1" x14ac:dyDescent="0.25">
      <c r="A219" s="402" t="s">
        <v>8</v>
      </c>
      <c r="B219" s="465" t="str">
        <f t="shared" si="24"/>
        <v>F17</v>
      </c>
      <c r="C219" s="401" t="s">
        <v>283</v>
      </c>
      <c r="D219" s="402" t="s">
        <v>108</v>
      </c>
      <c r="E219" s="403" t="s">
        <v>46</v>
      </c>
      <c r="F219" s="527">
        <v>550</v>
      </c>
      <c r="G219" s="527">
        <v>550</v>
      </c>
      <c r="H219" s="527">
        <v>550</v>
      </c>
      <c r="I219" s="527">
        <v>550</v>
      </c>
      <c r="J219" s="505"/>
      <c r="K219" s="26" t="s">
        <v>257</v>
      </c>
      <c r="L219" s="26">
        <f t="shared" si="28"/>
        <v>17</v>
      </c>
      <c r="M219" s="97"/>
      <c r="N219" s="97"/>
      <c r="O219" s="97"/>
      <c r="P219" s="26"/>
    </row>
    <row r="220" spans="1:16" s="36" customFormat="1" x14ac:dyDescent="0.25">
      <c r="A220" s="402" t="s">
        <v>8</v>
      </c>
      <c r="B220" s="465" t="str">
        <f t="shared" si="24"/>
        <v>F18</v>
      </c>
      <c r="C220" s="401" t="s">
        <v>285</v>
      </c>
      <c r="D220" s="402" t="s">
        <v>108</v>
      </c>
      <c r="E220" s="403" t="s">
        <v>46</v>
      </c>
      <c r="F220" s="527">
        <v>850</v>
      </c>
      <c r="G220" s="527">
        <v>850</v>
      </c>
      <c r="H220" s="527">
        <v>850</v>
      </c>
      <c r="I220" s="527">
        <v>850</v>
      </c>
      <c r="J220" s="505"/>
      <c r="K220" s="26" t="s">
        <v>257</v>
      </c>
      <c r="L220" s="26">
        <f t="shared" si="28"/>
        <v>18</v>
      </c>
      <c r="M220" s="97">
        <f>IF(E220="VEDTATT","VEDTATT",0)</f>
        <v>0</v>
      </c>
      <c r="N220" s="97" t="str">
        <f>IF(E220="MÅ","Nye tiltak",0)</f>
        <v>Nye tiltak</v>
      </c>
      <c r="O220" s="97"/>
      <c r="P220" s="26"/>
    </row>
    <row r="221" spans="1:16" s="36" customFormat="1" x14ac:dyDescent="0.25">
      <c r="A221" s="70"/>
      <c r="B221" s="76" t="str">
        <f t="shared" si="24"/>
        <v/>
      </c>
      <c r="C221" s="80" t="s">
        <v>287</v>
      </c>
      <c r="D221" s="81"/>
      <c r="E221" s="69"/>
      <c r="F221" s="4">
        <f>F202</f>
        <v>2022</v>
      </c>
      <c r="G221" s="4">
        <f>F221+1</f>
        <v>2023</v>
      </c>
      <c r="H221" s="4">
        <f>G221+1</f>
        <v>2024</v>
      </c>
      <c r="I221" s="4">
        <f>H221+1</f>
        <v>2025</v>
      </c>
      <c r="J221" s="412"/>
      <c r="K221" s="335"/>
      <c r="L221" s="335"/>
      <c r="M221" s="97"/>
      <c r="N221" s="97"/>
      <c r="O221" s="97"/>
      <c r="P221" s="26"/>
    </row>
    <row r="222" spans="1:16" s="36" customFormat="1" x14ac:dyDescent="0.25">
      <c r="A222" s="70" t="s">
        <v>8</v>
      </c>
      <c r="B222" s="76" t="str">
        <f t="shared" si="24"/>
        <v>F19</v>
      </c>
      <c r="C222" s="36" t="s">
        <v>288</v>
      </c>
      <c r="D222" s="70" t="s">
        <v>97</v>
      </c>
      <c r="E222" s="69" t="s">
        <v>98</v>
      </c>
      <c r="F222" s="68"/>
      <c r="G222" s="189">
        <v>2430</v>
      </c>
      <c r="H222" s="189"/>
      <c r="I222" s="189">
        <v>2430</v>
      </c>
      <c r="J222" s="412"/>
      <c r="K222" s="26" t="s">
        <v>257</v>
      </c>
      <c r="L222" s="26">
        <f>L220+1</f>
        <v>19</v>
      </c>
      <c r="M222" s="97" t="str">
        <f>IF(E222="VEDTATT","VEDTATT",0)</f>
        <v>VEDTATT</v>
      </c>
      <c r="N222" s="97">
        <f>IF(E222="MÅ","Nye tiltak",0)</f>
        <v>0</v>
      </c>
      <c r="O222" s="97"/>
      <c r="P222" s="26"/>
    </row>
    <row r="223" spans="1:16" s="36" customFormat="1" x14ac:dyDescent="0.25">
      <c r="A223" s="70" t="s">
        <v>8</v>
      </c>
      <c r="B223" s="76" t="str">
        <f t="shared" si="24"/>
        <v>F20</v>
      </c>
      <c r="C223" s="293" t="s">
        <v>289</v>
      </c>
      <c r="D223" s="70" t="s">
        <v>97</v>
      </c>
      <c r="E223" s="69" t="s">
        <v>98</v>
      </c>
      <c r="F223" s="68"/>
      <c r="G223" s="189">
        <v>400</v>
      </c>
      <c r="H223" s="189"/>
      <c r="I223" s="189">
        <v>400</v>
      </c>
      <c r="J223" s="412"/>
      <c r="K223" s="26" t="s">
        <v>257</v>
      </c>
      <c r="L223" s="26">
        <f t="shared" ref="L223:L226" si="29">+L222+1</f>
        <v>20</v>
      </c>
      <c r="M223" s="97" t="str">
        <f>IF(E223="VEDTATT","VEDTATT",0)</f>
        <v>VEDTATT</v>
      </c>
      <c r="N223" s="97">
        <f>IF(E223="MÅ","Nye tiltak",0)</f>
        <v>0</v>
      </c>
      <c r="O223" s="97"/>
      <c r="P223" s="26"/>
    </row>
    <row r="224" spans="1:16" s="36" customFormat="1" x14ac:dyDescent="0.25">
      <c r="A224" s="70" t="s">
        <v>8</v>
      </c>
      <c r="B224" s="76" t="str">
        <f t="shared" si="24"/>
        <v>F21</v>
      </c>
      <c r="C224" s="36" t="s">
        <v>290</v>
      </c>
      <c r="D224" s="70" t="s">
        <v>105</v>
      </c>
      <c r="E224" s="69" t="s">
        <v>98</v>
      </c>
      <c r="F224" s="68"/>
      <c r="G224" s="189">
        <v>300</v>
      </c>
      <c r="H224" s="189"/>
      <c r="I224" s="189">
        <v>0</v>
      </c>
      <c r="J224" s="412"/>
      <c r="K224" s="26" t="s">
        <v>257</v>
      </c>
      <c r="L224" s="26">
        <f t="shared" si="29"/>
        <v>21</v>
      </c>
      <c r="M224" s="97" t="str">
        <f>IF(E224="VEDTATT","VEDTATT",0)</f>
        <v>VEDTATT</v>
      </c>
      <c r="N224" s="97">
        <f>IF(E224="MÅ","Nye tiltak",0)</f>
        <v>0</v>
      </c>
      <c r="O224" s="97"/>
      <c r="P224" s="26"/>
    </row>
    <row r="225" spans="1:16" s="36" customFormat="1" x14ac:dyDescent="0.25">
      <c r="A225" s="70" t="s">
        <v>8</v>
      </c>
      <c r="B225" s="76" t="str">
        <f t="shared" si="24"/>
        <v>F22</v>
      </c>
      <c r="C225" s="36" t="s">
        <v>291</v>
      </c>
      <c r="D225" s="70" t="s">
        <v>105</v>
      </c>
      <c r="E225" s="69" t="s">
        <v>98</v>
      </c>
      <c r="F225" s="68"/>
      <c r="G225" s="189">
        <v>200</v>
      </c>
      <c r="H225" s="189"/>
      <c r="I225" s="189">
        <v>0</v>
      </c>
      <c r="J225" s="412"/>
      <c r="K225" s="26" t="s">
        <v>257</v>
      </c>
      <c r="L225" s="26">
        <f t="shared" si="29"/>
        <v>22</v>
      </c>
      <c r="M225" s="97" t="str">
        <f>IF(E225="VEDTATT","VEDTATT",0)</f>
        <v>VEDTATT</v>
      </c>
      <c r="N225" s="97">
        <f>IF(E225="MÅ","Nye tiltak",0)</f>
        <v>0</v>
      </c>
      <c r="O225" s="97"/>
      <c r="P225" s="26"/>
    </row>
    <row r="226" spans="1:16" s="36" customFormat="1" x14ac:dyDescent="0.25">
      <c r="A226" s="70" t="s">
        <v>8</v>
      </c>
      <c r="B226" s="76" t="str">
        <f t="shared" si="24"/>
        <v>F23</v>
      </c>
      <c r="C226" s="36" t="s">
        <v>292</v>
      </c>
      <c r="D226" s="77" t="s">
        <v>105</v>
      </c>
      <c r="E226" s="69" t="s">
        <v>98</v>
      </c>
      <c r="F226" s="189"/>
      <c r="G226" s="189">
        <v>-2000</v>
      </c>
      <c r="H226" s="189">
        <v>-2000</v>
      </c>
      <c r="I226" s="189">
        <v>-2000</v>
      </c>
      <c r="J226" s="412" t="s">
        <v>293</v>
      </c>
      <c r="K226" s="26" t="s">
        <v>257</v>
      </c>
      <c r="L226" s="26">
        <f t="shared" si="29"/>
        <v>23</v>
      </c>
      <c r="M226" s="97" t="str">
        <f>IF(E226="VEDTATT","VEDTATT",0)</f>
        <v>VEDTATT</v>
      </c>
      <c r="N226" s="97">
        <f>IF(E226="MÅ","Nye tiltak",0)</f>
        <v>0</v>
      </c>
      <c r="O226" s="97"/>
      <c r="P226" s="26"/>
    </row>
    <row r="227" spans="1:16" s="36" customFormat="1" x14ac:dyDescent="0.25">
      <c r="A227" s="70" t="s">
        <v>8</v>
      </c>
      <c r="B227" s="76" t="str">
        <f t="shared" si="24"/>
        <v>F24</v>
      </c>
      <c r="C227" s="36" t="s">
        <v>294</v>
      </c>
      <c r="D227" s="77" t="s">
        <v>108</v>
      </c>
      <c r="E227" s="69" t="s">
        <v>46</v>
      </c>
      <c r="F227" s="189"/>
      <c r="G227" s="189">
        <v>400</v>
      </c>
      <c r="H227" s="189"/>
      <c r="I227" s="189">
        <v>400</v>
      </c>
      <c r="J227" s="412"/>
      <c r="K227" s="26" t="s">
        <v>257</v>
      </c>
      <c r="L227" s="26">
        <f>+L226+1</f>
        <v>24</v>
      </c>
      <c r="M227" s="97"/>
      <c r="N227" s="97"/>
      <c r="O227" s="97"/>
      <c r="P227" s="26"/>
    </row>
    <row r="228" spans="1:16" s="36" customFormat="1" x14ac:dyDescent="0.25">
      <c r="A228" s="70" t="s">
        <v>8</v>
      </c>
      <c r="B228" s="76" t="str">
        <f t="shared" si="24"/>
        <v>F25</v>
      </c>
      <c r="C228" s="36" t="s">
        <v>295</v>
      </c>
      <c r="D228" s="77" t="s">
        <v>108</v>
      </c>
      <c r="E228" s="69" t="s">
        <v>46</v>
      </c>
      <c r="F228" s="189"/>
      <c r="G228" s="189">
        <v>300</v>
      </c>
      <c r="H228" s="189"/>
      <c r="I228" s="189">
        <v>300</v>
      </c>
      <c r="J228" s="412"/>
      <c r="K228" s="26" t="s">
        <v>257</v>
      </c>
      <c r="L228" s="26">
        <f>+L227+1</f>
        <v>25</v>
      </c>
      <c r="M228" s="97">
        <f>IF(E228="VEDTATT","VEDTATT",0)</f>
        <v>0</v>
      </c>
      <c r="N228" s="97" t="str">
        <f>IF(E228="MÅ","Nye tiltak",0)</f>
        <v>Nye tiltak</v>
      </c>
      <c r="O228" s="97"/>
      <c r="P228" s="26"/>
    </row>
    <row r="229" spans="1:16" s="36" customFormat="1" x14ac:dyDescent="0.25">
      <c r="A229" s="70" t="s">
        <v>8</v>
      </c>
      <c r="B229" s="76" t="str">
        <f t="shared" si="24"/>
        <v>F26</v>
      </c>
      <c r="C229" s="291" t="s">
        <v>296</v>
      </c>
      <c r="D229" s="77" t="s">
        <v>108</v>
      </c>
      <c r="E229" s="69" t="s">
        <v>46</v>
      </c>
      <c r="F229" s="189">
        <v>50</v>
      </c>
      <c r="G229" s="189">
        <v>50</v>
      </c>
      <c r="H229" s="189">
        <v>50</v>
      </c>
      <c r="I229" s="189">
        <v>50</v>
      </c>
      <c r="J229" s="412"/>
      <c r="K229" s="26" t="s">
        <v>257</v>
      </c>
      <c r="L229" s="26">
        <f>+L228+1</f>
        <v>26</v>
      </c>
      <c r="M229" s="97"/>
      <c r="N229" s="97"/>
      <c r="O229" s="97"/>
      <c r="P229" s="26"/>
    </row>
    <row r="230" spans="1:16" s="36" customFormat="1" x14ac:dyDescent="0.25">
      <c r="A230" s="70" t="s">
        <v>8</v>
      </c>
      <c r="B230" s="76" t="str">
        <f t="shared" si="24"/>
        <v>F27</v>
      </c>
      <c r="C230" s="291" t="s">
        <v>297</v>
      </c>
      <c r="D230" s="77" t="s">
        <v>108</v>
      </c>
      <c r="E230" s="69" t="s">
        <v>46</v>
      </c>
      <c r="F230" s="189"/>
      <c r="G230" s="189"/>
      <c r="H230" s="189">
        <v>1000</v>
      </c>
      <c r="I230" s="189"/>
      <c r="J230" s="412"/>
      <c r="K230" s="26" t="s">
        <v>257</v>
      </c>
      <c r="L230" s="26">
        <f>+L229+1</f>
        <v>27</v>
      </c>
      <c r="M230" s="97"/>
      <c r="N230" s="97"/>
      <c r="O230" s="97"/>
      <c r="P230" s="26"/>
    </row>
    <row r="231" spans="1:16" s="36" customFormat="1" x14ac:dyDescent="0.25">
      <c r="A231" s="70"/>
      <c r="B231" s="76" t="str">
        <f t="shared" si="24"/>
        <v/>
      </c>
      <c r="C231" s="80" t="s">
        <v>298</v>
      </c>
      <c r="D231" s="386"/>
      <c r="E231" s="69"/>
      <c r="F231" s="387"/>
      <c r="G231" s="387"/>
      <c r="H231" s="387"/>
      <c r="I231" s="387"/>
      <c r="J231" s="412"/>
      <c r="M231" s="97"/>
      <c r="N231" s="97"/>
      <c r="O231" s="97"/>
      <c r="P231" s="26"/>
    </row>
    <row r="232" spans="1:16" s="36" customFormat="1" x14ac:dyDescent="0.25">
      <c r="A232" s="70" t="s">
        <v>8</v>
      </c>
      <c r="B232" s="76" t="str">
        <f t="shared" si="24"/>
        <v>F28</v>
      </c>
      <c r="C232" s="82" t="s">
        <v>299</v>
      </c>
      <c r="D232" s="70" t="s">
        <v>97</v>
      </c>
      <c r="E232" s="69" t="s">
        <v>98</v>
      </c>
      <c r="F232" s="501">
        <v>-22250</v>
      </c>
      <c r="G232" s="501">
        <v>-23950</v>
      </c>
      <c r="H232" s="501">
        <v>-23950</v>
      </c>
      <c r="I232" s="501">
        <v>-23950</v>
      </c>
      <c r="J232" s="503" t="s">
        <v>300</v>
      </c>
      <c r="K232" s="26" t="s">
        <v>257</v>
      </c>
      <c r="L232" s="26">
        <f>L230+1</f>
        <v>28</v>
      </c>
      <c r="M232" s="97" t="str">
        <f>IF(E232="VEDTATT","VEDTATT",0)</f>
        <v>VEDTATT</v>
      </c>
      <c r="N232" s="97">
        <f>IF(E232="MÅ","Nye tiltak",0)</f>
        <v>0</v>
      </c>
      <c r="O232" s="97"/>
      <c r="P232" s="26"/>
    </row>
    <row r="233" spans="1:16" s="36" customFormat="1" x14ac:dyDescent="0.25">
      <c r="A233" s="70" t="s">
        <v>8</v>
      </c>
      <c r="B233" s="76" t="str">
        <f t="shared" si="24"/>
        <v>F29</v>
      </c>
      <c r="C233" s="82" t="s">
        <v>301</v>
      </c>
      <c r="D233" s="70" t="s">
        <v>97</v>
      </c>
      <c r="E233" s="69" t="s">
        <v>98</v>
      </c>
      <c r="F233" s="504">
        <v>-4210</v>
      </c>
      <c r="G233" s="504">
        <v>-16430</v>
      </c>
      <c r="H233" s="504">
        <v>-31250</v>
      </c>
      <c r="I233" s="504">
        <v>-37308</v>
      </c>
      <c r="J233" s="503" t="s">
        <v>300</v>
      </c>
      <c r="K233" s="26" t="s">
        <v>257</v>
      </c>
      <c r="L233" s="26">
        <f t="shared" ref="L233:L241" si="30">+L232+1</f>
        <v>29</v>
      </c>
      <c r="M233" s="97" t="str">
        <f>IF(E233="VEDTATT","VEDTATT",0)</f>
        <v>VEDTATT</v>
      </c>
      <c r="N233" s="97">
        <f>IF(E233="MÅ","Nye tiltak",0)</f>
        <v>0</v>
      </c>
      <c r="O233" s="97"/>
      <c r="P233" s="26"/>
    </row>
    <row r="234" spans="1:16" s="36" customFormat="1" x14ac:dyDescent="0.25">
      <c r="A234" s="70" t="s">
        <v>8</v>
      </c>
      <c r="B234" s="76" t="str">
        <f t="shared" si="24"/>
        <v>F30</v>
      </c>
      <c r="C234" s="82" t="s">
        <v>302</v>
      </c>
      <c r="D234" s="70" t="s">
        <v>97</v>
      </c>
      <c r="E234" s="69" t="s">
        <v>98</v>
      </c>
      <c r="F234" s="501">
        <v>-2550</v>
      </c>
      <c r="G234" s="501">
        <v>-2550</v>
      </c>
      <c r="H234" s="501">
        <v>-2550</v>
      </c>
      <c r="I234" s="501">
        <v>-2550</v>
      </c>
      <c r="J234" s="503" t="s">
        <v>303</v>
      </c>
      <c r="K234" s="26" t="s">
        <v>257</v>
      </c>
      <c r="L234" s="26">
        <f t="shared" si="30"/>
        <v>30</v>
      </c>
      <c r="M234" s="97" t="str">
        <f>IF(E234="VEDTATT","VEDTATT",0)</f>
        <v>VEDTATT</v>
      </c>
      <c r="N234" s="97">
        <f>IF(E234="MÅ","Nye tiltak",0)</f>
        <v>0</v>
      </c>
      <c r="O234" s="97"/>
      <c r="P234" s="26"/>
    </row>
    <row r="235" spans="1:16" s="36" customFormat="1" x14ac:dyDescent="0.25">
      <c r="A235" s="70" t="s">
        <v>8</v>
      </c>
      <c r="B235" s="76" t="str">
        <f t="shared" si="24"/>
        <v>F31</v>
      </c>
      <c r="C235" s="82" t="s">
        <v>304</v>
      </c>
      <c r="D235" s="70" t="s">
        <v>97</v>
      </c>
      <c r="E235" s="69" t="s">
        <v>98</v>
      </c>
      <c r="F235" s="501">
        <v>-4420</v>
      </c>
      <c r="G235" s="501">
        <v>-4420</v>
      </c>
      <c r="H235" s="501">
        <v>-4420</v>
      </c>
      <c r="I235" s="501">
        <v>-4420</v>
      </c>
      <c r="J235" s="503" t="s">
        <v>300</v>
      </c>
      <c r="K235" s="26" t="s">
        <v>257</v>
      </c>
      <c r="L235" s="26">
        <f t="shared" si="30"/>
        <v>31</v>
      </c>
      <c r="M235" s="97" t="str">
        <f>IF(E235="VEDTATT","VEDTATT",0)</f>
        <v>VEDTATT</v>
      </c>
      <c r="N235" s="97">
        <f>IF(E235="MÅ","Nye tiltak",0)</f>
        <v>0</v>
      </c>
      <c r="O235" s="97"/>
      <c r="P235" s="26"/>
    </row>
    <row r="236" spans="1:16" s="36" customFormat="1" x14ac:dyDescent="0.25">
      <c r="A236" s="70" t="s">
        <v>8</v>
      </c>
      <c r="B236" s="76" t="str">
        <f t="shared" si="24"/>
        <v>F32</v>
      </c>
      <c r="C236" s="82" t="s">
        <v>305</v>
      </c>
      <c r="D236" s="70" t="s">
        <v>97</v>
      </c>
      <c r="E236" s="59" t="s">
        <v>98</v>
      </c>
      <c r="F236" s="88">
        <v>35700</v>
      </c>
      <c r="G236" s="88">
        <v>50700</v>
      </c>
      <c r="H236" s="88">
        <v>63700</v>
      </c>
      <c r="I236" s="88">
        <v>72700</v>
      </c>
      <c r="J236" s="417" t="s">
        <v>306</v>
      </c>
      <c r="K236" s="26" t="s">
        <v>257</v>
      </c>
      <c r="L236" s="26">
        <f t="shared" si="30"/>
        <v>32</v>
      </c>
      <c r="M236" s="97"/>
      <c r="N236" s="97"/>
      <c r="O236" s="97"/>
      <c r="P236" s="26"/>
    </row>
    <row r="237" spans="1:16" s="36" customFormat="1" x14ac:dyDescent="0.25">
      <c r="A237" s="70" t="s">
        <v>8</v>
      </c>
      <c r="B237" s="76" t="str">
        <f t="shared" si="24"/>
        <v>F33</v>
      </c>
      <c r="C237" s="82" t="s">
        <v>307</v>
      </c>
      <c r="D237" s="70" t="s">
        <v>97</v>
      </c>
      <c r="E237" s="69" t="s">
        <v>98</v>
      </c>
      <c r="F237" s="88">
        <v>-35700</v>
      </c>
      <c r="G237" s="88">
        <v>-50700</v>
      </c>
      <c r="H237" s="88">
        <v>-63700</v>
      </c>
      <c r="I237" s="88">
        <v>-72700</v>
      </c>
      <c r="J237" s="417" t="s">
        <v>306</v>
      </c>
      <c r="K237" s="26" t="s">
        <v>257</v>
      </c>
      <c r="L237" s="26">
        <f t="shared" si="30"/>
        <v>33</v>
      </c>
      <c r="M237" s="97"/>
      <c r="N237" s="97"/>
      <c r="O237" s="97"/>
      <c r="P237" s="26"/>
    </row>
    <row r="238" spans="1:16" s="36" customFormat="1" x14ac:dyDescent="0.25">
      <c r="A238" s="70" t="s">
        <v>8</v>
      </c>
      <c r="B238" s="76" t="str">
        <f t="shared" si="24"/>
        <v>F34</v>
      </c>
      <c r="C238" s="82" t="s">
        <v>304</v>
      </c>
      <c r="D238" s="70" t="s">
        <v>97</v>
      </c>
      <c r="E238" s="69" t="s">
        <v>98</v>
      </c>
      <c r="F238" s="88">
        <v>4420</v>
      </c>
      <c r="G238" s="88">
        <v>4420</v>
      </c>
      <c r="H238" s="88">
        <v>4420</v>
      </c>
      <c r="I238" s="88">
        <v>4420</v>
      </c>
      <c r="J238" s="417" t="s">
        <v>308</v>
      </c>
      <c r="K238" s="26" t="s">
        <v>257</v>
      </c>
      <c r="L238" s="26">
        <f t="shared" si="30"/>
        <v>34</v>
      </c>
      <c r="M238" s="97"/>
      <c r="N238" s="97"/>
      <c r="O238" s="97"/>
      <c r="P238" s="26"/>
    </row>
    <row r="239" spans="1:16" s="36" customFormat="1" ht="25.5" x14ac:dyDescent="0.25">
      <c r="A239" s="70" t="s">
        <v>8</v>
      </c>
      <c r="B239" s="76" t="str">
        <f t="shared" si="24"/>
        <v>F35</v>
      </c>
      <c r="C239" s="82" t="s">
        <v>309</v>
      </c>
      <c r="D239" s="70" t="s">
        <v>97</v>
      </c>
      <c r="E239" s="69" t="s">
        <v>98</v>
      </c>
      <c r="F239" s="88">
        <v>600</v>
      </c>
      <c r="G239" s="88">
        <v>600</v>
      </c>
      <c r="H239" s="88">
        <v>600</v>
      </c>
      <c r="I239" s="88">
        <v>600</v>
      </c>
      <c r="J239" s="417" t="s">
        <v>308</v>
      </c>
      <c r="K239" s="26" t="s">
        <v>257</v>
      </c>
      <c r="L239" s="26">
        <f t="shared" si="30"/>
        <v>35</v>
      </c>
      <c r="M239" s="97"/>
      <c r="N239" s="97"/>
      <c r="O239" s="97"/>
      <c r="P239" s="26"/>
    </row>
    <row r="240" spans="1:16" s="36" customFormat="1" x14ac:dyDescent="0.25">
      <c r="A240" s="70"/>
      <c r="B240" s="76"/>
      <c r="C240" s="82"/>
      <c r="D240" s="70"/>
      <c r="E240" s="69"/>
      <c r="F240" s="88"/>
      <c r="G240" s="88"/>
      <c r="H240" s="88"/>
      <c r="I240" s="88"/>
      <c r="J240" s="417"/>
      <c r="K240" s="26" t="s">
        <v>257</v>
      </c>
      <c r="L240" s="26">
        <f t="shared" si="30"/>
        <v>36</v>
      </c>
      <c r="M240" s="97"/>
      <c r="N240" s="97"/>
      <c r="O240" s="97"/>
      <c r="P240" s="26"/>
    </row>
    <row r="241" spans="1:16" s="36" customFormat="1" x14ac:dyDescent="0.25">
      <c r="A241" s="70"/>
      <c r="B241" s="76"/>
      <c r="C241" s="82"/>
      <c r="D241" s="70"/>
      <c r="E241" s="69"/>
      <c r="F241" s="88"/>
      <c r="G241" s="88"/>
      <c r="H241" s="88"/>
      <c r="I241" s="88"/>
      <c r="J241" s="412"/>
      <c r="K241" s="26" t="s">
        <v>257</v>
      </c>
      <c r="L241" s="26">
        <f t="shared" si="30"/>
        <v>37</v>
      </c>
      <c r="M241" s="97">
        <f>IF(E241="VEDTATT","VEDTATT",0)</f>
        <v>0</v>
      </c>
      <c r="N241" s="97">
        <f>IF(E241="MÅ","Nye tiltak",0)</f>
        <v>0</v>
      </c>
      <c r="O241" s="97"/>
      <c r="P241" s="26"/>
    </row>
    <row r="242" spans="1:16" s="36" customFormat="1" x14ac:dyDescent="0.25">
      <c r="A242" s="70"/>
      <c r="B242" s="76" t="str">
        <f>IF(L242,K242&amp;L242,"")</f>
        <v/>
      </c>
      <c r="C242" s="80"/>
      <c r="D242" s="81"/>
      <c r="E242" s="69"/>
      <c r="F242" s="189"/>
      <c r="G242" s="189"/>
      <c r="H242" s="189"/>
      <c r="I242" s="189"/>
      <c r="J242" s="412"/>
      <c r="K242" s="26"/>
      <c r="L242" s="26"/>
      <c r="M242" s="97"/>
      <c r="N242" s="97"/>
      <c r="O242" s="97"/>
      <c r="P242" s="26"/>
    </row>
    <row r="243" spans="1:16" s="36" customFormat="1" ht="30" x14ac:dyDescent="0.25">
      <c r="A243" s="41"/>
      <c r="B243" s="41" t="s">
        <v>152</v>
      </c>
      <c r="C243" s="3" t="s">
        <v>310</v>
      </c>
      <c r="D243" s="50"/>
      <c r="E243" s="50"/>
      <c r="F243" s="54">
        <f>SUMIF($A:$A,"KOM.FELLES",F:F)</f>
        <v>109163</v>
      </c>
      <c r="G243" s="54">
        <f>SUMIF($A:$A,"KOM.FELLES",G:G)</f>
        <v>100750</v>
      </c>
      <c r="H243" s="54">
        <f>SUMIF($A:$A,"KOM.FELLES",H:H)</f>
        <v>79949</v>
      </c>
      <c r="I243" s="54">
        <f>SUMIF($A:$A,"KOM.FELLES",I:I)</f>
        <v>75798</v>
      </c>
      <c r="J243" s="412"/>
      <c r="K243" s="335"/>
      <c r="L243" s="335"/>
      <c r="M243" s="97"/>
      <c r="N243" s="97"/>
      <c r="O243" s="97"/>
      <c r="P243" s="26"/>
    </row>
    <row r="244" spans="1:16" x14ac:dyDescent="0.25">
      <c r="K244" s="36"/>
      <c r="L244" s="36"/>
      <c r="M244"/>
      <c r="N244"/>
      <c r="O244"/>
    </row>
    <row r="246" spans="1:16" x14ac:dyDescent="0.25">
      <c r="E246" t="s">
        <v>311</v>
      </c>
      <c r="F246" s="254" t="e">
        <f>#REF!+#REF!+#REF!+#REF!</f>
        <v>#REF!</v>
      </c>
      <c r="G246" s="254" t="e">
        <f>#REF!+#REF!+#REF!+#REF!</f>
        <v>#REF!</v>
      </c>
      <c r="H246" s="254" t="e">
        <f>#REF!+#REF!+#REF!+#REF!</f>
        <v>#REF!</v>
      </c>
      <c r="I246" s="254"/>
    </row>
    <row r="247" spans="1:16" x14ac:dyDescent="0.25">
      <c r="E247" t="s">
        <v>312</v>
      </c>
      <c r="F247" s="254">
        <f>30987+13258+710+30241</f>
        <v>75196</v>
      </c>
      <c r="G247" s="254">
        <f>30987+29145+1313+30241</f>
        <v>91686</v>
      </c>
      <c r="H247" s="254">
        <f>30987+29145+1313+30241</f>
        <v>91686</v>
      </c>
      <c r="I247" s="254"/>
    </row>
    <row r="248" spans="1:16" x14ac:dyDescent="0.25">
      <c r="E248" s="200" t="s">
        <v>313</v>
      </c>
      <c r="F248" s="201" t="e">
        <f>F246-F247</f>
        <v>#REF!</v>
      </c>
      <c r="G248" s="201" t="e">
        <f>G246-G247</f>
        <v>#REF!</v>
      </c>
      <c r="H248" s="201" t="e">
        <f>H246-H247</f>
        <v>#REF!</v>
      </c>
      <c r="I248" s="346"/>
    </row>
    <row r="249" spans="1:16" x14ac:dyDescent="0.25">
      <c r="E249" t="s">
        <v>314</v>
      </c>
      <c r="F249" s="181">
        <f>-7929-3038</f>
        <v>-10967</v>
      </c>
      <c r="G249" s="181">
        <f>-9809-3549</f>
        <v>-13358</v>
      </c>
      <c r="H249" s="181">
        <f>-9809-3549</f>
        <v>-13358</v>
      </c>
      <c r="I249" s="181"/>
    </row>
    <row r="250" spans="1:16" x14ac:dyDescent="0.25">
      <c r="E250" s="200" t="s">
        <v>313</v>
      </c>
      <c r="F250" s="201" t="e">
        <f>F249-F248</f>
        <v>#REF!</v>
      </c>
      <c r="G250" s="201" t="e">
        <f>G249-G248</f>
        <v>#REF!</v>
      </c>
      <c r="H250" s="201" t="e">
        <f>H249-H248</f>
        <v>#REF!</v>
      </c>
      <c r="I250" s="346"/>
    </row>
    <row r="252" spans="1:16" x14ac:dyDescent="0.25">
      <c r="F252" s="254" t="e">
        <f>F79+F81+#REF!+#REF!+#REF!+#REF!+#REF!+#REF!+#REF!+#REF!+#REF!+F131+F133+#REF!+#REF!+#REF!+#REF!+#REF!+#REF!+#REF!</f>
        <v>#REF!</v>
      </c>
      <c r="G252" s="254" t="e">
        <f>G79+G81+#REF!+#REF!+#REF!+#REF!+#REF!+#REF!+#REF!+#REF!+#REF!+G131+G133+#REF!+#REF!+#REF!+#REF!+#REF!+#REF!+#REF!</f>
        <v>#REF!</v>
      </c>
      <c r="H252" s="254" t="e">
        <f>H79+H81+#REF!+#REF!+#REF!+#REF!+#REF!+#REF!+#REF!+#REF!+#REF!+H131+H133+#REF!+#REF!+#REF!+#REF!+#REF!+#REF!+#REF!</f>
        <v>#REF!</v>
      </c>
      <c r="I252" s="254"/>
    </row>
    <row r="257" spans="4:21" x14ac:dyDescent="0.25">
      <c r="F257" s="180"/>
      <c r="G257" s="180"/>
      <c r="H257" s="180"/>
      <c r="I257" s="180"/>
    </row>
    <row r="258" spans="4:21" x14ac:dyDescent="0.25">
      <c r="D258" s="254"/>
      <c r="E258" s="254"/>
      <c r="F258" s="254"/>
      <c r="G258" s="254"/>
      <c r="H258" s="254"/>
      <c r="I258" s="254"/>
      <c r="Q258" s="202"/>
      <c r="R258" s="203">
        <v>2019</v>
      </c>
      <c r="S258" s="203">
        <v>2020</v>
      </c>
      <c r="T258" s="203">
        <v>2021</v>
      </c>
      <c r="U258" s="203">
        <v>2022</v>
      </c>
    </row>
    <row r="259" spans="4:21" x14ac:dyDescent="0.25">
      <c r="F259" s="254"/>
      <c r="G259" s="254"/>
      <c r="H259" s="254"/>
      <c r="I259" s="254"/>
      <c r="Q259" s="347" t="s">
        <v>315</v>
      </c>
      <c r="R259" s="184" t="e">
        <f>#REF!+#REF!</f>
        <v>#REF!</v>
      </c>
      <c r="S259" s="184" t="e">
        <f>#REF!+#REF!</f>
        <v>#REF!</v>
      </c>
      <c r="T259" s="184" t="e">
        <f>#REF!+#REF!</f>
        <v>#REF!</v>
      </c>
      <c r="U259" s="184" t="e">
        <f>#REF!+#REF!</f>
        <v>#REF!</v>
      </c>
    </row>
    <row r="260" spans="4:21" x14ac:dyDescent="0.25">
      <c r="F260" s="254"/>
      <c r="G260" s="254"/>
      <c r="H260" s="254"/>
      <c r="I260" s="254"/>
      <c r="Q260" s="347" t="s">
        <v>316</v>
      </c>
      <c r="R260" s="184" t="e">
        <f>#REF!+#REF!</f>
        <v>#REF!</v>
      </c>
      <c r="S260" s="184" t="e">
        <f>#REF!+#REF!</f>
        <v>#REF!</v>
      </c>
      <c r="T260" s="184" t="e">
        <f>#REF!+#REF!</f>
        <v>#REF!</v>
      </c>
      <c r="U260" s="184" t="e">
        <f>#REF!+#REF!</f>
        <v>#REF!</v>
      </c>
    </row>
    <row r="261" spans="4:21" x14ac:dyDescent="0.25">
      <c r="F261" s="254"/>
      <c r="G261" s="254"/>
      <c r="H261" s="254"/>
      <c r="I261" s="254"/>
      <c r="Q261" s="347" t="s">
        <v>3</v>
      </c>
      <c r="R261" s="184" t="e">
        <f>#REF!+#REF!</f>
        <v>#REF!</v>
      </c>
      <c r="S261" s="184" t="e">
        <f>#REF!+#REF!</f>
        <v>#REF!</v>
      </c>
      <c r="T261" s="184" t="e">
        <f>#REF!+#REF!</f>
        <v>#REF!</v>
      </c>
      <c r="U261" s="184" t="e">
        <f>#REF!+#REF!</f>
        <v>#REF!</v>
      </c>
    </row>
    <row r="262" spans="4:21" x14ac:dyDescent="0.25">
      <c r="F262" s="254"/>
      <c r="G262" s="254"/>
      <c r="H262" s="254"/>
      <c r="I262" s="254"/>
      <c r="Q262" s="347" t="s">
        <v>317</v>
      </c>
      <c r="R262" s="184" t="e">
        <f>#REF!</f>
        <v>#REF!</v>
      </c>
      <c r="S262" s="184" t="e">
        <f>#REF!</f>
        <v>#REF!</v>
      </c>
      <c r="T262" s="184" t="e">
        <f>#REF!</f>
        <v>#REF!</v>
      </c>
      <c r="U262" s="184" t="e">
        <f>#REF!</f>
        <v>#REF!</v>
      </c>
    </row>
    <row r="263" spans="4:21" x14ac:dyDescent="0.25">
      <c r="F263" s="254"/>
      <c r="G263" s="254"/>
      <c r="H263" s="254"/>
      <c r="I263" s="254"/>
      <c r="Q263" s="347" t="s">
        <v>11</v>
      </c>
      <c r="R263" s="184" t="e">
        <f>#REF!+#REF!</f>
        <v>#REF!</v>
      </c>
      <c r="S263" s="184" t="e">
        <f>#REF!+#REF!</f>
        <v>#REF!</v>
      </c>
      <c r="T263" s="184" t="e">
        <f>#REF!+#REF!</f>
        <v>#REF!</v>
      </c>
      <c r="U263" s="184" t="e">
        <f>#REF!+#REF!</f>
        <v>#REF!</v>
      </c>
    </row>
    <row r="264" spans="4:21" x14ac:dyDescent="0.25">
      <c r="F264" s="254"/>
      <c r="G264" s="254"/>
      <c r="H264" s="254"/>
      <c r="I264" s="254"/>
      <c r="Q264" s="347" t="s">
        <v>12</v>
      </c>
      <c r="R264" s="184" t="e">
        <f>#REF!</f>
        <v>#REF!</v>
      </c>
      <c r="S264" s="184" t="e">
        <f>#REF!</f>
        <v>#REF!</v>
      </c>
      <c r="T264" s="184" t="e">
        <f>#REF!</f>
        <v>#REF!</v>
      </c>
      <c r="U264" s="184" t="e">
        <f>#REF!</f>
        <v>#REF!</v>
      </c>
    </row>
    <row r="265" spans="4:21" x14ac:dyDescent="0.25">
      <c r="F265" s="254"/>
      <c r="G265" s="254"/>
      <c r="H265" s="254"/>
      <c r="I265" s="254"/>
      <c r="Q265" s="347" t="s">
        <v>13</v>
      </c>
      <c r="R265" s="184" t="e">
        <f>#REF!</f>
        <v>#REF!</v>
      </c>
      <c r="S265" s="184" t="e">
        <f>#REF!</f>
        <v>#REF!</v>
      </c>
      <c r="T265" s="184" t="e">
        <f>#REF!</f>
        <v>#REF!</v>
      </c>
      <c r="U265" s="184" t="e">
        <f>#REF!</f>
        <v>#REF!</v>
      </c>
    </row>
    <row r="266" spans="4:21" ht="30" x14ac:dyDescent="0.25">
      <c r="Q266" s="347" t="s">
        <v>318</v>
      </c>
      <c r="R266" s="184" t="e">
        <f>#REF!+#REF!</f>
        <v>#REF!</v>
      </c>
      <c r="S266" s="184" t="e">
        <f>F201+#REF!</f>
        <v>#REF!</v>
      </c>
      <c r="T266" s="184" t="e">
        <f>G201+#REF!</f>
        <v>#REF!</v>
      </c>
      <c r="U266" s="184" t="e">
        <f>H201+#REF!</f>
        <v>#REF!</v>
      </c>
    </row>
    <row r="267" spans="4:21" x14ac:dyDescent="0.25">
      <c r="Q267" s="183" t="s">
        <v>319</v>
      </c>
      <c r="R267" s="185" t="e">
        <f>SUBTOTAL(9,R259:R266)</f>
        <v>#REF!</v>
      </c>
      <c r="S267" s="185" t="e">
        <f>SUBTOTAL(9,S259:S266)</f>
        <v>#REF!</v>
      </c>
      <c r="T267" s="185" t="e">
        <f>SUBTOTAL(9,T259:T266)</f>
        <v>#REF!</v>
      </c>
      <c r="U267" s="185" t="e">
        <f>SUBTOTAL(9,U259:U266)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conditionalFormatting sqref="F18:I18">
    <cfRule type="cellIs" dxfId="7" priority="2" operator="notEqual">
      <formula>0</formula>
    </cfRule>
  </conditionalFormatting>
  <conditionalFormatting sqref="I18">
    <cfRule type="cellIs" dxfId="6" priority="1" operator="notEqual">
      <formula>0</formula>
    </cfRule>
  </conditionalFormatting>
  <dataValidations count="1">
    <dataValidation type="list" allowBlank="1" showInputMessage="1" showErrorMessage="1" sqref="D177:D180" xr:uid="{10846EE2-F920-45FD-AA59-34CF24CE1FFA}">
      <formula1>#REF!</formula1>
    </dataValidation>
  </dataValidations>
  <pageMargins left="0.25" right="0.25" top="0.75" bottom="0.75" header="0.3" footer="0.3"/>
  <pageSetup paperSize="9" scale="2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C32A335-0C8F-4CF9-9189-733DB49593C9}">
          <x14:formula1>
            <xm:f>#REF!</xm:f>
          </x14:formula1>
          <xm:sqref>A75:A81 A68:A73 A84:A89 A91:A106</xm:sqref>
        </x14:dataValidation>
        <x14:dataValidation type="list" allowBlank="1" showInputMessage="1" showErrorMessage="1" xr:uid="{7CF7C54D-E971-400F-B673-07D46AB3154A}">
          <x14:formula1>
            <xm:f>#REF!</xm:f>
          </x14:formula1>
          <xm:sqref>A29:A67 A82:A83 A90 A107:A243</xm:sqref>
        </x14:dataValidation>
        <x14:dataValidation type="list" allowBlank="1" showInputMessage="1" showErrorMessage="1" xr:uid="{AC2EA59D-94F9-434D-B830-BC0A913EC2F2}">
          <x14:formula1>
            <xm:f>#REF!</xm:f>
          </x14:formula1>
          <xm:sqref>D147:D150 D130:D137 D29:D61 D84:D89 D142:D145 D193:D196 D232:D241 D184:D189 D222:D230 D201 D110:D128 D154:D176 D68:D81 D91:D104 D203:D220</xm:sqref>
        </x14:dataValidation>
        <x14:dataValidation type="list" allowBlank="1" showInputMessage="1" showErrorMessage="1" xr:uid="{260B6647-F76E-46A3-9423-5CC4D8229830}">
          <x14:formula1>
            <xm:f>'C:\Users\lincbak\Desktop\[Kopi av Driftskostnader for nye bygg - tiltaksliste 2018-2021.xlsx]Div'!#REF!</xm:f>
          </x14:formula1>
          <xm:sqref>E150</xm:sqref>
        </x14:dataValidation>
        <x14:dataValidation type="list" allowBlank="1" showInputMessage="1" showErrorMessage="1" xr:uid="{DF714D2E-E426-4315-8522-7CD2FE0839FA}">
          <x14:formula1>
            <xm:f>#REF!</xm:f>
          </x14:formula1>
          <xm:sqref>D62:D67 D146 D243:E243 D90:E90 D129 D138:D141 D190:D192 D197:D200 D202 D221 D231 D242 D151:D153 D155 D119 D134 D107:D109 D181:D183 E147:E149 E29:E61 E151:E152 E107 E130:E139 E84:E89 E142:E145 E193:E198 E240:F240 E232:E239 E241 E184:E191 E222:E230 E201 E110:E128 E154:E182 D77:E77 D83 E68:E76 E78:E81 E91:E104 E203:E220</xm:sqref>
        </x14:dataValidation>
        <x14:dataValidation type="list" allowBlank="1" showInputMessage="1" showErrorMessage="1" xr:uid="{FFCFB82F-25A8-446E-AD74-D6F4A0D8D394}">
          <x14:formula1>
            <xm:f>#REF!</xm:f>
          </x14:formula1>
          <xm:sqref>E62:E67 E199:E200 E231 E129 E183 E242 E192 E140:E141 E146 E202 E221 E153 E155 E119 E134 E108:E109 E77 E83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FC40-4BAA-43A8-9CA5-51197E910EFD}">
  <sheetPr>
    <tabColor rgb="FFFF0000"/>
  </sheetPr>
  <dimension ref="A1:AW283"/>
  <sheetViews>
    <sheetView topLeftCell="A145" workbookViewId="0">
      <selection activeCell="J95" sqref="J95"/>
    </sheetView>
  </sheetViews>
  <sheetFormatPr baseColWidth="10" defaultColWidth="11.42578125" defaultRowHeight="15" x14ac:dyDescent="0.25"/>
  <cols>
    <col min="1" max="1" width="10.140625" customWidth="1"/>
    <col min="2" max="2" width="6" customWidth="1"/>
    <col min="3" max="3" width="58.710937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6" customWidth="1"/>
    <col min="12" max="12" width="7.5703125" style="26" bestFit="1" customWidth="1"/>
    <col min="13" max="13" width="8.5703125" style="92" customWidth="1"/>
    <col min="14" max="14" width="9.5703125" style="92" customWidth="1"/>
    <col min="15" max="15" width="13.42578125" style="92" customWidth="1"/>
    <col min="16" max="16" width="13.5703125" bestFit="1" customWidth="1"/>
    <col min="17" max="17" width="31.5703125" customWidth="1"/>
    <col min="18" max="21" width="14.42578125" customWidth="1"/>
    <col min="22" max="48" width="11.42578125" bestFit="1" customWidth="1"/>
    <col min="49" max="49" width="20.42578125" customWidth="1"/>
  </cols>
  <sheetData>
    <row r="1" spans="1:48" s="26" customFormat="1" ht="23.25" x14ac:dyDescent="0.25">
      <c r="A1" s="292" t="s">
        <v>0</v>
      </c>
      <c r="B1" s="293"/>
      <c r="C1" s="294"/>
      <c r="D1" s="91"/>
      <c r="E1" s="91"/>
      <c r="F1" s="292"/>
      <c r="G1" s="292"/>
      <c r="H1" s="292"/>
      <c r="I1" s="292"/>
      <c r="J1" s="284"/>
      <c r="K1" s="36"/>
      <c r="L1" s="36"/>
      <c r="M1" s="91"/>
      <c r="N1" s="49"/>
      <c r="O1" s="49"/>
      <c r="Q1" s="652" t="s">
        <v>1</v>
      </c>
      <c r="R1" s="652"/>
      <c r="S1" s="652"/>
      <c r="T1" s="652"/>
      <c r="U1" s="652" t="s">
        <v>2</v>
      </c>
      <c r="V1" s="652"/>
      <c r="W1" s="652"/>
      <c r="X1" s="652"/>
      <c r="Y1" s="652" t="s">
        <v>3</v>
      </c>
      <c r="Z1" s="652"/>
      <c r="AA1" s="652"/>
      <c r="AB1" s="652"/>
      <c r="AC1" s="652" t="s">
        <v>4</v>
      </c>
      <c r="AD1" s="652"/>
      <c r="AE1" s="652"/>
      <c r="AF1" s="652"/>
      <c r="AG1" s="652" t="s">
        <v>5</v>
      </c>
      <c r="AH1" s="652"/>
      <c r="AI1" s="652"/>
      <c r="AJ1" s="652"/>
      <c r="AK1" s="652" t="s">
        <v>6</v>
      </c>
      <c r="AL1" s="652"/>
      <c r="AM1" s="652"/>
      <c r="AN1" s="652"/>
      <c r="AO1" s="652" t="s">
        <v>7</v>
      </c>
      <c r="AP1" s="652"/>
      <c r="AQ1" s="652"/>
      <c r="AR1" s="652"/>
      <c r="AS1" s="652" t="s">
        <v>8</v>
      </c>
      <c r="AT1" s="652"/>
      <c r="AU1" s="652"/>
      <c r="AV1" s="652"/>
    </row>
    <row r="2" spans="1:48" s="26" customFormat="1" x14ac:dyDescent="0.25">
      <c r="A2" s="36"/>
      <c r="B2" s="293"/>
      <c r="C2" s="293"/>
      <c r="D2" s="91"/>
      <c r="E2" s="91"/>
      <c r="F2" s="36"/>
      <c r="G2" s="36"/>
      <c r="H2" s="36"/>
      <c r="I2" s="36"/>
      <c r="J2" s="284"/>
      <c r="K2" s="36"/>
      <c r="L2" s="36"/>
      <c r="M2" s="91"/>
      <c r="N2" s="91"/>
      <c r="O2" s="91"/>
      <c r="Q2" s="653" t="s">
        <v>1</v>
      </c>
      <c r="R2" s="653"/>
      <c r="S2" s="653"/>
      <c r="T2" s="653"/>
      <c r="U2" s="653" t="s">
        <v>9</v>
      </c>
      <c r="V2" s="653"/>
      <c r="W2" s="653"/>
      <c r="X2" s="653"/>
      <c r="Y2" s="653" t="s">
        <v>3</v>
      </c>
      <c r="Z2" s="653"/>
      <c r="AA2" s="653"/>
      <c r="AB2" s="653"/>
      <c r="AC2" s="653" t="s">
        <v>10</v>
      </c>
      <c r="AD2" s="653"/>
      <c r="AE2" s="653"/>
      <c r="AF2" s="653"/>
      <c r="AG2" s="653" t="s">
        <v>11</v>
      </c>
      <c r="AH2" s="653"/>
      <c r="AI2" s="653"/>
      <c r="AJ2" s="653"/>
      <c r="AK2" s="653" t="s">
        <v>12</v>
      </c>
      <c r="AL2" s="653"/>
      <c r="AM2" s="653"/>
      <c r="AN2" s="653"/>
      <c r="AO2" s="653" t="s">
        <v>13</v>
      </c>
      <c r="AP2" s="653"/>
      <c r="AQ2" s="653"/>
      <c r="AR2" s="653"/>
      <c r="AS2" s="653" t="s">
        <v>14</v>
      </c>
      <c r="AT2" s="653"/>
      <c r="AU2" s="653"/>
      <c r="AV2" s="653"/>
    </row>
    <row r="3" spans="1:48" s="36" customFormat="1" x14ac:dyDescent="0.25">
      <c r="A3" s="295"/>
      <c r="B3" s="296"/>
      <c r="C3" s="296"/>
      <c r="D3" s="297"/>
      <c r="E3" s="297"/>
      <c r="F3" s="298">
        <v>2020</v>
      </c>
      <c r="G3" s="298">
        <v>46210</v>
      </c>
      <c r="H3" s="298">
        <v>2022</v>
      </c>
      <c r="I3" s="298"/>
      <c r="M3" s="91"/>
      <c r="N3" s="91"/>
      <c r="O3" s="91"/>
      <c r="P3" s="26"/>
      <c r="Q3" s="27">
        <v>2018</v>
      </c>
      <c r="R3" s="27">
        <v>2019</v>
      </c>
      <c r="S3" s="27">
        <v>2020</v>
      </c>
      <c r="T3" s="27">
        <v>2021</v>
      </c>
      <c r="U3" s="27">
        <v>2018</v>
      </c>
      <c r="V3" s="27">
        <v>2019</v>
      </c>
      <c r="W3" s="27">
        <v>2020</v>
      </c>
      <c r="X3" s="27">
        <v>2021</v>
      </c>
      <c r="Y3" s="27">
        <v>2018</v>
      </c>
      <c r="Z3" s="27">
        <v>2019</v>
      </c>
      <c r="AA3" s="27">
        <v>2020</v>
      </c>
      <c r="AB3" s="27">
        <v>2021</v>
      </c>
      <c r="AC3" s="27">
        <v>2018</v>
      </c>
      <c r="AD3" s="27">
        <v>2019</v>
      </c>
      <c r="AE3" s="27">
        <v>2020</v>
      </c>
      <c r="AF3" s="27">
        <v>2021</v>
      </c>
      <c r="AG3" s="27">
        <v>2018</v>
      </c>
      <c r="AH3" s="27">
        <v>2019</v>
      </c>
      <c r="AI3" s="27">
        <v>2020</v>
      </c>
      <c r="AJ3" s="27">
        <v>2021</v>
      </c>
      <c r="AK3" s="27">
        <v>2018</v>
      </c>
      <c r="AL3" s="27">
        <v>2019</v>
      </c>
      <c r="AM3" s="27">
        <v>2020</v>
      </c>
      <c r="AN3" s="27">
        <v>2021</v>
      </c>
      <c r="AO3" s="27">
        <v>2018</v>
      </c>
      <c r="AP3" s="27">
        <v>2019</v>
      </c>
      <c r="AQ3" s="27">
        <v>2020</v>
      </c>
      <c r="AR3" s="27">
        <v>2021</v>
      </c>
      <c r="AS3" s="27">
        <v>2018</v>
      </c>
      <c r="AT3" s="27">
        <v>2019</v>
      </c>
      <c r="AU3" s="27">
        <v>2020</v>
      </c>
      <c r="AV3" s="27">
        <v>2021</v>
      </c>
    </row>
    <row r="4" spans="1:48" s="36" customFormat="1" x14ac:dyDescent="0.25">
      <c r="A4" s="299" t="s">
        <v>15</v>
      </c>
      <c r="B4" s="300"/>
      <c r="C4" s="301"/>
      <c r="D4" s="302"/>
      <c r="E4" s="302"/>
      <c r="F4" s="303">
        <v>4546363</v>
      </c>
      <c r="G4" s="303">
        <v>4546363</v>
      </c>
      <c r="H4" s="303">
        <v>4546363</v>
      </c>
      <c r="I4" s="303">
        <v>4546363</v>
      </c>
      <c r="J4" s="1"/>
      <c r="M4" s="304">
        <v>29670</v>
      </c>
      <c r="N4" s="91">
        <v>13290</v>
      </c>
      <c r="O4" s="91"/>
      <c r="P4" s="27" t="s">
        <v>16</v>
      </c>
      <c r="Q4" s="10" t="e">
        <f>SUMIFS(#REF!,$O:$O,$P$4,$A:$A,$Q$1)</f>
        <v>#REF!</v>
      </c>
      <c r="R4" s="10" t="e">
        <f>SUMIFS(#REF!,$O:$O,$P$4,$A:$A,$Q$1)</f>
        <v>#REF!</v>
      </c>
      <c r="S4" s="10">
        <f>SUMIFS(F:F,$O:$O,$P$4,$A:$A,$Q$1)</f>
        <v>0</v>
      </c>
      <c r="T4" s="10">
        <f>SUMIFS(G:G,$O:$O,$P$4,$A:$A,$Q$1)</f>
        <v>0</v>
      </c>
      <c r="U4" s="10" t="e">
        <f>SUMIFS(#REF!,$O:$O,$P$4,$A:$A,$U$1)</f>
        <v>#REF!</v>
      </c>
      <c r="V4" s="10" t="e">
        <f>SUMIFS(#REF!,$O:$O,$P$4,$A:$A,$U$1)</f>
        <v>#REF!</v>
      </c>
      <c r="W4" s="10">
        <f>SUMIFS(F:F,$O:$O,$P$4,$A:$A,$U$1)</f>
        <v>0</v>
      </c>
      <c r="X4" s="10">
        <f>SUMIFS(G:G,$O:$O,$P$4,$A:$A,$U$1)</f>
        <v>0</v>
      </c>
      <c r="Y4" s="10" t="e">
        <f>SUMIFS(#REF!,$O:$O,$P$4,$A:$A,$Y$1)</f>
        <v>#REF!</v>
      </c>
      <c r="Z4" s="10" t="e">
        <f>SUMIFS(#REF!,$O:$O,$P$4,$A:$A,$Y$1)</f>
        <v>#REF!</v>
      </c>
      <c r="AA4" s="10">
        <f>SUMIFS(F:F,$O:$O,$P$4,$A:$A,$Y$1)</f>
        <v>0</v>
      </c>
      <c r="AB4" s="10">
        <f>SUMIFS(G:G,$O:$O,$P$4,$A:$A,$Y$1)</f>
        <v>0</v>
      </c>
      <c r="AC4" s="10" t="e">
        <f>SUMIFS(#REF!,$O:$O,$P$4,$A:$A,$AC$1)</f>
        <v>#REF!</v>
      </c>
      <c r="AD4" s="10" t="e">
        <f>SUMIFS(#REF!,$O:$O,$P$4,$A:$A,$AC$1)</f>
        <v>#REF!</v>
      </c>
      <c r="AE4" s="10">
        <f>SUMIFS(F:F,$O:$O,$P$4,$A:$A,$AC$1)</f>
        <v>0</v>
      </c>
      <c r="AF4" s="10">
        <f>SUMIFS(G:G,$O:$O,$P$4,$A:$A,$AC$1)</f>
        <v>0</v>
      </c>
      <c r="AG4" s="10" t="e">
        <f>SUMIFS(#REF!,$O:$O,$P$4,$A:$A,$AG$1)</f>
        <v>#REF!</v>
      </c>
      <c r="AH4" s="10" t="e">
        <f>SUMIFS(#REF!,$O:$O,$P$4,$A:$A,$AG$1)</f>
        <v>#REF!</v>
      </c>
      <c r="AI4" s="10">
        <f>SUMIFS(F:F,$O:$O,$P$4,$A:$A,$AG$1)</f>
        <v>0</v>
      </c>
      <c r="AJ4" s="10">
        <f>SUMIFS(G:G,$O:$O,$P$4,$A:$A,$AG$1)</f>
        <v>0</v>
      </c>
      <c r="AK4" s="10" t="e">
        <f>SUMIFS(#REF!,$O:$O,$P$4,$A:$A,$AK$1)</f>
        <v>#REF!</v>
      </c>
      <c r="AL4" s="10" t="e">
        <f>SUMIFS(#REF!,$O:$O,$P$4,$A:$A,$AK$1)</f>
        <v>#REF!</v>
      </c>
      <c r="AM4" s="10">
        <f>SUMIFS(F:F,$O:$O,$P$4,$A:$A,$AK$1)</f>
        <v>0</v>
      </c>
      <c r="AN4" s="10">
        <f>SUMIFS(G:G,$O:$O,$P$4,$A:$A,$AK$1)</f>
        <v>0</v>
      </c>
      <c r="AO4" s="10" t="e">
        <f>SUMIFS(#REF!,$O:$O,$P$4,$A:$A,$AO$1)</f>
        <v>#REF!</v>
      </c>
      <c r="AP4" s="10" t="e">
        <f>SUMIFS(#REF!,$O:$O,$P$4,$A:$A,$AO$1)</f>
        <v>#REF!</v>
      </c>
      <c r="AQ4" s="10">
        <f>SUMIFS(F:F,$O:$O,$P$4,$A:$A,$AO$1)</f>
        <v>0</v>
      </c>
      <c r="AR4" s="10">
        <f>SUMIFS(G:G,$O:$O,$P$4,$A:$A,$AO$1)</f>
        <v>0</v>
      </c>
      <c r="AS4" s="10" t="e">
        <f>SUMIFS(#REF!,$O:$O,$P$4,$A:$A,$AS$1)</f>
        <v>#REF!</v>
      </c>
      <c r="AT4" s="10" t="e">
        <f>SUMIFS(#REF!,$O:$O,$P$4,$A:$A,$AS$1)</f>
        <v>#REF!</v>
      </c>
      <c r="AU4" s="10">
        <f>SUMIFS(F:F,$O:$O,$P$4,$A:$A,$AS$1)</f>
        <v>0</v>
      </c>
      <c r="AV4" s="10">
        <f>SUMIFS(G:G,$O:$O,$P$4,$A:$A,$AS$1)</f>
        <v>0</v>
      </c>
    </row>
    <row r="5" spans="1:48" s="36" customFormat="1" x14ac:dyDescent="0.25">
      <c r="A5" s="36" t="str">
        <f>C62</f>
        <v>SUM SENTRALE INNTEKTER OG FINANSPOSTER</v>
      </c>
      <c r="B5" s="293"/>
      <c r="C5" s="121"/>
      <c r="D5" s="91"/>
      <c r="E5" s="91"/>
      <c r="F5" s="2">
        <f>F62</f>
        <v>-4776621</v>
      </c>
      <c r="G5" s="2">
        <f>G62</f>
        <v>-4795708</v>
      </c>
      <c r="H5" s="2">
        <f>H62</f>
        <v>-4800741</v>
      </c>
      <c r="I5" s="2">
        <f>I62</f>
        <v>-4836489</v>
      </c>
      <c r="M5" s="91">
        <v>9340</v>
      </c>
      <c r="N5" s="91">
        <v>6220</v>
      </c>
      <c r="O5" s="91"/>
      <c r="P5" s="1" t="s">
        <v>17</v>
      </c>
      <c r="Q5" s="10" t="e">
        <f>SUMIFS(#REF!,$M:$M,"VEDTATT",$A:$A,$Q$1)</f>
        <v>#REF!</v>
      </c>
      <c r="R5" s="10" t="e">
        <f>SUMIFS(#REF!,$M:$M,"VEDTATT",$A:$A,$Q$1)</f>
        <v>#REF!</v>
      </c>
      <c r="S5" s="10">
        <f>SUMIFS(F:F,$M:$M,"VEDTATT",$A:$A,$Q$1)</f>
        <v>0</v>
      </c>
      <c r="T5" s="10">
        <f>SUMIFS(G:G,$M:$M,"VEDTATT",$A:$A,$Q$1)</f>
        <v>0</v>
      </c>
      <c r="U5" s="10" t="e">
        <f>SUMIFS(#REF!,$M:$M,"VEDTATT",$A:$A,$U$1)</f>
        <v>#REF!</v>
      </c>
      <c r="V5" s="10" t="e">
        <f>SUMIFS(#REF!,$M:$M,"VEDTATT",$A:$A,$U$1)</f>
        <v>#REF!</v>
      </c>
      <c r="W5" s="10">
        <f>SUMIFS(F:F,$M:$M,"VEDTATT",$A:$A,$U$1)</f>
        <v>0</v>
      </c>
      <c r="X5" s="10">
        <f>SUMIFS(G:G,$M:$M,"VEDTATT",$A:$A,$U$1)</f>
        <v>0</v>
      </c>
      <c r="Y5" s="10" t="e">
        <f>SUMIFS(#REF!,$M:$M,"VEDTATT",$A:$A,$Y$1)</f>
        <v>#REF!</v>
      </c>
      <c r="Z5" s="10" t="e">
        <f>SUMIFS(#REF!,$M:$M,"VEDTATT",$A:$A,$Y$1)</f>
        <v>#REF!</v>
      </c>
      <c r="AA5" s="10">
        <f>SUMIFS(F:F,$M:$M,"VEDTATT",$A:$A,$Y$1)</f>
        <v>0</v>
      </c>
      <c r="AB5" s="10">
        <f>SUMIFS(G:G,$M:$M,"VEDTATT",$A:$A,$Y$1)</f>
        <v>0</v>
      </c>
      <c r="AC5" s="10" t="e">
        <f>SUMIFS(#REF!,$M:$M,"VEDTATT",$A:$A,$AC$1)</f>
        <v>#REF!</v>
      </c>
      <c r="AD5" s="10" t="e">
        <f>SUMIFS(#REF!,$M:$M,"VEDTATT",$A:$A,$AC$1)</f>
        <v>#REF!</v>
      </c>
      <c r="AE5" s="10">
        <f>SUMIFS(F:F,$M:$M,"VEDTATT",$A:$A,$AC$1)</f>
        <v>0</v>
      </c>
      <c r="AF5" s="10">
        <f>SUMIFS(G:G,$M:$M,"VEDTATT",$A:$A,$AC$1)</f>
        <v>0</v>
      </c>
      <c r="AG5" s="10" t="e">
        <f>SUMIFS(#REF!,$M:$M,"VEDTATT",$A:$A,$AG$1)</f>
        <v>#REF!</v>
      </c>
      <c r="AH5" s="10" t="e">
        <f>SUMIFS(#REF!,$M:$M,"VEDTATT",$A:$A,$AG$1)</f>
        <v>#REF!</v>
      </c>
      <c r="AI5" s="10">
        <f>SUMIFS(F:F,$M:$M,"VEDTATT",$A:$A,$AG$1)</f>
        <v>0</v>
      </c>
      <c r="AJ5" s="10">
        <f>SUMIFS(G:G,$M:$M,"VEDTATT",$A:$A,$AG$1)</f>
        <v>0</v>
      </c>
      <c r="AK5" s="10" t="e">
        <f>SUMIFS(#REF!,$M:$M,"VEDTATT",$A:$A,$AK$1)</f>
        <v>#REF!</v>
      </c>
      <c r="AL5" s="10" t="e">
        <f>SUMIFS(#REF!,$M:$M,"VEDTATT",$A:$A,$AK$1)</f>
        <v>#REF!</v>
      </c>
      <c r="AM5" s="10">
        <f>SUMIFS(F:F,$M:$M,"VEDTATT",$A:$A,$AK$1)</f>
        <v>0</v>
      </c>
      <c r="AN5" s="10">
        <f>SUMIFS(G:G,$M:$M,"VEDTATT",$A:$A,$AK$1)</f>
        <v>-800</v>
      </c>
      <c r="AO5" s="10" t="e">
        <f>SUMIFS(#REF!,$M:$M,"VEDTATT",$A:$A,$AO$1)</f>
        <v>#REF!</v>
      </c>
      <c r="AP5" s="10" t="e">
        <f>SUMIFS(#REF!,$M:$M,"VEDTATT",$A:$A,$AO$1)</f>
        <v>#REF!</v>
      </c>
      <c r="AQ5" s="10">
        <f>SUMIFS(F:F,$M:$M,"VEDTATT",$A:$A,$AO$1)</f>
        <v>0</v>
      </c>
      <c r="AR5" s="10">
        <f>SUMIFS(G:G,$M:$M,"VEDTATT",$A:$A,$AO$1)</f>
        <v>0</v>
      </c>
      <c r="AS5" s="10" t="e">
        <f>SUMIFS(#REF!,$M:$M,"VEDTATT",$A:$A,$AS$1)</f>
        <v>#REF!</v>
      </c>
      <c r="AT5" s="10" t="e">
        <f>SUMIFS(#REF!,$M:$M,"VEDTATT",$A:$A,$AS$1)</f>
        <v>#REF!</v>
      </c>
      <c r="AU5" s="10">
        <f>SUMIFS(F:F,$M:$M,"VEDTATT",$A:$A,$AS$1)</f>
        <v>-34135</v>
      </c>
      <c r="AV5" s="10">
        <f>SUMIFS(G:G,$M:$M,"VEDTATT",$A:$A,$AS$1)</f>
        <v>-46500</v>
      </c>
    </row>
    <row r="6" spans="1:48" s="36" customFormat="1" x14ac:dyDescent="0.25">
      <c r="A6" s="305" t="s">
        <v>18</v>
      </c>
      <c r="B6" s="306"/>
      <c r="C6" s="307"/>
      <c r="D6" s="308"/>
      <c r="E6" s="308"/>
      <c r="F6" s="309">
        <f>SUM(F4:F5)</f>
        <v>-230258</v>
      </c>
      <c r="G6" s="309">
        <f>SUM(G4:G5)</f>
        <v>-249345</v>
      </c>
      <c r="H6" s="309">
        <f>SUM(H4:H5)</f>
        <v>-254378</v>
      </c>
      <c r="I6" s="309">
        <f>SUM(I4:I5)</f>
        <v>-290126</v>
      </c>
      <c r="M6" s="91"/>
      <c r="N6" s="91"/>
      <c r="O6" s="91"/>
      <c r="P6" s="27" t="s">
        <v>19</v>
      </c>
      <c r="Q6" s="10" t="e">
        <f>SUMIFS(#REF!,$N:$N,$P$6,$A:$A,$Q$1)</f>
        <v>#REF!</v>
      </c>
      <c r="R6" s="10" t="e">
        <f>SUMIFS(#REF!,$N:$N,$P$6,$A:$A,$Q$1)</f>
        <v>#REF!</v>
      </c>
      <c r="S6" s="10">
        <f>SUMIFS(F:F,$N:$N,$P$6,$A:$A,$Q$1)</f>
        <v>0</v>
      </c>
      <c r="T6" s="10">
        <f>SUMIFS(G:G,$N:$N,$P$6,$A:$A,$Q$1)</f>
        <v>0</v>
      </c>
      <c r="U6" s="10" t="e">
        <f>SUMIFS(#REF!,$N:$N,$P$6,$A:$A,$U$1)</f>
        <v>#REF!</v>
      </c>
      <c r="V6" s="10" t="e">
        <f>SUMIFS(#REF!,$N:$N,$P$6,$A:$A,$U$1)</f>
        <v>#REF!</v>
      </c>
      <c r="W6" s="10">
        <f>SUMIFS(F:F,$N:$N,$P$6,$A:$A,$U$1)</f>
        <v>0</v>
      </c>
      <c r="X6" s="10">
        <f>SUMIFS(G:G,$N:$N,$P$6,$A:$A,$U$1)</f>
        <v>0</v>
      </c>
      <c r="Y6" s="10" t="e">
        <f>SUMIFS(#REF!,$N:$N,$P$6,$A:$A,$Y$1)</f>
        <v>#REF!</v>
      </c>
      <c r="Z6" s="10" t="e">
        <f>SUMIFS(#REF!,$N:$N,$P$6,$A:$A,$Y$1)</f>
        <v>#REF!</v>
      </c>
      <c r="AA6" s="10">
        <f>SUMIFS(F:F,$N:$N,$P$6,$A:$A,$Y$1)</f>
        <v>0</v>
      </c>
      <c r="AB6" s="10">
        <f>SUMIFS(G:G,$N:$N,$P$6,$A:$A,$Y$1)</f>
        <v>0</v>
      </c>
      <c r="AC6" s="10" t="e">
        <f>SUMIFS(#REF!,$N:$N,$P$6,$A:$A,$AC$1)</f>
        <v>#REF!</v>
      </c>
      <c r="AD6" s="10" t="e">
        <f>SUMIFS(#REF!,$N:$N,$P$6,$A:$A,$AC$1)</f>
        <v>#REF!</v>
      </c>
      <c r="AE6" s="10">
        <f>SUMIFS(F:F,$N:$N,$P$6,$A:$A,$AC$1)</f>
        <v>0</v>
      </c>
      <c r="AF6" s="10">
        <f>SUMIFS(G:G,$N:$N,$P$6,$A:$A,$AC$1)</f>
        <v>0</v>
      </c>
      <c r="AG6" s="10" t="e">
        <f>SUMIFS(#REF!,$N:$N,$P$6,$A:$A,$AG$1)</f>
        <v>#REF!</v>
      </c>
      <c r="AH6" s="10" t="e">
        <f>SUMIFS(#REF!,$N:$N,$P$6,$A:$A,$AG$1)</f>
        <v>#REF!</v>
      </c>
      <c r="AI6" s="10">
        <f>SUMIFS(F:F,$N:$N,$P$6,$A:$A,$AG$1)</f>
        <v>0</v>
      </c>
      <c r="AJ6" s="10">
        <f>SUMIFS(G:G,$N:$N,$P$6,$A:$A,$AG$1)</f>
        <v>0</v>
      </c>
      <c r="AK6" s="10" t="e">
        <f>SUMIFS(#REF!,$N:$N,$P$6,$A:$A,$AK$1)</f>
        <v>#REF!</v>
      </c>
      <c r="AL6" s="10" t="e">
        <f>SUMIFS(#REF!,$N:$N,$P$6,$A:$A,$AK$1)</f>
        <v>#REF!</v>
      </c>
      <c r="AM6" s="10">
        <f>SUMIFS(F:F,$N:$N,$P$6,$A:$A,$AK$1)</f>
        <v>0</v>
      </c>
      <c r="AN6" s="10">
        <f>SUMIFS(G:G,$N:$N,$P$6,$A:$A,$AK$1)</f>
        <v>0</v>
      </c>
      <c r="AO6" s="10" t="e">
        <f>SUMIFS(#REF!,$N:$N,$P$6,$A:$A,$AO$1)</f>
        <v>#REF!</v>
      </c>
      <c r="AP6" s="10" t="e">
        <f>SUMIFS(#REF!,$N:$N,$P$6,$A:$A,$AO$1)</f>
        <v>#REF!</v>
      </c>
      <c r="AQ6" s="10">
        <f>SUMIFS(F:F,$N:$N,$P$6,$A:$A,$AO$1)</f>
        <v>-50</v>
      </c>
      <c r="AR6" s="10">
        <f>SUMIFS(G:G,$N:$N,$P$6,$A:$A,$AO$1)</f>
        <v>-50</v>
      </c>
      <c r="AS6" s="10" t="e">
        <f>SUMIFS(#REF!,$N:$N,$P$6,$A:$A,$AS$1)</f>
        <v>#REF!</v>
      </c>
      <c r="AT6" s="10" t="e">
        <f>SUMIFS(#REF!,$N:$N,$P$6,$A:$A,$AS$1)</f>
        <v>#REF!</v>
      </c>
      <c r="AU6" s="10">
        <f>SUMIFS(F:F,$N:$N,$P$6,$A:$A,$AS$1)</f>
        <v>133317</v>
      </c>
      <c r="AV6" s="10">
        <f>SUMIFS(G:G,$N:$N,$P$6,$A:$A,$AS$1)</f>
        <v>135497</v>
      </c>
    </row>
    <row r="7" spans="1:48" s="36" customFormat="1" x14ac:dyDescent="0.25">
      <c r="A7" s="310"/>
      <c r="B7" s="300"/>
      <c r="C7" s="300"/>
      <c r="D7" s="302"/>
      <c r="E7" s="302"/>
      <c r="F7" s="311"/>
      <c r="G7" s="311"/>
      <c r="H7" s="311"/>
      <c r="I7" s="311"/>
      <c r="M7" s="91"/>
      <c r="N7" s="91"/>
      <c r="O7" s="91"/>
      <c r="P7" s="27" t="s">
        <v>20</v>
      </c>
      <c r="Q7" s="10" t="e">
        <f>SUMIFS(#REF!,$O:$O,$P$7,$A:$A,$Q$1)</f>
        <v>#REF!</v>
      </c>
      <c r="R7" s="10" t="e">
        <f>SUMIFS(#REF!,$O:$O,$P$7,$A:$A,$Q$1)</f>
        <v>#REF!</v>
      </c>
      <c r="S7" s="10">
        <f>SUMIFS(F:F,$O:$O,$P$7,$A:$A,$Q$1)</f>
        <v>0</v>
      </c>
      <c r="T7" s="10">
        <f>SUMIFS(G:G,$O:$O,$P$7,$A:$A,$Q$1)</f>
        <v>0</v>
      </c>
      <c r="U7" s="10" t="e">
        <f>SUMIFS(#REF!,$O:$O,$P$7,$A:$A,$U$1)</f>
        <v>#REF!</v>
      </c>
      <c r="V7" s="10" t="e">
        <f>SUMIFS(#REF!,$O:$O,$P$7,$A:$A,$U$1)</f>
        <v>#REF!</v>
      </c>
      <c r="W7" s="10">
        <f>SUMIFS(F:F,$O:$O,$P$7,$A:$A,$U$1)</f>
        <v>0</v>
      </c>
      <c r="X7" s="10">
        <f>SUMIFS(G:G,$O:$O,$P$7,$A:$A,$U$1)</f>
        <v>0</v>
      </c>
      <c r="Y7" s="10" t="e">
        <f>SUMIFS(#REF!,$O:$O,$P$7,$A:$A,$Y$1)</f>
        <v>#REF!</v>
      </c>
      <c r="Z7" s="10" t="e">
        <f>SUMIFS(#REF!,$O:$O,$P$7,$A:$A,$Y$1)</f>
        <v>#REF!</v>
      </c>
      <c r="AA7" s="10">
        <f>SUMIFS(F:F,$O:$O,$P$7,$A:$A,$Y$1)</f>
        <v>0</v>
      </c>
      <c r="AB7" s="10">
        <f>SUMIFS(G:G,$O:$O,$P$7,$A:$A,$Y$1)</f>
        <v>0</v>
      </c>
      <c r="AC7" s="10" t="e">
        <f>SUMIFS(#REF!,$O:$O,$P$7,$A:$A,$AC$1)</f>
        <v>#REF!</v>
      </c>
      <c r="AD7" s="10" t="e">
        <f>SUMIFS(#REF!,$O:$O,$P$7,$A:$A,$AC$1)</f>
        <v>#REF!</v>
      </c>
      <c r="AE7" s="10">
        <f>SUMIFS(F:F,$O:$O,$P$7,$A:$A,$AC$1)</f>
        <v>0</v>
      </c>
      <c r="AF7" s="10">
        <f>SUMIFS(G:G,$O:$O,$P$7,$A:$A,$AC$1)</f>
        <v>0</v>
      </c>
      <c r="AG7" s="10" t="e">
        <f>SUMIFS(#REF!,$O:$O,$P$7,$A:$A,$AG$1)</f>
        <v>#REF!</v>
      </c>
      <c r="AH7" s="10" t="e">
        <f>SUMIFS(#REF!,$O:$O,$P$7,$A:$A,$AG$1)</f>
        <v>#REF!</v>
      </c>
      <c r="AI7" s="10">
        <f>SUMIFS(F:F,$O:$O,$P$7,$A:$A,$AG$1)</f>
        <v>0</v>
      </c>
      <c r="AJ7" s="10">
        <f>SUMIFS(G:G,$O:$O,$P$7,$A:$A,$AG$1)</f>
        <v>0</v>
      </c>
      <c r="AK7" s="10" t="e">
        <f>SUMIFS(#REF!,$O:$O,$P$7,$A:$A,$AK$1)</f>
        <v>#REF!</v>
      </c>
      <c r="AL7" s="10" t="e">
        <f>SUMIFS(#REF!,$O:$O,$P$7,$A:$A,$AK$1)</f>
        <v>#REF!</v>
      </c>
      <c r="AM7" s="10">
        <f>SUMIFS(F:F,$O:$O,$P$7,$A:$A,$AK$1)</f>
        <v>0</v>
      </c>
      <c r="AN7" s="10">
        <f>SUMIFS(G:G,$O:$O,$P$7,$A:$A,$AK$1)</f>
        <v>0</v>
      </c>
      <c r="AO7" s="10" t="e">
        <f>SUMIFS(#REF!,$O:$O,$P$7,$A:$A,$AO$1)</f>
        <v>#REF!</v>
      </c>
      <c r="AP7" s="10" t="e">
        <f>SUMIFS(#REF!,$O:$O,$P$7,$A:$A,$AO$1)</f>
        <v>#REF!</v>
      </c>
      <c r="AQ7" s="10">
        <f>SUMIFS(F:F,$O:$O,$P$7,$A:$A,$AO$1)</f>
        <v>0</v>
      </c>
      <c r="AR7" s="10">
        <f>SUMIFS(G:G,$O:$O,$P$7,$A:$A,$AO$1)</f>
        <v>0</v>
      </c>
      <c r="AS7" s="10" t="e">
        <f>SUMIFS(#REF!,$O:$O,$P$7,$A:$A,$AS$1)</f>
        <v>#REF!</v>
      </c>
      <c r="AT7" s="10" t="e">
        <f>SUMIFS(#REF!,$O:$O,$P$7,$A:$A,$AS$1)</f>
        <v>#REF!</v>
      </c>
      <c r="AU7" s="10">
        <f>SUMIFS(F:F,$O:$O,$P$7,$A:$A,$AS$1)</f>
        <v>0</v>
      </c>
      <c r="AV7" s="10">
        <f>SUMIFS(G:G,$O:$O,$P$7,$A:$A,$AS$1)</f>
        <v>0</v>
      </c>
    </row>
    <row r="8" spans="1:48" s="36" customFormat="1" x14ac:dyDescent="0.25">
      <c r="A8" s="312" t="s">
        <v>21</v>
      </c>
      <c r="B8" s="205"/>
      <c r="C8" s="205"/>
      <c r="D8" s="313"/>
      <c r="E8" s="313"/>
      <c r="F8" s="37">
        <f>SUMIF($D:$D,"ØP 21-24",F:F)</f>
        <v>-14891</v>
      </c>
      <c r="G8" s="37">
        <f>SUMIF($D:$D,"ØP 21-24",G:G)</f>
        <v>-6136</v>
      </c>
      <c r="H8" s="37">
        <f>SUMIF($D:$D,"ØP 21-24",H:H)</f>
        <v>5191.5833333333321</v>
      </c>
      <c r="I8" s="37">
        <f>SUMIF($D:$D,"ØP 21-24",I:I)</f>
        <v>29860</v>
      </c>
      <c r="M8" s="91"/>
      <c r="N8" s="49"/>
      <c r="O8" s="49"/>
      <c r="P8" s="26" t="s">
        <v>22</v>
      </c>
      <c r="Q8" s="231" t="e">
        <f t="shared" ref="Q8:AV8" si="0">SUBTOTAL(9,Q4:Q7)</f>
        <v>#REF!</v>
      </c>
      <c r="R8" s="231" t="e">
        <f t="shared" si="0"/>
        <v>#REF!</v>
      </c>
      <c r="S8" s="231">
        <f t="shared" si="0"/>
        <v>0</v>
      </c>
      <c r="T8" s="231">
        <f t="shared" si="0"/>
        <v>0</v>
      </c>
      <c r="U8" s="231" t="e">
        <f t="shared" si="0"/>
        <v>#REF!</v>
      </c>
      <c r="V8" s="231" t="e">
        <f t="shared" si="0"/>
        <v>#REF!</v>
      </c>
      <c r="W8" s="231">
        <f t="shared" si="0"/>
        <v>0</v>
      </c>
      <c r="X8" s="231">
        <f t="shared" si="0"/>
        <v>0</v>
      </c>
      <c r="Y8" s="231" t="e">
        <f t="shared" si="0"/>
        <v>#REF!</v>
      </c>
      <c r="Z8" s="231" t="e">
        <f t="shared" si="0"/>
        <v>#REF!</v>
      </c>
      <c r="AA8" s="231">
        <f t="shared" si="0"/>
        <v>0</v>
      </c>
      <c r="AB8" s="231">
        <f t="shared" si="0"/>
        <v>0</v>
      </c>
      <c r="AC8" s="231" t="e">
        <f t="shared" si="0"/>
        <v>#REF!</v>
      </c>
      <c r="AD8" s="231" t="e">
        <f t="shared" si="0"/>
        <v>#REF!</v>
      </c>
      <c r="AE8" s="231">
        <f t="shared" si="0"/>
        <v>0</v>
      </c>
      <c r="AF8" s="231">
        <f t="shared" si="0"/>
        <v>0</v>
      </c>
      <c r="AG8" s="231" t="e">
        <f t="shared" si="0"/>
        <v>#REF!</v>
      </c>
      <c r="AH8" s="231" t="e">
        <f t="shared" si="0"/>
        <v>#REF!</v>
      </c>
      <c r="AI8" s="231">
        <f t="shared" si="0"/>
        <v>0</v>
      </c>
      <c r="AJ8" s="231">
        <f t="shared" si="0"/>
        <v>0</v>
      </c>
      <c r="AK8" s="231" t="e">
        <f t="shared" si="0"/>
        <v>#REF!</v>
      </c>
      <c r="AL8" s="231" t="e">
        <f t="shared" si="0"/>
        <v>#REF!</v>
      </c>
      <c r="AM8" s="231">
        <f t="shared" si="0"/>
        <v>0</v>
      </c>
      <c r="AN8" s="231">
        <f t="shared" si="0"/>
        <v>-800</v>
      </c>
      <c r="AO8" s="231" t="e">
        <f t="shared" si="0"/>
        <v>#REF!</v>
      </c>
      <c r="AP8" s="231" t="e">
        <f t="shared" si="0"/>
        <v>#REF!</v>
      </c>
      <c r="AQ8" s="231">
        <f t="shared" si="0"/>
        <v>-50</v>
      </c>
      <c r="AR8" s="231">
        <f t="shared" si="0"/>
        <v>-50</v>
      </c>
      <c r="AS8" s="231" t="e">
        <f t="shared" si="0"/>
        <v>#REF!</v>
      </c>
      <c r="AT8" s="231" t="e">
        <f t="shared" si="0"/>
        <v>#REF!</v>
      </c>
      <c r="AU8" s="231">
        <f t="shared" si="0"/>
        <v>99182</v>
      </c>
      <c r="AV8" s="231">
        <f t="shared" si="0"/>
        <v>88997</v>
      </c>
    </row>
    <row r="9" spans="1:48" s="36" customFormat="1" x14ac:dyDescent="0.25">
      <c r="A9" s="314" t="s">
        <v>23</v>
      </c>
      <c r="B9" s="315"/>
      <c r="C9" s="315"/>
      <c r="D9" s="316"/>
      <c r="E9" s="316"/>
      <c r="F9" s="265">
        <f>SUMIF($D:$D,"ØP 21-24 REKALK",F:F)</f>
        <v>35196</v>
      </c>
      <c r="G9" s="265">
        <f>SUMIF($D:$D,"ØP 21-24 REKALK",G:G)</f>
        <v>34638</v>
      </c>
      <c r="H9" s="265">
        <f>SUMIF($D:$D,"ØP 21-24 REKALK",H:H)</f>
        <v>35983</v>
      </c>
      <c r="I9" s="265">
        <f>SUMIF($D:$D,"ØP 21-24 REKALK",I:I)</f>
        <v>39473</v>
      </c>
      <c r="M9" s="91"/>
      <c r="N9" s="49"/>
      <c r="O9" s="49"/>
      <c r="P9" s="26"/>
    </row>
    <row r="10" spans="1:48" s="36" customFormat="1" x14ac:dyDescent="0.25">
      <c r="A10" s="317" t="s">
        <v>24</v>
      </c>
      <c r="B10" s="318"/>
      <c r="C10" s="318"/>
      <c r="D10" s="319"/>
      <c r="E10" s="319"/>
      <c r="F10" s="320">
        <f>F6+F8+F9</f>
        <v>-209953</v>
      </c>
      <c r="G10" s="320">
        <f>G6+G8+G9</f>
        <v>-220843</v>
      </c>
      <c r="H10" s="320">
        <f>H6+H8+H9</f>
        <v>-213203.41666666666</v>
      </c>
      <c r="I10" s="320">
        <f>I6+I8+I9</f>
        <v>-220793</v>
      </c>
      <c r="M10" s="91"/>
      <c r="N10" s="49"/>
      <c r="O10" s="49"/>
      <c r="P10" s="26"/>
    </row>
    <row r="11" spans="1:48" s="26" customFormat="1" x14ac:dyDescent="0.25">
      <c r="A11" s="36"/>
      <c r="B11" s="293"/>
      <c r="C11" s="293"/>
      <c r="D11" s="91"/>
      <c r="E11" s="91"/>
      <c r="F11" s="2"/>
      <c r="G11" s="2"/>
      <c r="H11" s="2"/>
      <c r="I11" s="2"/>
      <c r="J11" s="36"/>
      <c r="K11" s="36"/>
      <c r="L11" s="36"/>
      <c r="M11" s="91"/>
      <c r="N11" s="49"/>
      <c r="O11" s="49"/>
      <c r="Q11" s="93"/>
      <c r="R11" s="93"/>
      <c r="S11" s="93"/>
      <c r="T11" s="93"/>
    </row>
    <row r="12" spans="1:48" s="26" customFormat="1" x14ac:dyDescent="0.25">
      <c r="A12" s="310" t="s">
        <v>25</v>
      </c>
      <c r="B12" s="293"/>
      <c r="C12" s="293"/>
      <c r="D12" s="91"/>
      <c r="E12" s="91"/>
      <c r="F12" s="2">
        <f>SUMIFS(F:F,$D:$D,"NYTT",$E:$E,"INNSP")</f>
        <v>-800</v>
      </c>
      <c r="G12" s="2">
        <f>SUMIFS(G:G,$D:$D,"NYTT",$E:$E,"INNSP")</f>
        <v>0</v>
      </c>
      <c r="H12" s="2">
        <f>SUMIFS(H:H,$D:$D,"NYTT",$E:$E,"INNSP")</f>
        <v>-1300</v>
      </c>
      <c r="I12" s="2">
        <f>SUMIFS(I:I,$D:$D,"NYTT",$E:$E,"INNSP")</f>
        <v>-1300</v>
      </c>
      <c r="J12" s="36"/>
      <c r="K12" s="36"/>
      <c r="L12" s="36"/>
      <c r="M12" s="91"/>
      <c r="N12" s="49"/>
      <c r="O12" s="49"/>
      <c r="Q12" s="93"/>
      <c r="R12" s="93"/>
      <c r="S12" s="93"/>
      <c r="T12" s="93"/>
    </row>
    <row r="13" spans="1:48" s="36" customFormat="1" x14ac:dyDescent="0.25">
      <c r="A13" s="314" t="s">
        <v>26</v>
      </c>
      <c r="B13" s="315"/>
      <c r="C13" s="315"/>
      <c r="D13" s="316"/>
      <c r="E13" s="316"/>
      <c r="F13" s="265">
        <f>SUMIFS(F:F,$D:$D,"NYTT",$E:$E,"MÅ")</f>
        <v>210753</v>
      </c>
      <c r="G13" s="265">
        <f>SUMIFS(G:G,$D:$D,"NYTT",$E:$E,"MÅ")</f>
        <v>220843</v>
      </c>
      <c r="H13" s="265">
        <f>SUMIFS(H:H,$D:$D,"NYTT",$E:$E,"MÅ")</f>
        <v>214503</v>
      </c>
      <c r="I13" s="265">
        <f>SUMIFS(I:I,$D:$D,"NYTT",$E:$E,"MÅ")</f>
        <v>222093</v>
      </c>
      <c r="M13" s="91"/>
      <c r="N13" s="49"/>
      <c r="O13" s="49"/>
      <c r="P13" s="27" t="s">
        <v>16</v>
      </c>
      <c r="Q13" s="93" t="e">
        <f t="shared" ref="Q13:T17" si="1">Q4+U4+Y4+AC4+AG4+AK4+AO4+AS4</f>
        <v>#REF!</v>
      </c>
      <c r="R13" s="93" t="e">
        <f t="shared" si="1"/>
        <v>#REF!</v>
      </c>
      <c r="S13" s="93">
        <f t="shared" si="1"/>
        <v>0</v>
      </c>
      <c r="T13" s="93">
        <f t="shared" si="1"/>
        <v>0</v>
      </c>
    </row>
    <row r="14" spans="1:48" s="36" customFormat="1" x14ac:dyDescent="0.25">
      <c r="A14" s="305" t="s">
        <v>27</v>
      </c>
      <c r="B14" s="307"/>
      <c r="C14" s="307"/>
      <c r="D14" s="321"/>
      <c r="E14" s="321"/>
      <c r="F14" s="322">
        <f>F6+F8+F9+F12+F13</f>
        <v>0</v>
      </c>
      <c r="G14" s="322">
        <f>G6+G8+G9+G12+G13</f>
        <v>0</v>
      </c>
      <c r="H14" s="322">
        <f>H6+H8+H9+H12+H13</f>
        <v>-0.41666666665696539</v>
      </c>
      <c r="I14" s="322">
        <f>I6+I8+I9+I12+I13</f>
        <v>0</v>
      </c>
      <c r="M14" s="91"/>
      <c r="N14" s="49"/>
      <c r="O14" s="49"/>
      <c r="P14" s="1" t="s">
        <v>17</v>
      </c>
      <c r="Q14" s="93" t="e">
        <f t="shared" si="1"/>
        <v>#REF!</v>
      </c>
      <c r="R14" s="93" t="e">
        <f t="shared" si="1"/>
        <v>#REF!</v>
      </c>
      <c r="S14" s="93">
        <f t="shared" si="1"/>
        <v>-34135</v>
      </c>
      <c r="T14" s="93">
        <f t="shared" si="1"/>
        <v>-47300</v>
      </c>
    </row>
    <row r="15" spans="1:48" s="36" customFormat="1" x14ac:dyDescent="0.25">
      <c r="A15" s="310"/>
      <c r="B15" s="300"/>
      <c r="C15" s="300"/>
      <c r="D15" s="302"/>
      <c r="E15" s="302"/>
      <c r="F15" s="508"/>
      <c r="G15" s="311"/>
      <c r="H15" s="311"/>
      <c r="I15" s="311"/>
      <c r="M15" s="91"/>
      <c r="N15" s="49"/>
      <c r="O15" s="49"/>
      <c r="P15" s="27" t="s">
        <v>19</v>
      </c>
      <c r="Q15" s="93" t="e">
        <f t="shared" si="1"/>
        <v>#REF!</v>
      </c>
      <c r="R15" s="93" t="e">
        <f t="shared" si="1"/>
        <v>#REF!</v>
      </c>
      <c r="S15" s="93">
        <f t="shared" si="1"/>
        <v>133267</v>
      </c>
      <c r="T15" s="93">
        <f t="shared" si="1"/>
        <v>135447</v>
      </c>
    </row>
    <row r="16" spans="1:48" s="36" customFormat="1" x14ac:dyDescent="0.25">
      <c r="A16" s="312" t="s">
        <v>28</v>
      </c>
      <c r="B16" s="205"/>
      <c r="C16" s="205"/>
      <c r="D16" s="313"/>
      <c r="E16" s="313"/>
      <c r="F16" s="37">
        <f>SUMIF($D:$D,"NYTT",F:F)-F17-F13-F12</f>
        <v>0</v>
      </c>
      <c r="G16" s="37">
        <f>SUMIF($D:$D,"NYTT",G:G)-G17-G13-G12</f>
        <v>0</v>
      </c>
      <c r="H16" s="37">
        <f>SUMIF($D:$D,"NYTT",H:H)-H17-H13-H12</f>
        <v>0</v>
      </c>
      <c r="I16" s="37">
        <f>SUMIF($D:$D,"NYTT",I:I)-I17-I13-I12</f>
        <v>0</v>
      </c>
      <c r="M16" s="91"/>
      <c r="N16" s="49"/>
      <c r="O16" s="49"/>
      <c r="P16" s="27" t="s">
        <v>20</v>
      </c>
      <c r="Q16" s="93" t="e">
        <f t="shared" si="1"/>
        <v>#REF!</v>
      </c>
      <c r="R16" s="93" t="e">
        <f t="shared" si="1"/>
        <v>#REF!</v>
      </c>
      <c r="S16" s="93">
        <f t="shared" si="1"/>
        <v>0</v>
      </c>
      <c r="T16" s="93">
        <f t="shared" si="1"/>
        <v>0</v>
      </c>
    </row>
    <row r="17" spans="1:49" s="36" customFormat="1" x14ac:dyDescent="0.25">
      <c r="A17" s="323" t="s">
        <v>29</v>
      </c>
      <c r="B17" s="205"/>
      <c r="C17" s="324"/>
      <c r="D17" s="313"/>
      <c r="E17" s="313"/>
      <c r="F17" s="325">
        <f>SUMIFS(F:F,$D:$D,"NYTT",$E:$E,"IKKE PRI")</f>
        <v>1700</v>
      </c>
      <c r="G17" s="325">
        <f>SUMIFS(G:G,$D:$D,"NYTT",$E:$E,"IKKE PRI")</f>
        <v>1700</v>
      </c>
      <c r="H17" s="325">
        <f>SUMIFS(H:H,$D:$D,"NYTT",$E:$E,"IKKE PRI")</f>
        <v>1700</v>
      </c>
      <c r="I17" s="325">
        <f>SUMIFS(I:I,$D:$D,"NYTT",$E:$E,"IKKE PRI")</f>
        <v>1700</v>
      </c>
      <c r="M17" s="91"/>
      <c r="N17" s="49"/>
      <c r="O17" s="49"/>
      <c r="P17" s="26" t="s">
        <v>22</v>
      </c>
      <c r="Q17" s="93" t="e">
        <f t="shared" si="1"/>
        <v>#REF!</v>
      </c>
      <c r="R17" s="93" t="e">
        <f t="shared" si="1"/>
        <v>#REF!</v>
      </c>
      <c r="S17" s="93">
        <f t="shared" si="1"/>
        <v>99132</v>
      </c>
      <c r="T17" s="93">
        <f t="shared" si="1"/>
        <v>88147</v>
      </c>
    </row>
    <row r="18" spans="1:49" s="36" customFormat="1" x14ac:dyDescent="0.25">
      <c r="A18" s="323"/>
      <c r="B18" s="205"/>
      <c r="C18" s="324"/>
      <c r="D18" s="313"/>
      <c r="E18" s="313"/>
      <c r="F18" s="290">
        <f>(F8+F9+F13+F16+F17+F12)-SUMIF($B:$B,"X",F:F)</f>
        <v>0</v>
      </c>
      <c r="G18" s="290">
        <f>(G8+G9+G13+G16+G17+G12)-SUMIF($B:$B,"X",G:G)</f>
        <v>0</v>
      </c>
      <c r="H18" s="290">
        <f>(H8+H9+H13+H16+H17+H12)-SUMIF($B:$B,"X",H:H)</f>
        <v>0</v>
      </c>
      <c r="I18" s="290">
        <f>(I8+I9+I13+I16+I17+I12)-SUMIF($B:$B,"X",I:I)</f>
        <v>0</v>
      </c>
      <c r="M18" s="91"/>
      <c r="N18" s="49"/>
      <c r="O18" s="49"/>
      <c r="P18" s="26"/>
    </row>
    <row r="19" spans="1:49" s="36" customFormat="1" x14ac:dyDescent="0.25">
      <c r="A19" s="326"/>
      <c r="B19" s="327"/>
      <c r="C19" s="296"/>
      <c r="D19" s="328"/>
      <c r="E19" s="328"/>
      <c r="F19" s="329"/>
      <c r="G19" s="329"/>
      <c r="H19" s="329"/>
      <c r="I19" s="329"/>
      <c r="M19" s="91"/>
      <c r="N19" s="49"/>
      <c r="O19" s="49"/>
      <c r="P19" s="26"/>
    </row>
    <row r="20" spans="1:49" s="36" customFormat="1" x14ac:dyDescent="0.25">
      <c r="A20" s="330"/>
      <c r="B20" s="293"/>
      <c r="C20" s="331"/>
      <c r="D20" s="91"/>
      <c r="E20" s="91"/>
      <c r="F20" s="332">
        <f>F8+F9+F13+F12</f>
        <v>230258</v>
      </c>
      <c r="G20" s="332">
        <f>G8+G9+G13+G12</f>
        <v>249345</v>
      </c>
      <c r="H20" s="332">
        <f>H8+H9+H13+H12</f>
        <v>254377.58333333331</v>
      </c>
      <c r="I20" s="332">
        <f>I8+I9+I13+I12</f>
        <v>290126</v>
      </c>
      <c r="M20" s="91"/>
      <c r="N20" s="49"/>
      <c r="O20" s="49"/>
      <c r="P20" s="26"/>
    </row>
    <row r="21" spans="1:49" s="36" customFormat="1" x14ac:dyDescent="0.25">
      <c r="A21" s="330"/>
      <c r="B21" s="293"/>
      <c r="C21" s="331"/>
      <c r="D21" s="91"/>
      <c r="E21" s="91"/>
      <c r="F21" s="332"/>
      <c r="G21" s="332"/>
      <c r="H21" s="332"/>
      <c r="I21" s="332"/>
      <c r="M21" s="91"/>
      <c r="N21" s="49"/>
      <c r="O21" s="49"/>
      <c r="P21" s="26"/>
    </row>
    <row r="22" spans="1:49" s="36" customFormat="1" hidden="1" x14ac:dyDescent="0.25">
      <c r="A22" s="190" t="s">
        <v>30</v>
      </c>
      <c r="B22" s="333"/>
      <c r="C22" s="234"/>
      <c r="D22" s="235"/>
      <c r="E22" s="235"/>
      <c r="F22" s="191"/>
      <c r="G22" s="191"/>
      <c r="H22" s="191"/>
      <c r="I22" s="191"/>
      <c r="J22" s="26"/>
      <c r="K22" s="26"/>
      <c r="L22" s="26"/>
      <c r="M22" s="49"/>
      <c r="N22" s="49"/>
      <c r="O22" s="49"/>
      <c r="P22" s="26"/>
    </row>
    <row r="23" spans="1:49" s="123" customFormat="1" hidden="1" x14ac:dyDescent="0.25">
      <c r="A23" s="192" t="s">
        <v>31</v>
      </c>
      <c r="B23" s="236"/>
      <c r="C23" s="193"/>
      <c r="D23" s="237"/>
      <c r="E23" s="237"/>
      <c r="F23" s="194">
        <f>SUMIF($N:$N,"FOND",F:F)</f>
        <v>0</v>
      </c>
      <c r="G23" s="194">
        <f>SUMIF($N:$N,"FOND",G:G)</f>
        <v>0</v>
      </c>
      <c r="H23" s="194">
        <f>SUMIF($N:$N,"FOND",H:H)</f>
        <v>0</v>
      </c>
      <c r="I23" s="194">
        <f>SUMIF($N:$N,"FOND",I:I)</f>
        <v>0</v>
      </c>
      <c r="J23" s="238"/>
      <c r="K23" s="238"/>
      <c r="L23" s="238"/>
      <c r="M23" s="239"/>
      <c r="N23" s="239"/>
      <c r="O23" s="239"/>
      <c r="P23" s="238"/>
      <c r="AW23" s="36"/>
    </row>
    <row r="24" spans="1:49" s="36" customFormat="1" hidden="1" x14ac:dyDescent="0.25">
      <c r="A24" s="195" t="s">
        <v>32</v>
      </c>
      <c r="B24" s="333"/>
      <c r="C24" s="234"/>
      <c r="D24" s="235"/>
      <c r="E24" s="235"/>
      <c r="F24" s="196">
        <f>SUBTOTAL(9,F22:F23)</f>
        <v>0</v>
      </c>
      <c r="G24" s="196">
        <f>SUBTOTAL(9,G22:G23)</f>
        <v>0</v>
      </c>
      <c r="H24" s="196">
        <f>SUBTOTAL(9,H22:H23)</f>
        <v>0</v>
      </c>
      <c r="I24" s="196">
        <f>SUBTOTAL(9,I22:I23)</f>
        <v>0</v>
      </c>
      <c r="J24" s="26"/>
      <c r="K24" s="26"/>
      <c r="L24" s="26"/>
      <c r="M24" s="49"/>
      <c r="N24" s="49"/>
      <c r="O24" s="49"/>
      <c r="P24" s="26"/>
    </row>
    <row r="25" spans="1:49" s="36" customFormat="1" x14ac:dyDescent="0.25">
      <c r="A25" s="26"/>
      <c r="B25" s="9"/>
      <c r="C25" s="9"/>
      <c r="D25" s="240"/>
      <c r="E25" s="240"/>
      <c r="F25" s="334">
        <f>(F8+F9+F13+F16+F17+F12)-SUMIF($B:$B,"X",F:F)</f>
        <v>0</v>
      </c>
      <c r="G25" s="334">
        <f>(G8+G9+G13+G16+G17+G12)-SUMIF($B:$B,"X",G:G)</f>
        <v>0</v>
      </c>
      <c r="H25" s="334">
        <f>(H8+H9+H13+H16+H17+H12)-SUMIF($B:$B,"X",H:H)</f>
        <v>0</v>
      </c>
      <c r="I25" s="334">
        <f>(I8+I9+I13+I16+I17+I12)-SUMIF($B:$B,"X",I:I)</f>
        <v>0</v>
      </c>
      <c r="J25" s="26"/>
      <c r="K25" s="26"/>
      <c r="L25" s="26"/>
      <c r="M25" s="49"/>
      <c r="N25" s="49"/>
      <c r="O25" s="49"/>
      <c r="P25" s="26"/>
    </row>
    <row r="26" spans="1:49" s="36" customFormat="1" x14ac:dyDescent="0.25">
      <c r="A26" s="4" t="s">
        <v>33</v>
      </c>
      <c r="B26" s="5" t="s">
        <v>34</v>
      </c>
      <c r="C26" s="3" t="s">
        <v>35</v>
      </c>
      <c r="D26" s="6" t="s">
        <v>36</v>
      </c>
      <c r="E26" s="44" t="s">
        <v>37</v>
      </c>
      <c r="F26" s="4">
        <v>2022</v>
      </c>
      <c r="G26" s="4">
        <v>2023</v>
      </c>
      <c r="H26" s="4">
        <v>2024</v>
      </c>
      <c r="I26" s="4">
        <v>2025</v>
      </c>
      <c r="J26" s="4" t="s">
        <v>38</v>
      </c>
      <c r="K26" s="26" t="s">
        <v>39</v>
      </c>
      <c r="L26" s="26" t="s">
        <v>40</v>
      </c>
      <c r="M26" s="49"/>
      <c r="N26" s="49"/>
      <c r="O26" s="49"/>
      <c r="P26" s="26"/>
    </row>
    <row r="27" spans="1:49" s="36" customFormat="1" x14ac:dyDescent="0.25">
      <c r="A27" s="232"/>
      <c r="B27" s="9"/>
      <c r="C27" s="15"/>
      <c r="D27" s="49"/>
      <c r="E27" s="84" t="s">
        <v>41</v>
      </c>
      <c r="F27" s="233">
        <v>-2691000</v>
      </c>
      <c r="G27" s="233">
        <v>-2721000</v>
      </c>
      <c r="H27" s="233">
        <v>-2752000</v>
      </c>
      <c r="I27" s="233"/>
      <c r="J27" s="37"/>
      <c r="K27" s="26"/>
      <c r="L27" s="26"/>
      <c r="M27" s="26"/>
      <c r="N27" s="26"/>
      <c r="O27" s="26"/>
      <c r="P27" s="26"/>
      <c r="R27" s="233"/>
      <c r="S27" s="233"/>
      <c r="T27" s="233"/>
    </row>
    <row r="28" spans="1:49" s="36" customFormat="1" x14ac:dyDescent="0.25">
      <c r="A28" s="13"/>
      <c r="B28" s="42"/>
      <c r="C28" s="14" t="s">
        <v>42</v>
      </c>
      <c r="D28" s="39"/>
      <c r="E28" s="85" t="s">
        <v>43</v>
      </c>
      <c r="F28" s="83">
        <v>-1958000</v>
      </c>
      <c r="G28" s="83">
        <v>-1989000</v>
      </c>
      <c r="H28" s="83">
        <v>-2013000</v>
      </c>
      <c r="I28" s="83"/>
      <c r="J28" s="37"/>
      <c r="K28" s="335"/>
      <c r="L28" s="335"/>
      <c r="M28" s="75"/>
      <c r="N28" s="241"/>
      <c r="O28" s="241"/>
      <c r="P28" s="241"/>
      <c r="Q28" s="241"/>
      <c r="R28" s="83"/>
      <c r="S28" s="83"/>
      <c r="T28" s="83"/>
    </row>
    <row r="29" spans="1:49" s="36" customFormat="1" x14ac:dyDescent="0.25">
      <c r="A29" s="76" t="s">
        <v>44</v>
      </c>
      <c r="B29" s="336" t="str">
        <f t="shared" ref="B29:B60" si="2">IF(L29,K29&amp;L29,"")</f>
        <v>I1</v>
      </c>
      <c r="C29" s="96" t="s">
        <v>45</v>
      </c>
      <c r="D29" s="77" t="s">
        <v>44</v>
      </c>
      <c r="E29" s="77" t="s">
        <v>46</v>
      </c>
      <c r="F29" s="88">
        <v>-2791000</v>
      </c>
      <c r="G29" s="88">
        <v>-2822000</v>
      </c>
      <c r="H29" s="88">
        <v>-2853000</v>
      </c>
      <c r="I29" s="88">
        <v>-2884000</v>
      </c>
      <c r="J29" s="290" t="s">
        <v>47</v>
      </c>
      <c r="K29" s="26" t="s">
        <v>48</v>
      </c>
      <c r="L29" s="26">
        <f t="shared" ref="L29:L61" si="3">L28+1</f>
        <v>1</v>
      </c>
      <c r="M29" s="197"/>
      <c r="N29" s="198"/>
      <c r="O29" s="198"/>
      <c r="P29" s="26"/>
      <c r="R29" s="88"/>
      <c r="S29" s="88"/>
      <c r="T29" s="88"/>
      <c r="U29" s="88"/>
      <c r="V29" s="93"/>
    </row>
    <row r="30" spans="1:49" s="36" customFormat="1" x14ac:dyDescent="0.25">
      <c r="A30" s="76" t="s">
        <v>44</v>
      </c>
      <c r="B30" s="336" t="str">
        <f t="shared" si="2"/>
        <v>I2</v>
      </c>
      <c r="C30" s="96" t="s">
        <v>49</v>
      </c>
      <c r="D30" s="77" t="s">
        <v>44</v>
      </c>
      <c r="E30" s="77" t="s">
        <v>46</v>
      </c>
      <c r="F30" s="88">
        <f>-2064000-20000</f>
        <v>-2084000</v>
      </c>
      <c r="G30" s="88">
        <f>-2095000-20000</f>
        <v>-2115000</v>
      </c>
      <c r="H30" s="88">
        <f>-2121000-20000</f>
        <v>-2141000</v>
      </c>
      <c r="I30" s="88">
        <f>-2144000-20000</f>
        <v>-2164000</v>
      </c>
      <c r="J30" s="290" t="s">
        <v>47</v>
      </c>
      <c r="K30" s="26" t="s">
        <v>48</v>
      </c>
      <c r="L30" s="26">
        <f t="shared" si="3"/>
        <v>2</v>
      </c>
      <c r="M30" s="197"/>
      <c r="N30" s="198"/>
      <c r="O30" s="198"/>
      <c r="P30" s="26"/>
      <c r="R30" s="88"/>
      <c r="S30" s="88"/>
      <c r="T30" s="88"/>
      <c r="U30" s="88"/>
      <c r="V30" s="93"/>
    </row>
    <row r="31" spans="1:49" s="36" customFormat="1" x14ac:dyDescent="0.25">
      <c r="A31" s="76" t="s">
        <v>44</v>
      </c>
      <c r="B31" s="336" t="str">
        <f t="shared" si="2"/>
        <v>I3</v>
      </c>
      <c r="C31" s="96" t="s">
        <v>50</v>
      </c>
      <c r="D31" s="77" t="s">
        <v>44</v>
      </c>
      <c r="E31" s="77" t="s">
        <v>46</v>
      </c>
      <c r="F31" s="88">
        <v>-63000</v>
      </c>
      <c r="G31" s="88">
        <v>-64000</v>
      </c>
      <c r="H31" s="88">
        <v>-64000</v>
      </c>
      <c r="I31" s="88">
        <v>-64000</v>
      </c>
      <c r="J31" s="290" t="s">
        <v>51</v>
      </c>
      <c r="K31" s="26" t="s">
        <v>48</v>
      </c>
      <c r="L31" s="26">
        <f t="shared" si="3"/>
        <v>3</v>
      </c>
      <c r="M31" s="197"/>
      <c r="N31" s="256">
        <f>1-N32</f>
        <v>0.13649999999999995</v>
      </c>
      <c r="O31" s="198"/>
      <c r="P31" s="26"/>
      <c r="R31" s="88"/>
      <c r="S31" s="88"/>
      <c r="T31" s="88"/>
      <c r="U31" s="88"/>
      <c r="V31" s="93"/>
    </row>
    <row r="32" spans="1:49" s="36" customFormat="1" x14ac:dyDescent="0.25">
      <c r="A32" s="76" t="s">
        <v>44</v>
      </c>
      <c r="B32" s="336" t="str">
        <f t="shared" si="2"/>
        <v>I4</v>
      </c>
      <c r="C32" s="96" t="s">
        <v>52</v>
      </c>
      <c r="D32" s="77" t="s">
        <v>44</v>
      </c>
      <c r="E32" s="77" t="s">
        <v>46</v>
      </c>
      <c r="F32" s="88">
        <v>-30000</v>
      </c>
      <c r="G32" s="88">
        <v>-15000</v>
      </c>
      <c r="H32" s="88">
        <v>-15000</v>
      </c>
      <c r="I32" s="88">
        <v>-15000</v>
      </c>
      <c r="J32" s="290" t="s">
        <v>53</v>
      </c>
      <c r="K32" s="26" t="s">
        <v>48</v>
      </c>
      <c r="L32" s="26">
        <f t="shared" si="3"/>
        <v>4</v>
      </c>
      <c r="M32" s="197"/>
      <c r="N32" s="256">
        <v>0.86350000000000005</v>
      </c>
      <c r="O32" s="198"/>
      <c r="P32" s="26"/>
      <c r="R32" s="248"/>
      <c r="S32" s="248"/>
      <c r="T32" s="248"/>
      <c r="U32" s="248"/>
      <c r="V32" s="337"/>
    </row>
    <row r="33" spans="1:22" s="36" customFormat="1" x14ac:dyDescent="0.25">
      <c r="A33" s="76" t="s">
        <v>44</v>
      </c>
      <c r="B33" s="336" t="str">
        <f t="shared" si="2"/>
        <v>I5</v>
      </c>
      <c r="C33" s="96" t="s">
        <v>54</v>
      </c>
      <c r="D33" s="77" t="s">
        <v>44</v>
      </c>
      <c r="E33" s="77" t="s">
        <v>46</v>
      </c>
      <c r="F33" s="88">
        <v>-10300</v>
      </c>
      <c r="G33" s="88">
        <v>-10300</v>
      </c>
      <c r="H33" s="88">
        <v>-10300</v>
      </c>
      <c r="I33" s="88">
        <v>-10300</v>
      </c>
      <c r="J33" s="290" t="s">
        <v>55</v>
      </c>
      <c r="K33" s="26" t="s">
        <v>48</v>
      </c>
      <c r="L33" s="26">
        <f t="shared" si="3"/>
        <v>5</v>
      </c>
      <c r="M33" s="197"/>
      <c r="N33" s="198"/>
      <c r="O33" s="198"/>
      <c r="P33" s="26"/>
      <c r="R33" s="338"/>
      <c r="S33" s="338"/>
      <c r="T33" s="338"/>
      <c r="U33" s="338"/>
      <c r="V33" s="337"/>
    </row>
    <row r="34" spans="1:22" s="36" customFormat="1" x14ac:dyDescent="0.25">
      <c r="A34" s="76" t="s">
        <v>44</v>
      </c>
      <c r="B34" s="336" t="str">
        <f t="shared" si="2"/>
        <v>I6</v>
      </c>
      <c r="C34" s="96" t="s">
        <v>56</v>
      </c>
      <c r="D34" s="77" t="s">
        <v>44</v>
      </c>
      <c r="E34" s="77" t="s">
        <v>46</v>
      </c>
      <c r="F34" s="88">
        <v>10300</v>
      </c>
      <c r="G34" s="88">
        <v>10300</v>
      </c>
      <c r="H34" s="88">
        <v>10300</v>
      </c>
      <c r="I34" s="88">
        <v>10300</v>
      </c>
      <c r="J34" s="290" t="s">
        <v>55</v>
      </c>
      <c r="K34" s="26" t="s">
        <v>48</v>
      </c>
      <c r="L34" s="26">
        <f t="shared" si="3"/>
        <v>6</v>
      </c>
      <c r="M34" s="197"/>
      <c r="N34" s="198">
        <f>G31+G34</f>
        <v>-53700</v>
      </c>
      <c r="O34" s="198">
        <f>H31+H34</f>
        <v>-53700</v>
      </c>
      <c r="P34" s="198">
        <f>I31+I34</f>
        <v>-53700</v>
      </c>
      <c r="Q34" s="198"/>
      <c r="R34" s="338"/>
      <c r="S34" s="338"/>
      <c r="T34" s="338"/>
      <c r="U34" s="338"/>
      <c r="V34" s="337"/>
    </row>
    <row r="35" spans="1:22" s="36" customFormat="1" x14ac:dyDescent="0.25">
      <c r="A35" s="76" t="s">
        <v>44</v>
      </c>
      <c r="B35" s="336" t="str">
        <f t="shared" si="2"/>
        <v>I7</v>
      </c>
      <c r="C35" s="96" t="s">
        <v>57</v>
      </c>
      <c r="D35" s="77" t="s">
        <v>44</v>
      </c>
      <c r="E35" s="77" t="s">
        <v>46</v>
      </c>
      <c r="F35" s="88">
        <v>-9900</v>
      </c>
      <c r="G35" s="88">
        <v>-9900</v>
      </c>
      <c r="H35" s="88">
        <v>-9500</v>
      </c>
      <c r="I35" s="88">
        <v>-9100</v>
      </c>
      <c r="J35" s="290" t="s">
        <v>320</v>
      </c>
      <c r="K35" s="26" t="s">
        <v>48</v>
      </c>
      <c r="L35" s="26">
        <f t="shared" si="3"/>
        <v>7</v>
      </c>
      <c r="M35" s="197"/>
      <c r="N35" s="198"/>
      <c r="O35" s="198"/>
      <c r="P35" s="26"/>
      <c r="R35" s="338"/>
      <c r="S35" s="338"/>
      <c r="T35" s="338"/>
      <c r="U35" s="338"/>
      <c r="V35" s="337"/>
    </row>
    <row r="36" spans="1:22" s="36" customFormat="1" x14ac:dyDescent="0.25">
      <c r="A36" s="76" t="s">
        <v>44</v>
      </c>
      <c r="B36" s="336" t="str">
        <f t="shared" si="2"/>
        <v>I8</v>
      </c>
      <c r="C36" s="96" t="s">
        <v>59</v>
      </c>
      <c r="D36" s="77" t="s">
        <v>44</v>
      </c>
      <c r="E36" s="77" t="s">
        <v>46</v>
      </c>
      <c r="F36" s="88">
        <v>-42649</v>
      </c>
      <c r="G36" s="88">
        <v>-44032</v>
      </c>
      <c r="H36" s="88">
        <v>-44772</v>
      </c>
      <c r="I36" s="88">
        <v>-46620</v>
      </c>
      <c r="J36" s="290" t="s">
        <v>60</v>
      </c>
      <c r="K36" s="26" t="s">
        <v>48</v>
      </c>
      <c r="L36" s="26">
        <f t="shared" si="3"/>
        <v>8</v>
      </c>
      <c r="M36" s="197"/>
      <c r="N36" s="198"/>
      <c r="O36" s="198"/>
      <c r="P36" s="26"/>
      <c r="R36" s="338"/>
      <c r="S36" s="338"/>
      <c r="T36" s="338"/>
      <c r="U36" s="338"/>
      <c r="V36" s="337"/>
    </row>
    <row r="37" spans="1:22" s="36" customFormat="1" x14ac:dyDescent="0.25">
      <c r="A37" s="76" t="s">
        <v>44</v>
      </c>
      <c r="B37" s="336" t="str">
        <f t="shared" si="2"/>
        <v>I9</v>
      </c>
      <c r="C37" s="281" t="s">
        <v>61</v>
      </c>
      <c r="D37" s="282" t="s">
        <v>44</v>
      </c>
      <c r="E37" s="282" t="s">
        <v>46</v>
      </c>
      <c r="F37" s="283">
        <v>101000</v>
      </c>
      <c r="G37" s="283">
        <v>119000</v>
      </c>
      <c r="H37" s="283">
        <v>127000</v>
      </c>
      <c r="I37" s="283">
        <v>136000</v>
      </c>
      <c r="J37" s="290" t="s">
        <v>320</v>
      </c>
      <c r="K37" s="26" t="s">
        <v>48</v>
      </c>
      <c r="L37" s="26">
        <f t="shared" si="3"/>
        <v>9</v>
      </c>
      <c r="M37" s="197"/>
      <c r="N37" s="198"/>
      <c r="O37" s="198"/>
      <c r="P37" s="26"/>
      <c r="R37" s="338"/>
      <c r="S37" s="338"/>
      <c r="T37" s="338"/>
      <c r="U37" s="338"/>
      <c r="V37" s="337"/>
    </row>
    <row r="38" spans="1:22" s="36" customFormat="1" x14ac:dyDescent="0.25">
      <c r="A38" s="76" t="s">
        <v>44</v>
      </c>
      <c r="B38" s="336" t="str">
        <f t="shared" si="2"/>
        <v>I10</v>
      </c>
      <c r="C38" s="281" t="s">
        <v>62</v>
      </c>
      <c r="D38" s="282" t="s">
        <v>44</v>
      </c>
      <c r="E38" s="282" t="s">
        <v>46</v>
      </c>
      <c r="F38" s="283">
        <v>295000</v>
      </c>
      <c r="G38" s="283">
        <v>310000</v>
      </c>
      <c r="H38" s="283">
        <v>323000</v>
      </c>
      <c r="I38" s="283">
        <v>338000</v>
      </c>
      <c r="J38" s="290" t="s">
        <v>320</v>
      </c>
      <c r="K38" s="26" t="s">
        <v>48</v>
      </c>
      <c r="L38" s="26">
        <f t="shared" si="3"/>
        <v>10</v>
      </c>
      <c r="M38" s="197"/>
      <c r="N38" s="198"/>
      <c r="O38" s="198"/>
      <c r="P38" s="26"/>
      <c r="R38" s="338"/>
      <c r="S38" s="338"/>
      <c r="T38" s="338"/>
      <c r="U38" s="338"/>
      <c r="V38" s="337"/>
    </row>
    <row r="39" spans="1:22" s="36" customFormat="1" x14ac:dyDescent="0.25">
      <c r="A39" s="76" t="s">
        <v>44</v>
      </c>
      <c r="B39" s="336" t="str">
        <f t="shared" si="2"/>
        <v>I11</v>
      </c>
      <c r="C39" s="96" t="s">
        <v>63</v>
      </c>
      <c r="D39" s="77" t="s">
        <v>44</v>
      </c>
      <c r="E39" s="77" t="s">
        <v>46</v>
      </c>
      <c r="F39" s="88">
        <v>-17500</v>
      </c>
      <c r="G39" s="88">
        <v>-21800</v>
      </c>
      <c r="H39" s="88">
        <v>-23900</v>
      </c>
      <c r="I39" s="88">
        <v>-25800</v>
      </c>
      <c r="J39" s="290" t="s">
        <v>320</v>
      </c>
      <c r="K39" s="26" t="s">
        <v>48</v>
      </c>
      <c r="L39" s="26">
        <f t="shared" si="3"/>
        <v>11</v>
      </c>
      <c r="M39" s="197"/>
      <c r="N39" s="197"/>
      <c r="O39" s="197"/>
      <c r="P39" s="26"/>
    </row>
    <row r="40" spans="1:22" s="36" customFormat="1" x14ac:dyDescent="0.25">
      <c r="A40" s="76" t="s">
        <v>44</v>
      </c>
      <c r="B40" s="336" t="str">
        <f t="shared" si="2"/>
        <v>I12</v>
      </c>
      <c r="C40" s="96" t="s">
        <v>64</v>
      </c>
      <c r="D40" s="77" t="s">
        <v>44</v>
      </c>
      <c r="E40" s="77" t="s">
        <v>46</v>
      </c>
      <c r="F40" s="88">
        <v>-35900</v>
      </c>
      <c r="G40" s="88">
        <v>-44800</v>
      </c>
      <c r="H40" s="88">
        <v>-49900</v>
      </c>
      <c r="I40" s="88">
        <v>-54600</v>
      </c>
      <c r="J40" s="290" t="s">
        <v>320</v>
      </c>
      <c r="K40" s="26" t="s">
        <v>48</v>
      </c>
      <c r="L40" s="26">
        <f t="shared" si="3"/>
        <v>12</v>
      </c>
      <c r="M40" s="197"/>
      <c r="N40" s="197"/>
      <c r="O40" s="197"/>
      <c r="P40" s="10"/>
      <c r="Q40" s="2"/>
      <c r="R40" s="2"/>
      <c r="S40" s="2"/>
      <c r="T40" s="93"/>
      <c r="U40" s="93"/>
    </row>
    <row r="41" spans="1:22" s="36" customFormat="1" x14ac:dyDescent="0.25">
      <c r="A41" s="76" t="s">
        <v>44</v>
      </c>
      <c r="B41" s="336" t="str">
        <f t="shared" si="2"/>
        <v>I13</v>
      </c>
      <c r="C41" s="96" t="s">
        <v>65</v>
      </c>
      <c r="D41" s="77" t="s">
        <v>44</v>
      </c>
      <c r="E41" s="77" t="s">
        <v>46</v>
      </c>
      <c r="F41" s="88">
        <v>35900</v>
      </c>
      <c r="G41" s="88">
        <v>44800</v>
      </c>
      <c r="H41" s="88">
        <v>49900</v>
      </c>
      <c r="I41" s="88">
        <v>54600</v>
      </c>
      <c r="J41" s="290" t="s">
        <v>320</v>
      </c>
      <c r="K41" s="26" t="s">
        <v>48</v>
      </c>
      <c r="L41" s="26">
        <f t="shared" si="3"/>
        <v>13</v>
      </c>
      <c r="M41" s="197"/>
      <c r="N41" s="197"/>
      <c r="O41" s="197"/>
      <c r="P41" s="198"/>
      <c r="Q41" s="2"/>
      <c r="R41" s="2"/>
      <c r="S41" s="2"/>
    </row>
    <row r="42" spans="1:22" s="36" customFormat="1" x14ac:dyDescent="0.25">
      <c r="A42" s="76" t="s">
        <v>44</v>
      </c>
      <c r="B42" s="336" t="str">
        <f t="shared" si="2"/>
        <v>I14</v>
      </c>
      <c r="C42" s="96" t="s">
        <v>66</v>
      </c>
      <c r="D42" s="77" t="s">
        <v>44</v>
      </c>
      <c r="E42" s="77" t="s">
        <v>46</v>
      </c>
      <c r="F42" s="88">
        <v>-10400</v>
      </c>
      <c r="G42" s="88">
        <v>-11100</v>
      </c>
      <c r="H42" s="88">
        <v>-11000</v>
      </c>
      <c r="I42" s="88">
        <v>-10800</v>
      </c>
      <c r="J42" s="290" t="s">
        <v>320</v>
      </c>
      <c r="K42" s="26" t="s">
        <v>48</v>
      </c>
      <c r="L42" s="26">
        <f t="shared" si="3"/>
        <v>14</v>
      </c>
      <c r="M42" s="197"/>
      <c r="N42" s="197"/>
      <c r="O42" s="197"/>
      <c r="P42" s="199"/>
      <c r="Q42" s="199"/>
      <c r="R42" s="199"/>
      <c r="S42" s="199"/>
    </row>
    <row r="43" spans="1:22" s="36" customFormat="1" x14ac:dyDescent="0.25">
      <c r="A43" s="76" t="s">
        <v>44</v>
      </c>
      <c r="B43" s="336" t="str">
        <f t="shared" si="2"/>
        <v>I15</v>
      </c>
      <c r="C43" s="96" t="s">
        <v>67</v>
      </c>
      <c r="D43" s="77" t="s">
        <v>44</v>
      </c>
      <c r="E43" s="77" t="s">
        <v>46</v>
      </c>
      <c r="F43" s="88">
        <v>-123000</v>
      </c>
      <c r="G43" s="88">
        <v>-127000</v>
      </c>
      <c r="H43" s="88">
        <v>-131000</v>
      </c>
      <c r="I43" s="88">
        <v>-135000</v>
      </c>
      <c r="J43" s="290" t="s">
        <v>68</v>
      </c>
      <c r="K43" s="26" t="s">
        <v>48</v>
      </c>
      <c r="L43" s="26">
        <f t="shared" si="3"/>
        <v>15</v>
      </c>
      <c r="M43" s="197"/>
      <c r="N43" s="197"/>
      <c r="O43" s="197"/>
      <c r="P43" s="199"/>
      <c r="Q43" s="199"/>
      <c r="R43" s="199"/>
      <c r="S43" s="199"/>
    </row>
    <row r="44" spans="1:22" s="36" customFormat="1" x14ac:dyDescent="0.25">
      <c r="A44" s="76" t="s">
        <v>44</v>
      </c>
      <c r="B44" s="336" t="str">
        <f t="shared" si="2"/>
        <v>I16</v>
      </c>
      <c r="C44" s="96" t="s">
        <v>69</v>
      </c>
      <c r="D44" s="77" t="s">
        <v>44</v>
      </c>
      <c r="E44" s="77" t="s">
        <v>46</v>
      </c>
      <c r="F44" s="88">
        <v>-1250</v>
      </c>
      <c r="G44" s="88">
        <v>-1339</v>
      </c>
      <c r="H44" s="88">
        <v>-1428</v>
      </c>
      <c r="I44" s="88">
        <v>-1428</v>
      </c>
      <c r="J44" s="290" t="s">
        <v>70</v>
      </c>
      <c r="K44" s="26" t="s">
        <v>48</v>
      </c>
      <c r="L44" s="26">
        <f t="shared" si="3"/>
        <v>16</v>
      </c>
      <c r="M44" s="197"/>
      <c r="N44" s="197"/>
      <c r="O44" s="197"/>
      <c r="P44" s="199"/>
      <c r="Q44" s="199"/>
      <c r="R44" s="199"/>
      <c r="S44" s="199"/>
    </row>
    <row r="45" spans="1:22" s="36" customFormat="1" x14ac:dyDescent="0.25">
      <c r="A45" s="76" t="s">
        <v>44</v>
      </c>
      <c r="B45" s="336" t="str">
        <f t="shared" si="2"/>
        <v>I17</v>
      </c>
      <c r="C45" s="96" t="s">
        <v>71</v>
      </c>
      <c r="D45" s="77" t="s">
        <v>44</v>
      </c>
      <c r="E45" s="77" t="s">
        <v>46</v>
      </c>
      <c r="F45" s="88">
        <v>-2000</v>
      </c>
      <c r="G45" s="88">
        <v>-2000</v>
      </c>
      <c r="H45" s="88">
        <v>-2000</v>
      </c>
      <c r="I45" s="88">
        <v>-2000</v>
      </c>
      <c r="J45" s="290" t="s">
        <v>70</v>
      </c>
      <c r="K45" s="26" t="s">
        <v>48</v>
      </c>
      <c r="L45" s="26">
        <f t="shared" si="3"/>
        <v>17</v>
      </c>
      <c r="M45" s="197"/>
      <c r="N45" s="197"/>
      <c r="O45" s="197"/>
      <c r="P45" s="199"/>
      <c r="Q45" s="199"/>
      <c r="R45" s="199"/>
      <c r="S45" s="199"/>
    </row>
    <row r="46" spans="1:22" s="36" customFormat="1" x14ac:dyDescent="0.25">
      <c r="A46" s="76" t="s">
        <v>44</v>
      </c>
      <c r="B46" s="336" t="str">
        <f t="shared" si="2"/>
        <v>I18</v>
      </c>
      <c r="C46" s="96" t="s">
        <v>72</v>
      </c>
      <c r="D46" s="77" t="s">
        <v>44</v>
      </c>
      <c r="E46" s="77" t="s">
        <v>46</v>
      </c>
      <c r="F46" s="88">
        <v>-3600</v>
      </c>
      <c r="G46" s="88">
        <v>-3800</v>
      </c>
      <c r="H46" s="88">
        <v>-3800</v>
      </c>
      <c r="I46" s="88">
        <v>-3800</v>
      </c>
      <c r="J46" s="290" t="s">
        <v>320</v>
      </c>
      <c r="K46" s="26" t="s">
        <v>48</v>
      </c>
      <c r="L46" s="26">
        <f t="shared" si="3"/>
        <v>18</v>
      </c>
      <c r="M46" s="197"/>
      <c r="N46" s="197"/>
      <c r="O46" s="197"/>
      <c r="P46" s="197"/>
    </row>
    <row r="47" spans="1:22" s="36" customFormat="1" x14ac:dyDescent="0.25">
      <c r="A47" s="76" t="s">
        <v>44</v>
      </c>
      <c r="B47" s="336" t="str">
        <f t="shared" si="2"/>
        <v>I19</v>
      </c>
      <c r="C47" s="96" t="s">
        <v>73</v>
      </c>
      <c r="D47" s="77" t="s">
        <v>44</v>
      </c>
      <c r="E47" s="77" t="s">
        <v>46</v>
      </c>
      <c r="F47" s="88"/>
      <c r="G47" s="88"/>
      <c r="H47" s="88"/>
      <c r="I47" s="88"/>
      <c r="J47" s="290" t="s">
        <v>74</v>
      </c>
      <c r="K47" s="26" t="s">
        <v>48</v>
      </c>
      <c r="L47" s="26">
        <f t="shared" si="3"/>
        <v>19</v>
      </c>
      <c r="M47" s="197"/>
      <c r="N47" s="197"/>
      <c r="O47" s="197"/>
      <c r="P47" s="197"/>
    </row>
    <row r="48" spans="1:22" s="36" customFormat="1" x14ac:dyDescent="0.25">
      <c r="A48" s="76" t="s">
        <v>44</v>
      </c>
      <c r="B48" s="336" t="str">
        <f t="shared" si="2"/>
        <v>I20</v>
      </c>
      <c r="C48" s="96" t="s">
        <v>75</v>
      </c>
      <c r="D48" s="77" t="s">
        <v>44</v>
      </c>
      <c r="E48" s="77" t="s">
        <v>46</v>
      </c>
      <c r="F48" s="88">
        <v>-500</v>
      </c>
      <c r="G48" s="88">
        <v>-500</v>
      </c>
      <c r="H48" s="88">
        <v>-500</v>
      </c>
      <c r="I48" s="88">
        <v>-500</v>
      </c>
      <c r="J48" s="290" t="s">
        <v>321</v>
      </c>
      <c r="K48" s="26" t="s">
        <v>48</v>
      </c>
      <c r="L48" s="26">
        <f t="shared" si="3"/>
        <v>20</v>
      </c>
      <c r="M48" s="197"/>
      <c r="N48" s="197"/>
      <c r="O48" s="197"/>
      <c r="P48" s="197"/>
    </row>
    <row r="49" spans="1:49" s="36" customFormat="1" x14ac:dyDescent="0.25">
      <c r="A49" s="76" t="s">
        <v>44</v>
      </c>
      <c r="B49" s="336" t="str">
        <f t="shared" si="2"/>
        <v>I21</v>
      </c>
      <c r="C49" s="281" t="s">
        <v>77</v>
      </c>
      <c r="D49" s="282" t="s">
        <v>44</v>
      </c>
      <c r="E49" s="282" t="s">
        <v>46</v>
      </c>
      <c r="F49" s="283">
        <f>73857-750</f>
        <v>73107</v>
      </c>
      <c r="G49" s="283">
        <v>85987</v>
      </c>
      <c r="H49" s="283">
        <v>121608</v>
      </c>
      <c r="I49" s="283">
        <v>125175</v>
      </c>
      <c r="J49" s="290" t="s">
        <v>322</v>
      </c>
      <c r="K49" s="26" t="s">
        <v>48</v>
      </c>
      <c r="L49" s="26">
        <f t="shared" si="3"/>
        <v>21</v>
      </c>
      <c r="M49" s="36">
        <v>47663</v>
      </c>
      <c r="N49" s="36">
        <v>42964</v>
      </c>
      <c r="O49" s="36">
        <v>35638</v>
      </c>
      <c r="P49" s="36">
        <v>35638</v>
      </c>
    </row>
    <row r="50" spans="1:49" s="36" customFormat="1" x14ac:dyDescent="0.25">
      <c r="A50" s="76" t="s">
        <v>44</v>
      </c>
      <c r="B50" s="336" t="str">
        <f t="shared" si="2"/>
        <v>I22</v>
      </c>
      <c r="C50" s="96" t="s">
        <v>78</v>
      </c>
      <c r="D50" s="77" t="s">
        <v>44</v>
      </c>
      <c r="E50" s="77" t="s">
        <v>46</v>
      </c>
      <c r="F50" s="88">
        <v>-5500</v>
      </c>
      <c r="G50" s="88">
        <v>-5500</v>
      </c>
      <c r="H50" s="88"/>
      <c r="I50" s="88"/>
      <c r="J50" s="250" t="s">
        <v>323</v>
      </c>
      <c r="K50" s="26" t="s">
        <v>48</v>
      </c>
      <c r="L50" s="26">
        <f t="shared" si="3"/>
        <v>22</v>
      </c>
      <c r="M50" s="26"/>
      <c r="N50" s="26"/>
      <c r="O50" s="26"/>
      <c r="P50" s="26"/>
    </row>
    <row r="51" spans="1:49" s="36" customFormat="1" x14ac:dyDescent="0.25">
      <c r="A51" s="43" t="s">
        <v>44</v>
      </c>
      <c r="B51" s="336" t="str">
        <f t="shared" si="2"/>
        <v>I23</v>
      </c>
      <c r="C51" s="96" t="s">
        <v>80</v>
      </c>
      <c r="D51" s="77" t="s">
        <v>44</v>
      </c>
      <c r="E51" s="77" t="s">
        <v>46</v>
      </c>
      <c r="F51" s="88">
        <v>270000</v>
      </c>
      <c r="G51" s="88">
        <v>283000</v>
      </c>
      <c r="H51" s="88">
        <v>296000</v>
      </c>
      <c r="I51" s="88">
        <v>309000</v>
      </c>
      <c r="J51" s="290" t="s">
        <v>81</v>
      </c>
      <c r="K51" s="26" t="s">
        <v>48</v>
      </c>
      <c r="L51" s="26">
        <f t="shared" si="3"/>
        <v>23</v>
      </c>
      <c r="M51" s="26"/>
      <c r="N51" s="26"/>
      <c r="O51" s="26"/>
      <c r="P51" s="26"/>
    </row>
    <row r="52" spans="1:49" s="36" customFormat="1" x14ac:dyDescent="0.25">
      <c r="A52" s="43" t="s">
        <v>44</v>
      </c>
      <c r="B52" s="336" t="str">
        <f t="shared" si="2"/>
        <v>I24</v>
      </c>
      <c r="C52" s="96" t="s">
        <v>82</v>
      </c>
      <c r="D52" s="77" t="s">
        <v>44</v>
      </c>
      <c r="E52" s="77" t="s">
        <v>46</v>
      </c>
      <c r="F52" s="88">
        <v>-270000</v>
      </c>
      <c r="G52" s="88">
        <v>-283000</v>
      </c>
      <c r="H52" s="88">
        <v>-296000</v>
      </c>
      <c r="I52" s="88">
        <v>-309000</v>
      </c>
      <c r="J52" s="290" t="s">
        <v>81</v>
      </c>
      <c r="K52" s="26" t="s">
        <v>48</v>
      </c>
      <c r="L52" s="26">
        <f t="shared" si="3"/>
        <v>24</v>
      </c>
      <c r="M52" s="26"/>
      <c r="N52" s="26"/>
      <c r="O52" s="26"/>
      <c r="P52" s="26"/>
    </row>
    <row r="53" spans="1:49" s="36" customFormat="1" x14ac:dyDescent="0.25">
      <c r="A53" s="43" t="s">
        <v>44</v>
      </c>
      <c r="B53" s="336" t="str">
        <f t="shared" si="2"/>
        <v>I25</v>
      </c>
      <c r="C53" s="96" t="s">
        <v>83</v>
      </c>
      <c r="D53" s="77" t="s">
        <v>44</v>
      </c>
      <c r="E53" s="77" t="s">
        <v>46</v>
      </c>
      <c r="F53" s="88">
        <v>-19941</v>
      </c>
      <c r="G53" s="88">
        <v>-21381</v>
      </c>
      <c r="H53" s="88">
        <v>-21189</v>
      </c>
      <c r="I53" s="88">
        <v>-21619</v>
      </c>
      <c r="J53" s="290" t="s">
        <v>84</v>
      </c>
      <c r="K53" s="26" t="s">
        <v>48</v>
      </c>
      <c r="L53" s="26">
        <f t="shared" si="3"/>
        <v>25</v>
      </c>
      <c r="M53" s="26"/>
      <c r="N53" s="26"/>
      <c r="O53" s="26"/>
      <c r="P53" s="26"/>
    </row>
    <row r="54" spans="1:49" s="36" customFormat="1" x14ac:dyDescent="0.25">
      <c r="A54" s="43" t="s">
        <v>44</v>
      </c>
      <c r="B54" s="336" t="str">
        <f t="shared" si="2"/>
        <v>I26</v>
      </c>
      <c r="C54" s="96" t="s">
        <v>85</v>
      </c>
      <c r="D54" s="77" t="s">
        <v>44</v>
      </c>
      <c r="E54" s="77" t="s">
        <v>46</v>
      </c>
      <c r="F54" s="88">
        <v>-41629</v>
      </c>
      <c r="G54" s="88">
        <v>-46431</v>
      </c>
      <c r="H54" s="88">
        <v>-50107</v>
      </c>
      <c r="I54" s="88">
        <v>-50938</v>
      </c>
      <c r="J54" s="290" t="s">
        <v>84</v>
      </c>
      <c r="K54" s="26" t="s">
        <v>48</v>
      </c>
      <c r="L54" s="26">
        <f t="shared" si="3"/>
        <v>26</v>
      </c>
      <c r="M54" s="26"/>
      <c r="N54" s="26"/>
      <c r="O54" s="26"/>
      <c r="P54" s="26"/>
    </row>
    <row r="55" spans="1:49" s="36" customFormat="1" x14ac:dyDescent="0.25">
      <c r="A55" s="43" t="s">
        <v>44</v>
      </c>
      <c r="B55" s="336" t="str">
        <f t="shared" si="2"/>
        <v>I27</v>
      </c>
      <c r="C55" s="96" t="s">
        <v>86</v>
      </c>
      <c r="D55" s="77" t="s">
        <v>44</v>
      </c>
      <c r="E55" s="77" t="s">
        <v>46</v>
      </c>
      <c r="F55" s="88">
        <v>141</v>
      </c>
      <c r="G55" s="88">
        <v>88</v>
      </c>
      <c r="H55" s="88">
        <v>-153</v>
      </c>
      <c r="I55" s="88">
        <v>-1059</v>
      </c>
      <c r="J55" s="290" t="s">
        <v>84</v>
      </c>
      <c r="K55" s="26" t="s">
        <v>48</v>
      </c>
      <c r="L55" s="26">
        <f t="shared" si="3"/>
        <v>27</v>
      </c>
      <c r="M55" s="26"/>
      <c r="N55" s="26"/>
      <c r="O55" s="26"/>
      <c r="P55" s="26"/>
    </row>
    <row r="56" spans="1:49" s="36" customFormat="1" x14ac:dyDescent="0.25">
      <c r="A56" s="76" t="s">
        <v>44</v>
      </c>
      <c r="B56" s="336" t="str">
        <f t="shared" si="2"/>
        <v>I28</v>
      </c>
      <c r="C56" s="96"/>
      <c r="D56" s="77" t="s">
        <v>44</v>
      </c>
      <c r="E56" s="77" t="s">
        <v>46</v>
      </c>
      <c r="F56" s="88"/>
      <c r="G56" s="88"/>
      <c r="H56" s="88"/>
      <c r="I56" s="88"/>
      <c r="J56" s="290"/>
      <c r="K56" s="26" t="s">
        <v>48</v>
      </c>
      <c r="L56" s="26">
        <f t="shared" si="3"/>
        <v>28</v>
      </c>
      <c r="M56" s="26"/>
      <c r="N56" s="26"/>
      <c r="O56" s="26"/>
      <c r="P56" s="26"/>
    </row>
    <row r="57" spans="1:49" s="36" customFormat="1" x14ac:dyDescent="0.25">
      <c r="A57" s="76" t="s">
        <v>44</v>
      </c>
      <c r="B57" s="336" t="str">
        <f t="shared" si="2"/>
        <v>I29</v>
      </c>
      <c r="C57" s="96"/>
      <c r="D57" s="77" t="s">
        <v>44</v>
      </c>
      <c r="E57" s="77" t="s">
        <v>46</v>
      </c>
      <c r="F57" s="88"/>
      <c r="G57" s="88"/>
      <c r="H57" s="88"/>
      <c r="I57" s="88"/>
      <c r="J57" s="290"/>
      <c r="K57" s="26" t="s">
        <v>48</v>
      </c>
      <c r="L57" s="26">
        <f t="shared" si="3"/>
        <v>29</v>
      </c>
      <c r="M57" s="26"/>
      <c r="N57" s="26"/>
      <c r="O57" s="26"/>
      <c r="P57" s="26"/>
    </row>
    <row r="58" spans="1:49" s="36" customFormat="1" x14ac:dyDescent="0.25">
      <c r="A58" s="76" t="s">
        <v>44</v>
      </c>
      <c r="B58" s="336" t="str">
        <f t="shared" si="2"/>
        <v>I30</v>
      </c>
      <c r="C58" s="96"/>
      <c r="D58" s="77" t="s">
        <v>44</v>
      </c>
      <c r="E58" s="77" t="s">
        <v>46</v>
      </c>
      <c r="F58" s="88"/>
      <c r="G58" s="88"/>
      <c r="H58" s="88"/>
      <c r="I58" s="88"/>
      <c r="J58" s="290"/>
      <c r="K58" s="26" t="s">
        <v>48</v>
      </c>
      <c r="L58" s="26">
        <f t="shared" si="3"/>
        <v>30</v>
      </c>
      <c r="M58" s="26"/>
      <c r="N58" s="26"/>
      <c r="O58" s="26"/>
      <c r="P58" s="26"/>
      <c r="AW58" s="93"/>
    </row>
    <row r="59" spans="1:49" s="36" customFormat="1" x14ac:dyDescent="0.25">
      <c r="A59" s="76" t="s">
        <v>44</v>
      </c>
      <c r="B59" s="336" t="str">
        <f t="shared" si="2"/>
        <v>I31</v>
      </c>
      <c r="C59" s="96"/>
      <c r="D59" s="77" t="s">
        <v>44</v>
      </c>
      <c r="E59" s="77" t="s">
        <v>46</v>
      </c>
      <c r="F59" s="88"/>
      <c r="G59" s="88"/>
      <c r="H59" s="88"/>
      <c r="I59" s="88"/>
      <c r="J59" s="290"/>
      <c r="K59" s="26" t="s">
        <v>48</v>
      </c>
      <c r="L59" s="26">
        <f t="shared" si="3"/>
        <v>31</v>
      </c>
      <c r="M59" s="26"/>
      <c r="N59" s="26"/>
      <c r="O59" s="26"/>
      <c r="P59" s="26"/>
    </row>
    <row r="60" spans="1:49" s="36" customFormat="1" x14ac:dyDescent="0.25">
      <c r="A60" s="76" t="s">
        <v>44</v>
      </c>
      <c r="B60" s="336" t="str">
        <f t="shared" si="2"/>
        <v>I32</v>
      </c>
      <c r="C60" s="96"/>
      <c r="D60" s="77" t="s">
        <v>44</v>
      </c>
      <c r="E60" s="77" t="s">
        <v>46</v>
      </c>
      <c r="F60" s="88"/>
      <c r="G60" s="88"/>
      <c r="H60" s="88"/>
      <c r="I60" s="88"/>
      <c r="J60" s="290"/>
      <c r="K60" s="26" t="s">
        <v>48</v>
      </c>
      <c r="L60" s="26">
        <f t="shared" si="3"/>
        <v>32</v>
      </c>
      <c r="M60" s="26"/>
      <c r="N60" s="26"/>
      <c r="O60" s="26"/>
      <c r="P60" s="26"/>
    </row>
    <row r="61" spans="1:49" s="36" customFormat="1" x14ac:dyDescent="0.25">
      <c r="A61" s="242"/>
      <c r="B61" s="242"/>
      <c r="C61" s="243"/>
      <c r="D61" s="212"/>
      <c r="E61" s="109"/>
      <c r="F61" s="108"/>
      <c r="G61" s="108"/>
      <c r="H61" s="108"/>
      <c r="I61" s="108"/>
      <c r="J61" s="37"/>
      <c r="K61" s="26" t="s">
        <v>48</v>
      </c>
      <c r="L61" s="26">
        <f t="shared" si="3"/>
        <v>33</v>
      </c>
      <c r="M61" s="26"/>
      <c r="N61" s="26"/>
      <c r="O61" s="26"/>
      <c r="P61" s="26"/>
    </row>
    <row r="62" spans="1:49" s="36" customFormat="1" x14ac:dyDescent="0.25">
      <c r="A62" s="41"/>
      <c r="B62" s="41"/>
      <c r="C62" s="3" t="s">
        <v>87</v>
      </c>
      <c r="D62" s="61"/>
      <c r="E62" s="61"/>
      <c r="F62" s="7">
        <f>SUMIF($A:$A,"SENT.INNT",F:F)</f>
        <v>-4776621</v>
      </c>
      <c r="G62" s="7">
        <f>SUMIF($A:$A,"SENT.INNT",G:G)</f>
        <v>-4795708</v>
      </c>
      <c r="H62" s="7">
        <f>SUMIF($A:$A,"SENT.INNT",H:H)</f>
        <v>-4800741</v>
      </c>
      <c r="I62" s="7">
        <f>SUMIF($A:$A,"SENT.INNT",I:I)</f>
        <v>-4836489</v>
      </c>
      <c r="J62" s="37"/>
      <c r="K62" s="26"/>
      <c r="L62" s="26"/>
      <c r="M62" s="26"/>
      <c r="N62" s="26"/>
      <c r="O62" s="26"/>
      <c r="P62" s="26"/>
    </row>
    <row r="63" spans="1:49" s="36" customFormat="1" x14ac:dyDescent="0.25">
      <c r="A63" s="44"/>
      <c r="B63" s="44"/>
      <c r="C63" s="3" t="s">
        <v>88</v>
      </c>
      <c r="D63" s="50"/>
      <c r="E63" s="50"/>
      <c r="F63" s="7">
        <f>F4</f>
        <v>4546363</v>
      </c>
      <c r="G63" s="7">
        <f>G4</f>
        <v>4546363</v>
      </c>
      <c r="H63" s="7">
        <f>H4</f>
        <v>4546363</v>
      </c>
      <c r="I63" s="7">
        <f>I4</f>
        <v>4546363</v>
      </c>
      <c r="J63" s="37"/>
      <c r="K63" s="26"/>
      <c r="L63" s="26"/>
      <c r="M63" s="26"/>
      <c r="N63" s="26"/>
      <c r="O63" s="26"/>
      <c r="P63" s="26"/>
    </row>
    <row r="64" spans="1:49" s="36" customFormat="1" x14ac:dyDescent="0.25">
      <c r="A64" s="41"/>
      <c r="B64" s="41"/>
      <c r="C64" s="3" t="s">
        <v>89</v>
      </c>
      <c r="D64" s="50"/>
      <c r="E64" s="50"/>
      <c r="F64" s="7">
        <f>F62+F63</f>
        <v>-230258</v>
      </c>
      <c r="G64" s="7">
        <f>G62+G63</f>
        <v>-249345</v>
      </c>
      <c r="H64" s="7">
        <f>H62+H63</f>
        <v>-254378</v>
      </c>
      <c r="I64" s="7">
        <f>I62+I63</f>
        <v>-290126</v>
      </c>
      <c r="J64" s="37"/>
      <c r="K64" s="26"/>
      <c r="L64" s="26"/>
      <c r="M64" s="26"/>
      <c r="N64" s="26"/>
      <c r="O64" s="26"/>
      <c r="P64" s="26"/>
    </row>
    <row r="65" spans="1:20" s="36" customFormat="1" x14ac:dyDescent="0.25">
      <c r="A65" s="45"/>
      <c r="B65" s="45"/>
      <c r="C65" s="9"/>
      <c r="D65" s="47"/>
      <c r="E65" s="47"/>
      <c r="F65" s="10"/>
      <c r="G65" s="10"/>
      <c r="H65" s="10"/>
      <c r="I65" s="10"/>
      <c r="J65" s="37"/>
      <c r="K65" s="26"/>
      <c r="L65" s="26"/>
      <c r="M65" s="26"/>
      <c r="N65" s="26"/>
      <c r="O65" s="26"/>
      <c r="P65" s="26"/>
    </row>
    <row r="66" spans="1:20" s="1" customFormat="1" x14ac:dyDescent="0.25">
      <c r="A66" s="46"/>
      <c r="B66" s="46"/>
      <c r="C66" s="11" t="s">
        <v>90</v>
      </c>
      <c r="D66" s="48"/>
      <c r="E66" s="48"/>
      <c r="F66" s="12"/>
      <c r="G66" s="12"/>
      <c r="H66" s="12"/>
      <c r="I66" s="12"/>
      <c r="J66" s="37"/>
      <c r="K66" s="36"/>
      <c r="L66" s="36"/>
      <c r="M66" s="27"/>
      <c r="N66" s="27"/>
      <c r="O66" s="27"/>
      <c r="P66" s="27"/>
    </row>
    <row r="67" spans="1:20" s="36" customFormat="1" x14ac:dyDescent="0.25">
      <c r="A67" s="70"/>
      <c r="B67" s="339"/>
      <c r="C67" s="244" t="s">
        <v>91</v>
      </c>
      <c r="D67" s="81"/>
      <c r="E67" s="81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7"/>
      <c r="K67" s="335"/>
      <c r="L67" s="335"/>
      <c r="M67" s="97" t="s">
        <v>92</v>
      </c>
      <c r="N67" s="97" t="s">
        <v>93</v>
      </c>
      <c r="O67" s="97" t="s">
        <v>94</v>
      </c>
      <c r="P67" s="26"/>
    </row>
    <row r="68" spans="1:20" s="36" customFormat="1" x14ac:dyDescent="0.25">
      <c r="A68" s="76" t="s">
        <v>95</v>
      </c>
      <c r="B68" s="76" t="str">
        <f t="shared" ref="B68:B80" si="4">IF(L68,K68&amp;L68,"")</f>
        <v>OV1</v>
      </c>
      <c r="C68" s="243" t="s">
        <v>96</v>
      </c>
      <c r="D68" s="70" t="s">
        <v>97</v>
      </c>
      <c r="E68" s="77" t="s">
        <v>98</v>
      </c>
      <c r="F68" s="88">
        <v>5635</v>
      </c>
      <c r="G68" s="88">
        <v>9873</v>
      </c>
      <c r="H68" s="88">
        <v>12885</v>
      </c>
      <c r="I68" s="88">
        <v>13033</v>
      </c>
      <c r="J68" s="485" t="s">
        <v>99</v>
      </c>
      <c r="K68" s="26" t="s">
        <v>100</v>
      </c>
      <c r="L68" s="36">
        <v>1</v>
      </c>
      <c r="M68" s="97" t="str">
        <f>IF(E68="VEDTATT","VEDTATT",0)</f>
        <v>VEDTATT</v>
      </c>
      <c r="N68" s="97">
        <f>IF(E68="MÅ","Nye tiltak",0)</f>
        <v>0</v>
      </c>
      <c r="O68" s="97"/>
      <c r="P68" s="26"/>
      <c r="Q68" s="93"/>
      <c r="R68" s="93"/>
      <c r="S68" s="93"/>
      <c r="T68" s="93"/>
    </row>
    <row r="69" spans="1:20" s="36" customFormat="1" x14ac:dyDescent="0.25">
      <c r="A69" s="76" t="s">
        <v>95</v>
      </c>
      <c r="B69" s="76" t="str">
        <f>IF(L69,K69&amp;L69,"")</f>
        <v>OV2</v>
      </c>
      <c r="C69" s="243" t="s">
        <v>101</v>
      </c>
      <c r="D69" s="70" t="s">
        <v>97</v>
      </c>
      <c r="E69" s="77" t="s">
        <v>98</v>
      </c>
      <c r="F69" s="88">
        <v>-1894</v>
      </c>
      <c r="G69" s="88">
        <v>-1894</v>
      </c>
      <c r="H69" s="88">
        <v>-1894</v>
      </c>
      <c r="I69" s="88">
        <v>-1894</v>
      </c>
      <c r="J69" s="485" t="s">
        <v>99</v>
      </c>
      <c r="K69" s="26" t="s">
        <v>100</v>
      </c>
      <c r="L69" s="36">
        <f t="shared" ref="L69:L80" si="5">L68+1</f>
        <v>2</v>
      </c>
      <c r="M69" s="97"/>
      <c r="N69" s="97"/>
      <c r="O69" s="97"/>
      <c r="P69" s="26"/>
      <c r="Q69" s="93"/>
      <c r="R69" s="93"/>
      <c r="S69" s="93"/>
      <c r="T69" s="93"/>
    </row>
    <row r="70" spans="1:20" s="36" customFormat="1" x14ac:dyDescent="0.25">
      <c r="A70" s="76" t="s">
        <v>95</v>
      </c>
      <c r="B70" s="76" t="str">
        <f t="shared" si="4"/>
        <v>OV3</v>
      </c>
      <c r="C70" s="243" t="s">
        <v>102</v>
      </c>
      <c r="D70" s="70" t="s">
        <v>97</v>
      </c>
      <c r="E70" s="77" t="s">
        <v>98</v>
      </c>
      <c r="F70" s="88">
        <v>1126</v>
      </c>
      <c r="G70" s="88">
        <v>1974</v>
      </c>
      <c r="H70" s="88">
        <v>2576</v>
      </c>
      <c r="I70" s="88">
        <v>2605</v>
      </c>
      <c r="J70" s="485" t="s">
        <v>99</v>
      </c>
      <c r="K70" s="26" t="s">
        <v>100</v>
      </c>
      <c r="L70" s="36">
        <f t="shared" si="5"/>
        <v>3</v>
      </c>
      <c r="M70" s="97" t="str">
        <f>IF(E70="VEDTATT","VEDTATT",0)</f>
        <v>VEDTATT</v>
      </c>
      <c r="N70" s="97">
        <f>IF(E70="MÅ","Nye tiltak",0)</f>
        <v>0</v>
      </c>
      <c r="O70" s="97"/>
      <c r="P70" s="26"/>
      <c r="R70" s="93"/>
      <c r="S70" s="93"/>
      <c r="T70" s="93"/>
    </row>
    <row r="71" spans="1:20" s="36" customFormat="1" x14ac:dyDescent="0.25">
      <c r="A71" s="76" t="s">
        <v>95</v>
      </c>
      <c r="B71" s="76" t="str">
        <f>IF(L71,K71&amp;L71,"")</f>
        <v>OV4</v>
      </c>
      <c r="C71" s="243" t="s">
        <v>103</v>
      </c>
      <c r="D71" s="70" t="s">
        <v>97</v>
      </c>
      <c r="E71" s="77" t="s">
        <v>98</v>
      </c>
      <c r="F71" s="88">
        <v>-379</v>
      </c>
      <c r="G71" s="88">
        <v>-379</v>
      </c>
      <c r="H71" s="88">
        <v>-379</v>
      </c>
      <c r="I71" s="88">
        <v>-379</v>
      </c>
      <c r="J71" s="485" t="s">
        <v>99</v>
      </c>
      <c r="K71" s="26" t="s">
        <v>100</v>
      </c>
      <c r="L71" s="36">
        <f t="shared" si="5"/>
        <v>4</v>
      </c>
      <c r="M71" s="97"/>
      <c r="N71" s="97"/>
      <c r="O71" s="97"/>
      <c r="P71" s="26"/>
      <c r="R71" s="93"/>
      <c r="S71" s="93"/>
      <c r="T71" s="93"/>
    </row>
    <row r="72" spans="1:20" s="36" customFormat="1" x14ac:dyDescent="0.25">
      <c r="A72" s="76" t="s">
        <v>95</v>
      </c>
      <c r="B72" s="76" t="str">
        <f t="shared" si="4"/>
        <v>OV5</v>
      </c>
      <c r="C72" s="243" t="s">
        <v>104</v>
      </c>
      <c r="D72" s="70" t="s">
        <v>105</v>
      </c>
      <c r="E72" s="77" t="s">
        <v>98</v>
      </c>
      <c r="F72" s="88"/>
      <c r="G72" s="88"/>
      <c r="H72" s="88">
        <v>-852</v>
      </c>
      <c r="I72" s="88">
        <v>-852</v>
      </c>
      <c r="J72" s="408"/>
      <c r="K72" s="26" t="s">
        <v>100</v>
      </c>
      <c r="L72" s="36">
        <f t="shared" si="5"/>
        <v>5</v>
      </c>
      <c r="M72" s="97" t="str">
        <f>IF(E72="VEDTATT","VEDTATT",0)</f>
        <v>VEDTATT</v>
      </c>
      <c r="N72" s="97">
        <f>IF(E72="MÅ","Nye tiltak",0)</f>
        <v>0</v>
      </c>
      <c r="O72" s="251"/>
      <c r="P72" s="26"/>
    </row>
    <row r="73" spans="1:20" s="36" customFormat="1" x14ac:dyDescent="0.25">
      <c r="A73" s="76" t="s">
        <v>95</v>
      </c>
      <c r="B73" s="76" t="str">
        <f t="shared" si="4"/>
        <v>OV6</v>
      </c>
      <c r="C73" s="243" t="s">
        <v>114</v>
      </c>
      <c r="D73" s="70" t="s">
        <v>97</v>
      </c>
      <c r="E73" s="77" t="s">
        <v>98</v>
      </c>
      <c r="F73" s="501">
        <v>18700</v>
      </c>
      <c r="G73" s="501">
        <v>18700</v>
      </c>
      <c r="H73" s="501">
        <v>18700</v>
      </c>
      <c r="I73" s="501">
        <v>18700</v>
      </c>
      <c r="J73" s="485" t="s">
        <v>115</v>
      </c>
      <c r="K73" s="26" t="s">
        <v>100</v>
      </c>
      <c r="L73" s="36">
        <f t="shared" si="5"/>
        <v>6</v>
      </c>
      <c r="M73" s="97"/>
      <c r="N73" s="97"/>
      <c r="O73" s="251"/>
      <c r="P73" s="26"/>
    </row>
    <row r="74" spans="1:20" s="36" customFormat="1" x14ac:dyDescent="0.25">
      <c r="A74" s="484" t="s">
        <v>95</v>
      </c>
      <c r="B74" s="76" t="str">
        <f>IF(L74,K74&amp;L74,"")</f>
        <v>OV7</v>
      </c>
      <c r="C74" s="210" t="s">
        <v>116</v>
      </c>
      <c r="D74" s="70" t="s">
        <v>97</v>
      </c>
      <c r="E74" s="77" t="s">
        <v>98</v>
      </c>
      <c r="F74" s="502">
        <v>900</v>
      </c>
      <c r="G74" s="501">
        <v>4700</v>
      </c>
      <c r="H74" s="501">
        <v>11100</v>
      </c>
      <c r="I74" s="501">
        <v>11100</v>
      </c>
      <c r="J74" s="485" t="s">
        <v>115</v>
      </c>
      <c r="K74" s="26" t="s">
        <v>100</v>
      </c>
      <c r="L74" s="36">
        <f t="shared" si="5"/>
        <v>7</v>
      </c>
      <c r="M74" s="97"/>
      <c r="N74" s="97"/>
      <c r="O74" s="251"/>
      <c r="P74" s="26"/>
    </row>
    <row r="75" spans="1:20" s="36" customFormat="1" x14ac:dyDescent="0.25">
      <c r="A75" s="76" t="s">
        <v>95</v>
      </c>
      <c r="B75" s="76" t="str">
        <f>IF(L75,K75&amp;L75,"")</f>
        <v>OV8</v>
      </c>
      <c r="C75" s="243" t="s">
        <v>117</v>
      </c>
      <c r="D75" s="70" t="s">
        <v>97</v>
      </c>
      <c r="E75" s="77" t="s">
        <v>98</v>
      </c>
      <c r="F75" s="501">
        <v>2000</v>
      </c>
      <c r="G75" s="501">
        <v>2000</v>
      </c>
      <c r="H75" s="501">
        <v>2000</v>
      </c>
      <c r="I75" s="501">
        <v>2000</v>
      </c>
      <c r="J75" s="485" t="s">
        <v>118</v>
      </c>
      <c r="K75" s="26" t="s">
        <v>100</v>
      </c>
      <c r="L75" s="36">
        <f t="shared" si="5"/>
        <v>8</v>
      </c>
      <c r="M75" s="97"/>
      <c r="N75" s="97"/>
      <c r="O75" s="251"/>
      <c r="P75" s="26"/>
    </row>
    <row r="76" spans="1:20" s="36" customFormat="1" x14ac:dyDescent="0.25">
      <c r="A76" s="76" t="s">
        <v>95</v>
      </c>
      <c r="B76" s="76" t="str">
        <f>IF(L76,K76&amp;L76,"")</f>
        <v>OV9</v>
      </c>
      <c r="C76" s="243" t="s">
        <v>106</v>
      </c>
      <c r="D76" s="70" t="s">
        <v>105</v>
      </c>
      <c r="E76" s="77" t="s">
        <v>98</v>
      </c>
      <c r="F76" s="88"/>
      <c r="G76" s="88">
        <v>-2300</v>
      </c>
      <c r="H76" s="88">
        <v>-2300</v>
      </c>
      <c r="I76" s="88">
        <v>-2300</v>
      </c>
      <c r="J76" s="407"/>
      <c r="K76" s="26" t="s">
        <v>100</v>
      </c>
      <c r="L76" s="36">
        <f t="shared" si="5"/>
        <v>9</v>
      </c>
      <c r="M76" s="97"/>
      <c r="N76" s="97"/>
      <c r="O76" s="251"/>
      <c r="P76" s="26"/>
    </row>
    <row r="77" spans="1:20" s="36" customFormat="1" x14ac:dyDescent="0.25">
      <c r="A77" s="76" t="s">
        <v>95</v>
      </c>
      <c r="B77" s="76" t="str">
        <f t="shared" si="4"/>
        <v>OV10</v>
      </c>
      <c r="C77" s="243" t="s">
        <v>109</v>
      </c>
      <c r="D77" s="70" t="s">
        <v>97</v>
      </c>
      <c r="E77" s="77" t="s">
        <v>98</v>
      </c>
      <c r="F77" s="88">
        <v>121</v>
      </c>
      <c r="G77" s="88">
        <v>212</v>
      </c>
      <c r="H77" s="88">
        <v>276</v>
      </c>
      <c r="I77" s="88">
        <v>279</v>
      </c>
      <c r="J77" s="485" t="s">
        <v>99</v>
      </c>
      <c r="K77" s="26" t="s">
        <v>100</v>
      </c>
      <c r="L77" s="36">
        <f t="shared" si="5"/>
        <v>10</v>
      </c>
      <c r="M77" s="97" t="str">
        <f>IF(E77="VEDTATT","VEDTATT",0)</f>
        <v>VEDTATT</v>
      </c>
      <c r="N77" s="97">
        <f>IF(E77="MÅ","Nye tiltak",0)</f>
        <v>0</v>
      </c>
      <c r="O77" s="97"/>
      <c r="P77" s="26"/>
    </row>
    <row r="78" spans="1:20" s="36" customFormat="1" x14ac:dyDescent="0.25">
      <c r="A78" s="76" t="s">
        <v>95</v>
      </c>
      <c r="B78" s="76" t="str">
        <f>IF(L78,K78&amp;L78,"")</f>
        <v>OV11</v>
      </c>
      <c r="C78" s="243" t="s">
        <v>110</v>
      </c>
      <c r="D78" s="70" t="s">
        <v>97</v>
      </c>
      <c r="E78" s="77" t="s">
        <v>98</v>
      </c>
      <c r="F78" s="388">
        <v>-41</v>
      </c>
      <c r="G78" s="388">
        <v>-41</v>
      </c>
      <c r="H78" s="388">
        <v>-41</v>
      </c>
      <c r="I78" s="388">
        <v>-41</v>
      </c>
      <c r="J78" s="485" t="s">
        <v>99</v>
      </c>
      <c r="K78" s="26" t="s">
        <v>100</v>
      </c>
      <c r="L78" s="36">
        <f t="shared" si="5"/>
        <v>11</v>
      </c>
      <c r="M78" s="499"/>
      <c r="N78" s="499"/>
      <c r="O78" s="499"/>
      <c r="P78" s="26"/>
    </row>
    <row r="79" spans="1:20" x14ac:dyDescent="0.25">
      <c r="A79" s="76" t="s">
        <v>95</v>
      </c>
      <c r="B79" s="76" t="str">
        <f t="shared" si="4"/>
        <v>OV12</v>
      </c>
      <c r="C79" s="495" t="s">
        <v>324</v>
      </c>
      <c r="D79" s="402" t="s">
        <v>108</v>
      </c>
      <c r="E79" s="467" t="s">
        <v>46</v>
      </c>
      <c r="F79" s="108">
        <v>2100</v>
      </c>
      <c r="G79" s="108">
        <v>2100</v>
      </c>
      <c r="H79" s="108">
        <v>2100</v>
      </c>
      <c r="I79" s="108">
        <v>2100</v>
      </c>
      <c r="J79" s="92" t="s">
        <v>325</v>
      </c>
      <c r="K79" s="26" t="s">
        <v>100</v>
      </c>
      <c r="L79" s="36">
        <f t="shared" si="5"/>
        <v>12</v>
      </c>
    </row>
    <row r="80" spans="1:20" x14ac:dyDescent="0.25">
      <c r="A80" s="76" t="s">
        <v>95</v>
      </c>
      <c r="B80" s="76" t="str">
        <f t="shared" si="4"/>
        <v>OV13</v>
      </c>
      <c r="C80" s="495" t="s">
        <v>326</v>
      </c>
      <c r="D80" s="70" t="s">
        <v>108</v>
      </c>
      <c r="E80" s="467"/>
      <c r="J80" s="92" t="s">
        <v>327</v>
      </c>
      <c r="K80" s="26" t="s">
        <v>100</v>
      </c>
      <c r="L80" s="36">
        <f t="shared" si="5"/>
        <v>13</v>
      </c>
    </row>
    <row r="81" spans="1:21" s="36" customFormat="1" x14ac:dyDescent="0.25">
      <c r="A81" s="46"/>
      <c r="B81" s="46"/>
      <c r="C81" s="11"/>
      <c r="D81" s="48"/>
      <c r="E81" s="48"/>
      <c r="F81" s="56"/>
      <c r="G81" s="56"/>
      <c r="H81" s="56"/>
      <c r="I81" s="56"/>
      <c r="J81" s="207"/>
      <c r="M81" s="97"/>
      <c r="N81" s="97"/>
      <c r="O81" s="97"/>
      <c r="P81" s="26"/>
    </row>
    <row r="82" spans="1:21" s="1" customFormat="1" x14ac:dyDescent="0.25">
      <c r="A82" s="42"/>
      <c r="B82" s="42"/>
      <c r="C82" s="14" t="s">
        <v>119</v>
      </c>
      <c r="D82" s="48"/>
      <c r="E82" s="48"/>
      <c r="F82" s="4">
        <f>F67</f>
        <v>2022</v>
      </c>
      <c r="G82" s="4">
        <f>F82+1</f>
        <v>2023</v>
      </c>
      <c r="H82" s="4">
        <f>G82+1</f>
        <v>2024</v>
      </c>
      <c r="I82" s="4">
        <f>H82+1</f>
        <v>2025</v>
      </c>
      <c r="J82" s="207"/>
      <c r="K82" s="335"/>
      <c r="L82" s="335"/>
      <c r="M82" s="97"/>
      <c r="N82" s="97"/>
      <c r="O82" s="97"/>
      <c r="P82" s="27"/>
    </row>
    <row r="83" spans="1:21" s="36" customFormat="1" x14ac:dyDescent="0.25">
      <c r="A83" s="76" t="s">
        <v>95</v>
      </c>
      <c r="B83" s="76" t="str">
        <f>IF(L83,K83&amp;L83,"")</f>
        <v>OV14</v>
      </c>
      <c r="C83" s="243" t="s">
        <v>120</v>
      </c>
      <c r="D83" s="70" t="s">
        <v>105</v>
      </c>
      <c r="E83" s="77" t="s">
        <v>98</v>
      </c>
      <c r="F83" s="72"/>
      <c r="G83" s="72"/>
      <c r="H83" s="72">
        <f>I83/12*5</f>
        <v>6666.6666666666661</v>
      </c>
      <c r="I83" s="72">
        <v>16000</v>
      </c>
      <c r="J83" s="207" t="s">
        <v>121</v>
      </c>
      <c r="K83" s="26" t="s">
        <v>100</v>
      </c>
      <c r="L83" s="26">
        <f>L80+1</f>
        <v>14</v>
      </c>
      <c r="M83" s="97" t="str">
        <f>IF(E83="VEDTATT","VEDTATT",0)</f>
        <v>VEDTATT</v>
      </c>
      <c r="N83" s="97">
        <f>IF(E83="MÅ","Nye tiltak",0)</f>
        <v>0</v>
      </c>
      <c r="O83" s="97"/>
      <c r="P83" s="26"/>
    </row>
    <row r="84" spans="1:21" s="36" customFormat="1" x14ac:dyDescent="0.25">
      <c r="A84" s="76" t="s">
        <v>95</v>
      </c>
      <c r="B84" s="76" t="str">
        <f t="shared" ref="B84:B88" si="6">IF(L84,K84&amp;L84,"")</f>
        <v>OV15</v>
      </c>
      <c r="C84" s="243" t="s">
        <v>122</v>
      </c>
      <c r="D84" s="70" t="s">
        <v>105</v>
      </c>
      <c r="E84" s="77" t="s">
        <v>98</v>
      </c>
      <c r="F84" s="72"/>
      <c r="G84" s="72"/>
      <c r="H84" s="72">
        <f>I84/12*5</f>
        <v>-1332.0833333333335</v>
      </c>
      <c r="I84" s="72">
        <v>-3197</v>
      </c>
      <c r="J84" s="207" t="s">
        <v>123</v>
      </c>
      <c r="K84" s="26" t="s">
        <v>100</v>
      </c>
      <c r="L84" s="26">
        <f>L83+1</f>
        <v>15</v>
      </c>
      <c r="M84" s="97" t="str">
        <f>IF(E84="VEDTATT","VEDTATT",0)</f>
        <v>VEDTATT</v>
      </c>
      <c r="N84" s="97">
        <f>IF(E84="MÅ","Nye tiltak",0)</f>
        <v>0</v>
      </c>
      <c r="O84" s="97"/>
      <c r="P84" s="26"/>
    </row>
    <row r="85" spans="1:21" s="36" customFormat="1" x14ac:dyDescent="0.25">
      <c r="A85" s="76" t="s">
        <v>95</v>
      </c>
      <c r="B85" s="76" t="str">
        <f t="shared" si="6"/>
        <v>OV16</v>
      </c>
      <c r="C85" s="243" t="s">
        <v>124</v>
      </c>
      <c r="D85" s="70" t="s">
        <v>105</v>
      </c>
      <c r="E85" s="77" t="s">
        <v>98</v>
      </c>
      <c r="F85" s="72">
        <v>-5390</v>
      </c>
      <c r="G85" s="72">
        <v>-5390</v>
      </c>
      <c r="H85" s="72">
        <v>-5390</v>
      </c>
      <c r="I85" s="72">
        <v>-5390</v>
      </c>
      <c r="J85" s="340"/>
      <c r="K85" s="26" t="s">
        <v>100</v>
      </c>
      <c r="L85" s="26">
        <f>L84+1</f>
        <v>16</v>
      </c>
      <c r="M85" s="97" t="str">
        <f>IF(E85="VEDTATT","VEDTATT",0)</f>
        <v>VEDTATT</v>
      </c>
      <c r="N85" s="97">
        <f>IF(E85="MÅ","Nye tiltak",0)</f>
        <v>0</v>
      </c>
      <c r="O85" s="97"/>
      <c r="P85" s="26"/>
    </row>
    <row r="86" spans="1:21" s="36" customFormat="1" x14ac:dyDescent="0.25">
      <c r="A86" s="76" t="s">
        <v>95</v>
      </c>
      <c r="B86" s="76" t="str">
        <f t="shared" si="6"/>
        <v>OV17</v>
      </c>
      <c r="C86" s="243" t="s">
        <v>328</v>
      </c>
      <c r="D86" s="70" t="s">
        <v>105</v>
      </c>
      <c r="E86" s="77" t="s">
        <v>98</v>
      </c>
      <c r="F86" s="88"/>
      <c r="G86" s="88"/>
      <c r="H86" s="88"/>
      <c r="I86" s="88"/>
      <c r="J86" s="207"/>
      <c r="K86" s="26" t="s">
        <v>100</v>
      </c>
      <c r="L86" s="26">
        <f>L85+1</f>
        <v>17</v>
      </c>
      <c r="M86" s="97" t="str">
        <f>IF(E86="VEDTATT","VEDTATT",0)</f>
        <v>VEDTATT</v>
      </c>
      <c r="N86" s="97">
        <f>IF(E86="MÅ","Nye tiltak",0)</f>
        <v>0</v>
      </c>
      <c r="O86" s="97"/>
      <c r="P86" s="26"/>
    </row>
    <row r="87" spans="1:21" s="36" customFormat="1" x14ac:dyDescent="0.25">
      <c r="A87" s="76" t="s">
        <v>95</v>
      </c>
      <c r="B87" s="76" t="str">
        <f t="shared" si="6"/>
        <v>OV18</v>
      </c>
      <c r="C87" s="243" t="s">
        <v>125</v>
      </c>
      <c r="D87" s="77" t="s">
        <v>97</v>
      </c>
      <c r="E87" s="77" t="s">
        <v>98</v>
      </c>
      <c r="F87" s="496">
        <v>19000</v>
      </c>
      <c r="G87" s="496">
        <v>19000</v>
      </c>
      <c r="H87" s="496">
        <v>19000</v>
      </c>
      <c r="I87" s="496">
        <v>19000</v>
      </c>
      <c r="J87" s="207" t="s">
        <v>126</v>
      </c>
      <c r="K87" s="26" t="s">
        <v>100</v>
      </c>
      <c r="L87" s="26">
        <f>L86+1</f>
        <v>18</v>
      </c>
      <c r="M87" s="97"/>
      <c r="N87" s="97"/>
      <c r="O87" s="97"/>
      <c r="P87" s="26"/>
    </row>
    <row r="88" spans="1:21" s="36" customFormat="1" x14ac:dyDescent="0.25">
      <c r="A88" s="76" t="s">
        <v>95</v>
      </c>
      <c r="B88" s="76" t="str">
        <f t="shared" si="6"/>
        <v>OV19</v>
      </c>
      <c r="C88" s="243" t="s">
        <v>329</v>
      </c>
      <c r="D88" s="226" t="s">
        <v>108</v>
      </c>
      <c r="E88" s="228" t="s">
        <v>46</v>
      </c>
      <c r="F88" s="36">
        <v>231</v>
      </c>
      <c r="G88" s="36">
        <v>231</v>
      </c>
      <c r="H88" s="36">
        <v>231</v>
      </c>
      <c r="I88" s="36">
        <v>231</v>
      </c>
      <c r="J88" s="91" t="s">
        <v>128</v>
      </c>
      <c r="K88" s="26" t="s">
        <v>100</v>
      </c>
      <c r="L88" s="26">
        <f>L87+1</f>
        <v>19</v>
      </c>
      <c r="M88" s="97">
        <f>IF(E88="VEDTATT","VEDTATT",0)</f>
        <v>0</v>
      </c>
      <c r="N88" s="97" t="str">
        <f>IF(E88="MÅ","Nye tiltak",0)</f>
        <v>Nye tiltak</v>
      </c>
      <c r="O88" s="97"/>
      <c r="P88" s="26"/>
    </row>
    <row r="89" spans="1:21" s="36" customFormat="1" x14ac:dyDescent="0.25">
      <c r="A89" s="76"/>
      <c r="B89" s="76"/>
      <c r="C89" s="243"/>
      <c r="D89" s="500"/>
      <c r="E89" s="69"/>
      <c r="J89" s="91"/>
      <c r="K89" s="26"/>
      <c r="L89" s="26"/>
      <c r="M89" s="97"/>
      <c r="N89" s="97"/>
      <c r="O89" s="97"/>
      <c r="P89" s="26"/>
    </row>
    <row r="90" spans="1:21" s="36" customFormat="1" x14ac:dyDescent="0.25">
      <c r="A90" s="76"/>
      <c r="B90" s="76"/>
      <c r="C90" s="80" t="s">
        <v>129</v>
      </c>
      <c r="D90" s="94"/>
      <c r="E90" s="69"/>
      <c r="F90" s="4">
        <f>F82</f>
        <v>2022</v>
      </c>
      <c r="G90" s="4">
        <f>F90+1</f>
        <v>2023</v>
      </c>
      <c r="H90" s="4">
        <f>G90+1</f>
        <v>2024</v>
      </c>
      <c r="I90" s="4">
        <f>H90+1</f>
        <v>2025</v>
      </c>
      <c r="J90" s="207"/>
      <c r="K90" s="335"/>
      <c r="L90" s="335"/>
      <c r="M90" s="97"/>
      <c r="N90" s="97"/>
      <c r="O90" s="97"/>
      <c r="P90" s="26"/>
      <c r="Q90" s="2"/>
      <c r="R90" s="2"/>
      <c r="S90" s="2"/>
      <c r="T90" s="2"/>
      <c r="U90" s="2"/>
    </row>
    <row r="91" spans="1:21" s="36" customFormat="1" x14ac:dyDescent="0.25">
      <c r="A91" s="76" t="s">
        <v>95</v>
      </c>
      <c r="B91" s="76" t="str">
        <f t="shared" ref="B91:B103" si="7">IF(L91,K91&amp;L91,"")</f>
        <v>OV20</v>
      </c>
      <c r="C91" s="243" t="s">
        <v>130</v>
      </c>
      <c r="D91" s="70" t="s">
        <v>105</v>
      </c>
      <c r="E91" s="109" t="s">
        <v>98</v>
      </c>
      <c r="F91" s="72">
        <v>0</v>
      </c>
      <c r="G91" s="72">
        <v>990</v>
      </c>
      <c r="H91" s="72">
        <v>990</v>
      </c>
      <c r="I91" s="72">
        <v>990</v>
      </c>
      <c r="J91" s="207"/>
      <c r="K91" s="26" t="s">
        <v>100</v>
      </c>
      <c r="L91" s="26">
        <f>L88+1</f>
        <v>20</v>
      </c>
      <c r="M91" s="97" t="str">
        <f>IF(E91="VEDTATT","VEDTATT",0)</f>
        <v>VEDTATT</v>
      </c>
      <c r="N91" s="97">
        <f>IF(E91="MÅ","Nye tiltak",0)</f>
        <v>0</v>
      </c>
      <c r="O91" s="97"/>
      <c r="P91" s="26"/>
    </row>
    <row r="92" spans="1:21" s="36" customFormat="1" x14ac:dyDescent="0.25">
      <c r="A92" s="76" t="s">
        <v>95</v>
      </c>
      <c r="B92" s="76" t="str">
        <f t="shared" si="7"/>
        <v>OV21</v>
      </c>
      <c r="C92" s="243" t="s">
        <v>148</v>
      </c>
      <c r="D92" s="70" t="s">
        <v>97</v>
      </c>
      <c r="E92" s="77" t="s">
        <v>98</v>
      </c>
      <c r="F92" s="502">
        <v>950</v>
      </c>
      <c r="G92" s="502">
        <v>950</v>
      </c>
      <c r="H92" s="502">
        <v>950</v>
      </c>
      <c r="I92" s="502">
        <v>950</v>
      </c>
      <c r="J92" s="485" t="s">
        <v>149</v>
      </c>
      <c r="K92" s="26" t="s">
        <v>100</v>
      </c>
      <c r="L92" s="26">
        <f t="shared" ref="L92:L103" si="8">L91+1</f>
        <v>21</v>
      </c>
      <c r="M92" s="97" t="str">
        <f>IF(E92="VEDTATT","VEDTATT",0)</f>
        <v>VEDTATT</v>
      </c>
      <c r="N92" s="97">
        <f>IF(E92="MÅ","Nye tiltak",0)</f>
        <v>0</v>
      </c>
      <c r="O92" s="97"/>
      <c r="P92" s="26"/>
    </row>
    <row r="93" spans="1:21" s="36" customFormat="1" ht="25.5" x14ac:dyDescent="0.25">
      <c r="A93" s="76" t="s">
        <v>95</v>
      </c>
      <c r="B93" s="76" t="str">
        <f t="shared" si="7"/>
        <v>OV22</v>
      </c>
      <c r="C93" s="243" t="s">
        <v>150</v>
      </c>
      <c r="D93" s="70" t="s">
        <v>97</v>
      </c>
      <c r="E93" s="109" t="s">
        <v>98</v>
      </c>
      <c r="F93" s="502">
        <v>250</v>
      </c>
      <c r="G93" s="502">
        <v>250</v>
      </c>
      <c r="H93" s="502">
        <v>250</v>
      </c>
      <c r="I93" s="502">
        <v>250</v>
      </c>
      <c r="J93" s="485" t="s">
        <v>151</v>
      </c>
      <c r="K93" s="26" t="s">
        <v>100</v>
      </c>
      <c r="L93" s="26">
        <f t="shared" si="8"/>
        <v>22</v>
      </c>
      <c r="M93" s="97" t="str">
        <f>IF(E93="VEDTATT","VEDTATT",0)</f>
        <v>VEDTATT</v>
      </c>
      <c r="N93" s="97">
        <f>IF(E93="MÅ","Nye tiltak",0)</f>
        <v>0</v>
      </c>
      <c r="O93" s="97"/>
      <c r="P93" s="26"/>
    </row>
    <row r="94" spans="1:21" s="36" customFormat="1" x14ac:dyDescent="0.25">
      <c r="A94" s="76" t="s">
        <v>95</v>
      </c>
      <c r="B94" s="76" t="str">
        <f t="shared" si="7"/>
        <v>OV23</v>
      </c>
      <c r="C94" s="243" t="s">
        <v>330</v>
      </c>
      <c r="D94" s="70" t="s">
        <v>105</v>
      </c>
      <c r="E94" s="69" t="s">
        <v>98</v>
      </c>
      <c r="F94" s="189"/>
      <c r="G94" s="189">
        <v>-3040</v>
      </c>
      <c r="H94" s="189">
        <v>-3040</v>
      </c>
      <c r="I94" s="189">
        <v>-3040</v>
      </c>
      <c r="J94" s="207" t="s">
        <v>132</v>
      </c>
      <c r="K94" s="26" t="s">
        <v>100</v>
      </c>
      <c r="L94" s="26">
        <f t="shared" si="8"/>
        <v>23</v>
      </c>
      <c r="M94" s="97" t="str">
        <f>IF(E95="VEDTATT","VEDTATT",0)</f>
        <v>VEDTATT</v>
      </c>
      <c r="N94" s="97">
        <f>IF(E95="MÅ","Nye tiltak",0)</f>
        <v>0</v>
      </c>
      <c r="O94" s="97"/>
      <c r="P94" s="26"/>
    </row>
    <row r="95" spans="1:21" s="36" customFormat="1" x14ac:dyDescent="0.25">
      <c r="A95" s="76" t="s">
        <v>95</v>
      </c>
      <c r="B95" s="76" t="str">
        <f t="shared" si="7"/>
        <v>OV24</v>
      </c>
      <c r="C95" s="243" t="s">
        <v>133</v>
      </c>
      <c r="D95" s="70" t="s">
        <v>97</v>
      </c>
      <c r="E95" s="69" t="s">
        <v>98</v>
      </c>
      <c r="F95" s="189"/>
      <c r="G95" s="189"/>
      <c r="H95" s="189"/>
      <c r="I95" s="189"/>
      <c r="J95" s="207"/>
      <c r="K95" s="26" t="s">
        <v>100</v>
      </c>
      <c r="L95" s="26">
        <f t="shared" si="8"/>
        <v>24</v>
      </c>
      <c r="M95" s="97" t="str">
        <f>IF(E96="VEDTATT","VEDTATT",0)</f>
        <v>VEDTATT</v>
      </c>
      <c r="N95" s="97">
        <f>IF(E96="MÅ","Nye tiltak",0)</f>
        <v>0</v>
      </c>
      <c r="O95" s="97"/>
      <c r="P95" s="26"/>
    </row>
    <row r="96" spans="1:21" s="36" customFormat="1" x14ac:dyDescent="0.25">
      <c r="A96" s="76" t="s">
        <v>95</v>
      </c>
      <c r="B96" s="76" t="str">
        <f t="shared" si="7"/>
        <v>OV25</v>
      </c>
      <c r="C96" s="243" t="s">
        <v>134</v>
      </c>
      <c r="D96" s="392" t="s">
        <v>97</v>
      </c>
      <c r="E96" s="393" t="s">
        <v>98</v>
      </c>
      <c r="F96" s="395"/>
      <c r="G96" s="395"/>
      <c r="H96" s="395"/>
      <c r="I96" s="395"/>
      <c r="J96" s="207"/>
      <c r="K96" s="26" t="s">
        <v>100</v>
      </c>
      <c r="L96" s="26">
        <f t="shared" si="8"/>
        <v>25</v>
      </c>
      <c r="M96" s="97"/>
      <c r="N96" s="97"/>
      <c r="O96" s="97"/>
      <c r="P96" s="26"/>
    </row>
    <row r="97" spans="1:16" s="36" customFormat="1" x14ac:dyDescent="0.25">
      <c r="A97" s="76" t="s">
        <v>95</v>
      </c>
      <c r="B97" s="76" t="str">
        <f t="shared" si="7"/>
        <v>OV26</v>
      </c>
      <c r="C97" s="243" t="s">
        <v>135</v>
      </c>
      <c r="D97" s="392" t="s">
        <v>108</v>
      </c>
      <c r="E97" s="479" t="s">
        <v>46</v>
      </c>
      <c r="F97" s="395">
        <v>1800</v>
      </c>
      <c r="G97" s="395">
        <f t="shared" ref="G97:I102" si="9">F97</f>
        <v>1800</v>
      </c>
      <c r="H97" s="395">
        <f t="shared" si="9"/>
        <v>1800</v>
      </c>
      <c r="I97" s="395">
        <f t="shared" si="9"/>
        <v>1800</v>
      </c>
      <c r="J97" s="81"/>
      <c r="K97" s="26" t="s">
        <v>100</v>
      </c>
      <c r="L97" s="26">
        <f t="shared" si="8"/>
        <v>26</v>
      </c>
      <c r="M97" s="97"/>
      <c r="N97" s="97"/>
      <c r="O97" s="97"/>
      <c r="P97" s="26"/>
    </row>
    <row r="98" spans="1:16" s="36" customFormat="1" x14ac:dyDescent="0.25">
      <c r="A98" s="76" t="s">
        <v>95</v>
      </c>
      <c r="B98" s="76" t="str">
        <f t="shared" si="7"/>
        <v>OV27</v>
      </c>
      <c r="C98" s="243" t="s">
        <v>136</v>
      </c>
      <c r="D98" s="392" t="s">
        <v>108</v>
      </c>
      <c r="E98" s="479" t="s">
        <v>46</v>
      </c>
      <c r="F98" s="395">
        <v>8000</v>
      </c>
      <c r="G98" s="395">
        <f t="shared" si="9"/>
        <v>8000</v>
      </c>
      <c r="H98" s="395">
        <f t="shared" si="9"/>
        <v>8000</v>
      </c>
      <c r="I98" s="395">
        <f t="shared" si="9"/>
        <v>8000</v>
      </c>
      <c r="J98" s="81"/>
      <c r="K98" s="26" t="s">
        <v>100</v>
      </c>
      <c r="L98" s="26">
        <f t="shared" si="8"/>
        <v>27</v>
      </c>
      <c r="M98" s="97"/>
      <c r="N98" s="97"/>
      <c r="O98" s="97"/>
      <c r="P98" s="26"/>
    </row>
    <row r="99" spans="1:16" s="36" customFormat="1" x14ac:dyDescent="0.25">
      <c r="A99" s="76" t="s">
        <v>95</v>
      </c>
      <c r="B99" s="76" t="str">
        <f t="shared" si="7"/>
        <v>OV28</v>
      </c>
      <c r="C99" s="243" t="s">
        <v>137</v>
      </c>
      <c r="D99" s="392" t="s">
        <v>108</v>
      </c>
      <c r="E99" s="479" t="s">
        <v>46</v>
      </c>
      <c r="F99" s="395">
        <v>25000</v>
      </c>
      <c r="G99" s="395">
        <f t="shared" si="9"/>
        <v>25000</v>
      </c>
      <c r="H99" s="395">
        <f t="shared" si="9"/>
        <v>25000</v>
      </c>
      <c r="I99" s="395">
        <f t="shared" si="9"/>
        <v>25000</v>
      </c>
      <c r="J99" s="478"/>
      <c r="K99" s="26" t="s">
        <v>100</v>
      </c>
      <c r="L99" s="26">
        <f t="shared" si="8"/>
        <v>28</v>
      </c>
      <c r="M99" s="97"/>
      <c r="N99" s="97"/>
      <c r="O99" s="97"/>
      <c r="P99" s="26"/>
    </row>
    <row r="100" spans="1:16" s="36" customFormat="1" x14ac:dyDescent="0.25">
      <c r="A100" s="76" t="s">
        <v>95</v>
      </c>
      <c r="B100" s="76" t="str">
        <f t="shared" si="7"/>
        <v>OV29</v>
      </c>
      <c r="C100" s="243" t="s">
        <v>138</v>
      </c>
      <c r="D100" s="392" t="s">
        <v>108</v>
      </c>
      <c r="E100" s="479" t="s">
        <v>46</v>
      </c>
      <c r="F100" s="395">
        <v>1900</v>
      </c>
      <c r="G100" s="395">
        <f t="shared" si="9"/>
        <v>1900</v>
      </c>
      <c r="H100" s="395">
        <f t="shared" si="9"/>
        <v>1900</v>
      </c>
      <c r="I100" s="395">
        <f t="shared" si="9"/>
        <v>1900</v>
      </c>
      <c r="J100" s="478" t="s">
        <v>139</v>
      </c>
      <c r="K100" s="26" t="s">
        <v>100</v>
      </c>
      <c r="L100" s="26">
        <f t="shared" si="8"/>
        <v>29</v>
      </c>
      <c r="M100" s="97"/>
      <c r="N100" s="97"/>
      <c r="O100" s="97"/>
      <c r="P100" s="26"/>
    </row>
    <row r="101" spans="1:16" s="36" customFormat="1" x14ac:dyDescent="0.25">
      <c r="A101" s="76" t="s">
        <v>95</v>
      </c>
      <c r="B101" s="76" t="str">
        <f>IF(L101,K101&amp;L101,"")</f>
        <v>OV30</v>
      </c>
      <c r="C101" s="243" t="s">
        <v>331</v>
      </c>
      <c r="D101" s="392" t="s">
        <v>108</v>
      </c>
      <c r="E101" s="393" t="s">
        <v>46</v>
      </c>
      <c r="F101" s="395"/>
      <c r="G101" s="395"/>
      <c r="H101" s="395"/>
      <c r="I101" s="395"/>
      <c r="J101" s="478" t="s">
        <v>332</v>
      </c>
      <c r="K101" s="26" t="s">
        <v>100</v>
      </c>
      <c r="L101" s="26">
        <f>L100+1</f>
        <v>30</v>
      </c>
      <c r="M101" s="97"/>
      <c r="N101" s="97"/>
      <c r="O101" s="97"/>
      <c r="P101" s="26"/>
    </row>
    <row r="102" spans="1:16" s="36" customFormat="1" x14ac:dyDescent="0.25">
      <c r="A102" s="76" t="s">
        <v>95</v>
      </c>
      <c r="B102" s="76" t="str">
        <f t="shared" si="7"/>
        <v>OV31</v>
      </c>
      <c r="C102" s="394" t="s">
        <v>140</v>
      </c>
      <c r="D102" s="392" t="s">
        <v>108</v>
      </c>
      <c r="E102" s="479" t="s">
        <v>46</v>
      </c>
      <c r="F102" s="395">
        <v>550</v>
      </c>
      <c r="G102" s="395">
        <f t="shared" si="9"/>
        <v>550</v>
      </c>
      <c r="H102" s="395">
        <f t="shared" si="9"/>
        <v>550</v>
      </c>
      <c r="I102" s="395">
        <f t="shared" si="9"/>
        <v>550</v>
      </c>
      <c r="J102" s="207" t="s">
        <v>141</v>
      </c>
      <c r="K102" s="26" t="s">
        <v>100</v>
      </c>
      <c r="L102" s="26">
        <f>L101+1</f>
        <v>31</v>
      </c>
      <c r="M102" s="97"/>
      <c r="N102" s="97"/>
      <c r="O102" s="97"/>
      <c r="P102" s="26"/>
    </row>
    <row r="103" spans="1:16" s="36" customFormat="1" x14ac:dyDescent="0.25">
      <c r="A103" s="242" t="s">
        <v>95</v>
      </c>
      <c r="B103" s="76" t="str">
        <f t="shared" si="7"/>
        <v>OV32</v>
      </c>
      <c r="C103" s="394" t="s">
        <v>142</v>
      </c>
      <c r="D103" s="392" t="s">
        <v>108</v>
      </c>
      <c r="E103" s="109" t="s">
        <v>46</v>
      </c>
      <c r="F103" s="395">
        <v>5500</v>
      </c>
      <c r="G103" s="395">
        <v>5500</v>
      </c>
      <c r="J103" s="207" t="s">
        <v>143</v>
      </c>
      <c r="K103" s="26" t="s">
        <v>100</v>
      </c>
      <c r="L103" s="26">
        <f t="shared" si="8"/>
        <v>32</v>
      </c>
      <c r="M103" s="97"/>
      <c r="N103" s="97"/>
      <c r="O103" s="97"/>
      <c r="P103" s="26"/>
    </row>
    <row r="104" spans="1:16" s="36" customFormat="1" x14ac:dyDescent="0.25">
      <c r="A104" s="242"/>
      <c r="B104" s="242"/>
      <c r="C104" s="394"/>
      <c r="J104" s="207"/>
      <c r="K104" s="26"/>
      <c r="L104" s="26"/>
      <c r="M104" s="97"/>
      <c r="N104" s="97"/>
      <c r="O104" s="97"/>
      <c r="P104" s="26"/>
    </row>
    <row r="105" spans="1:16" s="36" customFormat="1" x14ac:dyDescent="0.25">
      <c r="A105" s="242"/>
      <c r="B105" s="242"/>
      <c r="C105" s="394"/>
      <c r="J105" s="207"/>
      <c r="K105" s="26"/>
      <c r="L105" s="26"/>
      <c r="M105" s="97"/>
      <c r="N105" s="97"/>
      <c r="O105" s="97"/>
      <c r="P105" s="26"/>
    </row>
    <row r="106" spans="1:16" s="36" customFormat="1" x14ac:dyDescent="0.25">
      <c r="A106" s="242"/>
      <c r="B106" s="242"/>
      <c r="C106" s="394"/>
      <c r="J106" s="207"/>
      <c r="K106" s="26"/>
      <c r="L106" s="26"/>
      <c r="M106" s="97"/>
      <c r="N106" s="97"/>
      <c r="O106" s="97"/>
      <c r="P106" s="26"/>
    </row>
    <row r="107" spans="1:16" s="36" customFormat="1" x14ac:dyDescent="0.25">
      <c r="A107" s="242"/>
      <c r="B107" s="242"/>
      <c r="C107" s="394"/>
      <c r="J107" s="207"/>
      <c r="K107" s="26"/>
      <c r="L107" s="26"/>
      <c r="M107" s="97"/>
      <c r="N107" s="97"/>
      <c r="O107" s="97"/>
      <c r="P107" s="26"/>
    </row>
    <row r="108" spans="1:16" s="36" customFormat="1" x14ac:dyDescent="0.25">
      <c r="A108" s="41"/>
      <c r="B108" s="41" t="s">
        <v>152</v>
      </c>
      <c r="C108" s="3" t="s">
        <v>153</v>
      </c>
      <c r="D108" s="50"/>
      <c r="E108" s="50"/>
      <c r="F108" s="54">
        <f>SUMIF($A:$A,"OPP",F:F)</f>
        <v>86059</v>
      </c>
      <c r="G108" s="54">
        <f>SUMIF($A:$A,"OPP",G:G)</f>
        <v>90686</v>
      </c>
      <c r="H108" s="54">
        <f>SUMIF($A:$A,"OPP",H:H)</f>
        <v>99746.583333333328</v>
      </c>
      <c r="I108" s="54">
        <f>SUMIF($A:$A,"OPP",I:I)</f>
        <v>107395</v>
      </c>
      <c r="J108" s="207"/>
      <c r="K108" s="335"/>
      <c r="L108" s="335"/>
      <c r="M108" s="97"/>
      <c r="N108" s="97"/>
      <c r="O108" s="97"/>
      <c r="P108" s="26"/>
    </row>
    <row r="109" spans="1:16" s="36" customFormat="1" x14ac:dyDescent="0.25">
      <c r="A109" s="45"/>
      <c r="B109" s="45"/>
      <c r="C109" s="9"/>
      <c r="D109" s="47"/>
      <c r="E109" s="47"/>
      <c r="F109" s="55"/>
      <c r="G109" s="55"/>
      <c r="H109" s="55"/>
      <c r="I109" s="55"/>
      <c r="J109" s="207"/>
      <c r="K109" s="26"/>
      <c r="L109" s="26"/>
      <c r="M109" s="97"/>
      <c r="N109" s="97"/>
      <c r="O109" s="97"/>
      <c r="P109" s="26"/>
    </row>
    <row r="110" spans="1:16" s="36" customFormat="1" x14ac:dyDescent="0.25">
      <c r="A110" s="46"/>
      <c r="B110" s="46"/>
      <c r="C110" s="11" t="s">
        <v>154</v>
      </c>
      <c r="D110" s="48"/>
      <c r="E110" s="59"/>
      <c r="F110" s="56"/>
      <c r="G110" s="56"/>
      <c r="H110" s="56"/>
      <c r="I110" s="56"/>
      <c r="J110" s="207"/>
      <c r="M110" s="97"/>
      <c r="N110" s="97"/>
      <c r="O110" s="97"/>
      <c r="P110" s="26"/>
    </row>
    <row r="111" spans="1:16" s="36" customFormat="1" x14ac:dyDescent="0.25">
      <c r="A111" s="76"/>
      <c r="B111" s="76" t="str">
        <f t="shared" ref="B111:B119" si="10">IF(L111,K111&amp;L111,"")</f>
        <v/>
      </c>
      <c r="C111" s="80" t="s">
        <v>155</v>
      </c>
      <c r="D111" s="70"/>
      <c r="E111" s="69"/>
      <c r="F111" s="4">
        <f>F90</f>
        <v>2022</v>
      </c>
      <c r="G111" s="4">
        <f>F111+1</f>
        <v>2023</v>
      </c>
      <c r="H111" s="4">
        <f>G111+1</f>
        <v>2024</v>
      </c>
      <c r="I111" s="4">
        <f>H111+1</f>
        <v>2025</v>
      </c>
      <c r="J111" s="207"/>
      <c r="K111" s="335"/>
      <c r="L111" s="335"/>
      <c r="M111" s="97"/>
      <c r="N111" s="97"/>
      <c r="O111" s="97"/>
      <c r="P111" s="26"/>
    </row>
    <row r="112" spans="1:16" s="36" customFormat="1" x14ac:dyDescent="0.25">
      <c r="A112" s="76" t="s">
        <v>156</v>
      </c>
      <c r="B112" s="76" t="str">
        <f t="shared" si="10"/>
        <v>H1</v>
      </c>
      <c r="C112" s="243" t="s">
        <v>157</v>
      </c>
      <c r="D112" s="70" t="s">
        <v>105</v>
      </c>
      <c r="E112" s="69" t="s">
        <v>98</v>
      </c>
      <c r="F112" s="72">
        <v>5000</v>
      </c>
      <c r="G112" s="72">
        <v>5000</v>
      </c>
      <c r="H112" s="72">
        <v>5000</v>
      </c>
      <c r="I112" s="68">
        <v>5000</v>
      </c>
      <c r="J112" s="207"/>
      <c r="K112" s="26" t="s">
        <v>158</v>
      </c>
      <c r="L112" s="26">
        <v>1</v>
      </c>
      <c r="M112" s="97" t="str">
        <f>IF(E112="VEDTATT","VEDTATT",0)</f>
        <v>VEDTATT</v>
      </c>
      <c r="N112" s="97">
        <f>IF(E112="MÅ","Nye tiltak",0)</f>
        <v>0</v>
      </c>
      <c r="O112" s="97"/>
      <c r="P112" s="26"/>
    </row>
    <row r="113" spans="1:17" s="36" customFormat="1" x14ac:dyDescent="0.25">
      <c r="A113" s="76" t="s">
        <v>156</v>
      </c>
      <c r="B113" s="76" t="str">
        <f t="shared" si="10"/>
        <v>H2</v>
      </c>
      <c r="C113" s="243" t="s">
        <v>159</v>
      </c>
      <c r="D113" s="70" t="s">
        <v>105</v>
      </c>
      <c r="E113" s="69" t="s">
        <v>98</v>
      </c>
      <c r="F113" s="72"/>
      <c r="G113" s="72"/>
      <c r="H113" s="72">
        <v>1000</v>
      </c>
      <c r="I113" s="72">
        <v>9000</v>
      </c>
      <c r="J113" s="207"/>
      <c r="K113" s="26" t="s">
        <v>158</v>
      </c>
      <c r="L113" s="26">
        <f>L112+1</f>
        <v>2</v>
      </c>
      <c r="M113" s="97" t="str">
        <f>IF(E113="VEDTATT","VEDTATT",0)</f>
        <v>VEDTATT</v>
      </c>
      <c r="N113" s="97">
        <f>IF(E113="MÅ","Nye tiltak",0)</f>
        <v>0</v>
      </c>
      <c r="O113" s="97"/>
      <c r="P113" s="26"/>
    </row>
    <row r="114" spans="1:17" s="36" customFormat="1" x14ac:dyDescent="0.25">
      <c r="A114" s="76" t="s">
        <v>156</v>
      </c>
      <c r="B114" s="76" t="str">
        <f t="shared" si="10"/>
        <v>H3</v>
      </c>
      <c r="C114" s="243" t="s">
        <v>160</v>
      </c>
      <c r="D114" s="70" t="s">
        <v>108</v>
      </c>
      <c r="E114" s="403" t="s">
        <v>46</v>
      </c>
      <c r="F114" s="72">
        <v>1600</v>
      </c>
      <c r="G114" s="72">
        <v>1600</v>
      </c>
      <c r="H114" s="72">
        <v>1600</v>
      </c>
      <c r="I114" s="72">
        <v>1600</v>
      </c>
      <c r="J114" s="207"/>
      <c r="K114" s="26" t="s">
        <v>158</v>
      </c>
      <c r="L114" s="26">
        <f>L113+1</f>
        <v>3</v>
      </c>
      <c r="M114" s="97"/>
      <c r="N114" s="97"/>
      <c r="O114" s="97"/>
      <c r="P114" s="26"/>
    </row>
    <row r="115" spans="1:17" s="36" customFormat="1" x14ac:dyDescent="0.25">
      <c r="A115" s="76" t="s">
        <v>156</v>
      </c>
      <c r="B115" s="76" t="str">
        <f t="shared" si="10"/>
        <v>H4</v>
      </c>
      <c r="C115" s="243" t="s">
        <v>161</v>
      </c>
      <c r="D115" s="70" t="s">
        <v>105</v>
      </c>
      <c r="E115" s="403" t="s">
        <v>98</v>
      </c>
      <c r="F115" s="88">
        <v>900</v>
      </c>
      <c r="G115" s="88">
        <v>2550</v>
      </c>
      <c r="H115" s="88">
        <v>4500</v>
      </c>
      <c r="I115" s="88">
        <v>5800</v>
      </c>
      <c r="J115" s="485" t="s">
        <v>149</v>
      </c>
      <c r="K115" s="26" t="s">
        <v>158</v>
      </c>
      <c r="L115" s="26">
        <f>L114+1</f>
        <v>4</v>
      </c>
      <c r="M115" s="97" t="str">
        <f>IF(E115="VEDTATT","VEDTATT",0)</f>
        <v>VEDTATT</v>
      </c>
      <c r="N115" s="97">
        <f>IF(E115="MÅ","Nye tiltak",0)</f>
        <v>0</v>
      </c>
      <c r="O115" s="97"/>
      <c r="P115" s="26"/>
    </row>
    <row r="116" spans="1:17" s="36" customFormat="1" x14ac:dyDescent="0.25">
      <c r="A116" s="76"/>
      <c r="B116" s="76" t="str">
        <f t="shared" si="10"/>
        <v/>
      </c>
      <c r="C116" s="80" t="s">
        <v>162</v>
      </c>
      <c r="D116" s="70"/>
      <c r="E116" s="403"/>
      <c r="F116" s="4">
        <f>F111</f>
        <v>2022</v>
      </c>
      <c r="G116" s="4">
        <f>F116+1</f>
        <v>2023</v>
      </c>
      <c r="H116" s="4">
        <f>G116+1</f>
        <v>2024</v>
      </c>
      <c r="I116" s="4">
        <f>H116+1</f>
        <v>2025</v>
      </c>
      <c r="J116" s="207"/>
      <c r="K116" s="335"/>
      <c r="L116" s="335"/>
      <c r="M116" s="97"/>
      <c r="N116" s="97"/>
      <c r="O116" s="97"/>
      <c r="P116" s="26"/>
    </row>
    <row r="117" spans="1:17" s="36" customFormat="1" x14ac:dyDescent="0.25">
      <c r="A117" s="76" t="s">
        <v>156</v>
      </c>
      <c r="B117" s="76" t="str">
        <f t="shared" si="10"/>
        <v>H5</v>
      </c>
      <c r="C117" s="243" t="s">
        <v>163</v>
      </c>
      <c r="D117" s="70" t="s">
        <v>105</v>
      </c>
      <c r="E117" s="403" t="s">
        <v>98</v>
      </c>
      <c r="F117" s="68">
        <v>2500</v>
      </c>
      <c r="G117" s="68">
        <v>5000</v>
      </c>
      <c r="H117" s="68">
        <v>7500</v>
      </c>
      <c r="I117" s="68">
        <v>10000</v>
      </c>
      <c r="J117" s="207"/>
      <c r="K117" s="26" t="s">
        <v>158</v>
      </c>
      <c r="L117" s="26">
        <f>L115+1</f>
        <v>5</v>
      </c>
      <c r="M117" s="97" t="str">
        <f>IF(E117="VEDTATT","VEDTATT",0)</f>
        <v>VEDTATT</v>
      </c>
      <c r="N117" s="97">
        <f>IF(E117="MÅ","Nye tiltak",0)</f>
        <v>0</v>
      </c>
      <c r="O117" s="97"/>
      <c r="P117" s="26"/>
    </row>
    <row r="118" spans="1:17" s="36" customFormat="1" x14ac:dyDescent="0.25">
      <c r="A118" s="76" t="s">
        <v>156</v>
      </c>
      <c r="B118" s="76" t="str">
        <f t="shared" si="10"/>
        <v>H6</v>
      </c>
      <c r="C118" s="243" t="s">
        <v>164</v>
      </c>
      <c r="D118" s="70" t="s">
        <v>105</v>
      </c>
      <c r="E118" s="403" t="s">
        <v>98</v>
      </c>
      <c r="F118" s="215">
        <v>10000</v>
      </c>
      <c r="G118" s="215">
        <v>20000</v>
      </c>
      <c r="H118" s="215">
        <v>20000</v>
      </c>
      <c r="I118" s="215">
        <v>20000</v>
      </c>
      <c r="J118" s="207"/>
      <c r="K118" s="26" t="s">
        <v>158</v>
      </c>
      <c r="L118" s="26">
        <f>L117+1</f>
        <v>6</v>
      </c>
      <c r="M118" s="97"/>
      <c r="N118" s="97"/>
      <c r="O118" s="97"/>
      <c r="P118" s="26"/>
    </row>
    <row r="119" spans="1:17" s="36" customFormat="1" x14ac:dyDescent="0.25">
      <c r="A119" s="76" t="s">
        <v>156</v>
      </c>
      <c r="B119" s="76" t="str">
        <f t="shared" si="10"/>
        <v>H7</v>
      </c>
      <c r="C119" s="243" t="s">
        <v>165</v>
      </c>
      <c r="D119" s="70" t="s">
        <v>108</v>
      </c>
      <c r="E119" s="403" t="s">
        <v>46</v>
      </c>
      <c r="F119" s="215">
        <v>1400</v>
      </c>
      <c r="G119" s="215">
        <f>F119</f>
        <v>1400</v>
      </c>
      <c r="H119" s="215">
        <f>G119</f>
        <v>1400</v>
      </c>
      <c r="I119" s="215">
        <f>H119</f>
        <v>1400</v>
      </c>
      <c r="J119" s="207"/>
      <c r="K119" s="26" t="s">
        <v>158</v>
      </c>
      <c r="L119" s="26">
        <f>L118+1</f>
        <v>7</v>
      </c>
      <c r="M119" s="97">
        <f>IF(E119="VEDTATT","VEDTATT",0)</f>
        <v>0</v>
      </c>
      <c r="N119" s="97" t="str">
        <f>IF(E119="MÅ","Nye tiltak",0)</f>
        <v>Nye tiltak</v>
      </c>
      <c r="O119" s="97"/>
      <c r="P119" s="26"/>
    </row>
    <row r="120" spans="1:17" s="36" customFormat="1" x14ac:dyDescent="0.25">
      <c r="A120" s="339"/>
      <c r="B120" s="339"/>
      <c r="C120" s="80" t="s">
        <v>166</v>
      </c>
      <c r="D120" s="81"/>
      <c r="E120" s="403"/>
      <c r="F120" s="4">
        <f>F116</f>
        <v>2022</v>
      </c>
      <c r="G120" s="4">
        <f>F120+1</f>
        <v>2023</v>
      </c>
      <c r="H120" s="4">
        <f>G120+1</f>
        <v>2024</v>
      </c>
      <c r="I120" s="4">
        <f>H120+1</f>
        <v>2025</v>
      </c>
      <c r="J120" s="207"/>
      <c r="K120" s="335"/>
      <c r="L120" s="335"/>
      <c r="M120" s="97"/>
      <c r="N120" s="97"/>
      <c r="O120" s="97"/>
      <c r="P120" s="26"/>
    </row>
    <row r="121" spans="1:17" s="36" customFormat="1" x14ac:dyDescent="0.25">
      <c r="A121" s="76" t="s">
        <v>156</v>
      </c>
      <c r="B121" s="76" t="str">
        <f t="shared" ref="B121:B129" si="11">IF(L121,K121&amp;L121,"")</f>
        <v>H8</v>
      </c>
      <c r="C121" s="243" t="s">
        <v>167</v>
      </c>
      <c r="D121" s="70" t="s">
        <v>105</v>
      </c>
      <c r="E121" s="403" t="s">
        <v>98</v>
      </c>
      <c r="F121" s="68">
        <v>-300</v>
      </c>
      <c r="G121" s="68">
        <v>-900</v>
      </c>
      <c r="H121" s="68">
        <v>-1500</v>
      </c>
      <c r="I121" s="68">
        <v>-2100</v>
      </c>
      <c r="J121" s="207"/>
      <c r="K121" s="26" t="s">
        <v>158</v>
      </c>
      <c r="L121" s="26">
        <f>L119+1</f>
        <v>8</v>
      </c>
      <c r="M121" s="97" t="str">
        <f>IF(E121="VEDTATT","VEDTATT",0)</f>
        <v>VEDTATT</v>
      </c>
      <c r="N121" s="97">
        <f>IF(E121="MÅ","Nye tiltak",0)</f>
        <v>0</v>
      </c>
      <c r="O121" s="97"/>
      <c r="P121" s="26"/>
    </row>
    <row r="122" spans="1:17" s="36" customFormat="1" ht="25.5" x14ac:dyDescent="0.25">
      <c r="A122" s="76" t="s">
        <v>156</v>
      </c>
      <c r="B122" s="76" t="str">
        <f t="shared" si="11"/>
        <v/>
      </c>
      <c r="C122" s="243" t="s">
        <v>333</v>
      </c>
      <c r="D122" s="70" t="s">
        <v>108</v>
      </c>
      <c r="E122" s="403" t="s">
        <v>46</v>
      </c>
      <c r="F122" s="68"/>
      <c r="G122" s="68"/>
      <c r="H122" s="68"/>
      <c r="I122" s="68"/>
      <c r="J122" s="207" t="s">
        <v>334</v>
      </c>
      <c r="K122" s="26" t="s">
        <v>158</v>
      </c>
      <c r="L122" s="26"/>
      <c r="M122" s="97">
        <f>IF(E122="VEDTATT","VEDTATT",0)</f>
        <v>0</v>
      </c>
      <c r="N122" s="97" t="str">
        <f>IF(E122="MÅ","Nye tiltak",0)</f>
        <v>Nye tiltak</v>
      </c>
      <c r="O122" s="97"/>
      <c r="P122" s="26"/>
      <c r="Q122" s="293"/>
    </row>
    <row r="123" spans="1:17" s="36" customFormat="1" x14ac:dyDescent="0.25">
      <c r="A123" s="76" t="s">
        <v>156</v>
      </c>
      <c r="B123" s="76" t="str">
        <f t="shared" si="11"/>
        <v>H9</v>
      </c>
      <c r="C123" s="243" t="s">
        <v>168</v>
      </c>
      <c r="D123" s="70" t="s">
        <v>108</v>
      </c>
      <c r="E123" s="403" t="s">
        <v>46</v>
      </c>
      <c r="F123" s="68">
        <v>950</v>
      </c>
      <c r="G123" s="68">
        <v>950</v>
      </c>
      <c r="H123" s="68">
        <v>950</v>
      </c>
      <c r="I123" s="68">
        <v>950</v>
      </c>
      <c r="J123" s="408">
        <v>2</v>
      </c>
      <c r="K123" s="26" t="s">
        <v>158</v>
      </c>
      <c r="L123" s="26">
        <f>L121+1</f>
        <v>9</v>
      </c>
      <c r="M123" s="97"/>
      <c r="N123" s="97"/>
      <c r="O123" s="97"/>
      <c r="Q123" s="293"/>
    </row>
    <row r="124" spans="1:17" s="36" customFormat="1" x14ac:dyDescent="0.25">
      <c r="A124" s="76" t="s">
        <v>156</v>
      </c>
      <c r="B124" s="76" t="str">
        <f t="shared" si="11"/>
        <v>H10</v>
      </c>
      <c r="C124" s="243" t="s">
        <v>169</v>
      </c>
      <c r="D124" s="70" t="s">
        <v>105</v>
      </c>
      <c r="E124" s="69" t="s">
        <v>98</v>
      </c>
      <c r="F124" s="68">
        <f>-11400-15856</f>
        <v>-27256</v>
      </c>
      <c r="G124" s="68">
        <f>-11400-15856</f>
        <v>-27256</v>
      </c>
      <c r="H124" s="68">
        <f>G124</f>
        <v>-27256</v>
      </c>
      <c r="I124" s="68">
        <f>H124</f>
        <v>-27256</v>
      </c>
      <c r="J124" s="207"/>
      <c r="K124" s="26" t="s">
        <v>158</v>
      </c>
      <c r="L124" s="26">
        <f>L123+1</f>
        <v>10</v>
      </c>
      <c r="M124" s="97" t="str">
        <f>IF(E124="VEDTATT","VEDTATT",0)</f>
        <v>VEDTATT</v>
      </c>
      <c r="N124" s="97">
        <f>IF(E124="MÅ","Nye tiltak",0)</f>
        <v>0</v>
      </c>
      <c r="O124" s="97"/>
      <c r="Q124" s="293"/>
    </row>
    <row r="125" spans="1:17" s="36" customFormat="1" x14ac:dyDescent="0.25">
      <c r="A125" s="76"/>
      <c r="B125" s="76" t="str">
        <f t="shared" si="11"/>
        <v/>
      </c>
      <c r="C125" s="80" t="s">
        <v>173</v>
      </c>
      <c r="D125" s="70"/>
      <c r="E125" s="69"/>
      <c r="F125" s="4">
        <f>F120</f>
        <v>2022</v>
      </c>
      <c r="G125" s="4">
        <f>F125+1</f>
        <v>2023</v>
      </c>
      <c r="H125" s="4">
        <f>G125+1</f>
        <v>2024</v>
      </c>
      <c r="I125" s="4">
        <f>H125+1</f>
        <v>2025</v>
      </c>
      <c r="J125" s="207"/>
      <c r="K125" s="4"/>
      <c r="L125" s="4"/>
      <c r="M125" s="97"/>
      <c r="N125" s="97"/>
      <c r="O125" s="97"/>
    </row>
    <row r="126" spans="1:17" s="36" customFormat="1" x14ac:dyDescent="0.25">
      <c r="A126" s="76" t="s">
        <v>156</v>
      </c>
      <c r="B126" s="76" t="str">
        <f t="shared" si="11"/>
        <v>H11</v>
      </c>
      <c r="C126" s="243" t="s">
        <v>174</v>
      </c>
      <c r="D126" s="70" t="s">
        <v>108</v>
      </c>
      <c r="E126" s="69" t="s">
        <v>46</v>
      </c>
      <c r="F126" s="68">
        <v>600</v>
      </c>
      <c r="G126" s="68">
        <v>600</v>
      </c>
      <c r="H126" s="68">
        <v>600</v>
      </c>
      <c r="I126" s="68">
        <v>600</v>
      </c>
      <c r="J126" s="207"/>
      <c r="K126" s="26" t="s">
        <v>158</v>
      </c>
      <c r="L126" s="26">
        <f>L124+1</f>
        <v>11</v>
      </c>
      <c r="M126" s="97"/>
      <c r="N126" s="97"/>
      <c r="O126" s="97"/>
      <c r="P126" s="26"/>
    </row>
    <row r="127" spans="1:17" s="36" customFormat="1" x14ac:dyDescent="0.25">
      <c r="A127" s="76" t="s">
        <v>156</v>
      </c>
      <c r="B127" s="76" t="str">
        <f t="shared" si="11"/>
        <v>H12</v>
      </c>
      <c r="C127" s="243" t="s">
        <v>175</v>
      </c>
      <c r="D127" s="70" t="s">
        <v>97</v>
      </c>
      <c r="E127" s="69" t="s">
        <v>98</v>
      </c>
      <c r="F127" s="68">
        <v>5461</v>
      </c>
      <c r="G127" s="68">
        <v>5521</v>
      </c>
      <c r="H127" s="68">
        <v>5578</v>
      </c>
      <c r="I127" s="68">
        <v>5635</v>
      </c>
      <c r="J127" s="408"/>
      <c r="K127" s="26" t="s">
        <v>158</v>
      </c>
      <c r="L127" s="26">
        <f>L126+1</f>
        <v>12</v>
      </c>
      <c r="M127" s="97" t="str">
        <f>IF(E127="VEDTATT","VEDTATT",0)</f>
        <v>VEDTATT</v>
      </c>
      <c r="N127" s="97">
        <f>IF(E127="MÅ","Nye tiltak",0)</f>
        <v>0</v>
      </c>
      <c r="O127" s="97"/>
      <c r="P127" s="26"/>
    </row>
    <row r="128" spans="1:17" s="36" customFormat="1" ht="25.5" x14ac:dyDescent="0.25">
      <c r="A128" s="76" t="s">
        <v>156</v>
      </c>
      <c r="B128" s="76" t="str">
        <f t="shared" si="11"/>
        <v>H13</v>
      </c>
      <c r="C128" s="243" t="s">
        <v>176</v>
      </c>
      <c r="D128" s="70" t="s">
        <v>97</v>
      </c>
      <c r="E128" s="69" t="s">
        <v>98</v>
      </c>
      <c r="F128" s="88">
        <v>100</v>
      </c>
      <c r="G128" s="88">
        <v>100</v>
      </c>
      <c r="H128" s="88">
        <v>100</v>
      </c>
      <c r="I128" s="88">
        <v>100</v>
      </c>
      <c r="J128" s="485" t="s">
        <v>177</v>
      </c>
      <c r="K128" s="26" t="s">
        <v>158</v>
      </c>
      <c r="L128" s="26">
        <f>L127+1</f>
        <v>13</v>
      </c>
      <c r="M128" s="97" t="str">
        <f>IF(E128="VEDTATT","VEDTATT",0)</f>
        <v>VEDTATT</v>
      </c>
      <c r="N128" s="97">
        <f>IF(E128="MÅ","Nye tiltak",0)</f>
        <v>0</v>
      </c>
      <c r="O128" s="97"/>
      <c r="P128" s="26"/>
    </row>
    <row r="129" spans="1:16" s="36" customFormat="1" ht="25.5" x14ac:dyDescent="0.25">
      <c r="A129" s="76" t="s">
        <v>156</v>
      </c>
      <c r="B129" s="76" t="str">
        <f t="shared" si="11"/>
        <v>H14</v>
      </c>
      <c r="C129" s="243" t="s">
        <v>335</v>
      </c>
      <c r="D129" s="77" t="s">
        <v>108</v>
      </c>
      <c r="E129" s="69"/>
      <c r="F129" s="389"/>
      <c r="G129" s="389"/>
      <c r="H129" s="389"/>
      <c r="I129" s="389"/>
      <c r="J129" s="207" t="s">
        <v>336</v>
      </c>
      <c r="K129" s="26" t="s">
        <v>158</v>
      </c>
      <c r="L129" s="26">
        <f>L128+1</f>
        <v>14</v>
      </c>
      <c r="M129" s="97">
        <f>IF(E129="VEDTATT","VEDTATT",0)</f>
        <v>0</v>
      </c>
      <c r="N129" s="97">
        <f>IF(E129="MÅ","Nye tiltak",0)</f>
        <v>0</v>
      </c>
      <c r="O129" s="97"/>
      <c r="P129" s="26"/>
    </row>
    <row r="130" spans="1:16" s="36" customFormat="1" x14ac:dyDescent="0.25">
      <c r="A130" s="76"/>
      <c r="B130" s="76"/>
      <c r="C130" s="80" t="s">
        <v>178</v>
      </c>
      <c r="D130" s="81"/>
      <c r="E130" s="69"/>
      <c r="F130" s="4">
        <f>F125</f>
        <v>2022</v>
      </c>
      <c r="G130" s="4">
        <f>F130+1</f>
        <v>2023</v>
      </c>
      <c r="H130" s="4">
        <f>G130+1</f>
        <v>2024</v>
      </c>
      <c r="I130" s="4">
        <f>H130+1</f>
        <v>2025</v>
      </c>
      <c r="J130" s="207"/>
      <c r="K130" s="335"/>
      <c r="L130" s="335"/>
      <c r="M130" s="97"/>
      <c r="N130" s="97"/>
      <c r="O130" s="97"/>
      <c r="P130" s="26"/>
    </row>
    <row r="131" spans="1:16" s="36" customFormat="1" x14ac:dyDescent="0.25">
      <c r="A131" s="76" t="s">
        <v>156</v>
      </c>
      <c r="B131" s="76" t="str">
        <f t="shared" ref="B131:B138" si="12">IF(L131,K131&amp;L131,"")</f>
        <v>H15</v>
      </c>
      <c r="C131" s="243" t="s">
        <v>337</v>
      </c>
      <c r="D131" s="70" t="s">
        <v>97</v>
      </c>
      <c r="E131" s="69" t="s">
        <v>98</v>
      </c>
      <c r="F131" s="68">
        <v>-1883</v>
      </c>
      <c r="G131" s="57">
        <v>-1178</v>
      </c>
      <c r="H131" s="57">
        <v>232</v>
      </c>
      <c r="I131" s="57">
        <v>4583</v>
      </c>
      <c r="J131" s="408"/>
      <c r="K131" s="26" t="s">
        <v>158</v>
      </c>
      <c r="L131" s="26">
        <f>L129+1</f>
        <v>15</v>
      </c>
      <c r="M131" s="97" t="str">
        <f>IF(E131="VEDTATT","VEDTATT",0)</f>
        <v>VEDTATT</v>
      </c>
      <c r="N131" s="97">
        <f>IF(E131="MÅ","Nye tiltak",0)</f>
        <v>0</v>
      </c>
      <c r="O131" s="97"/>
      <c r="P131" s="26"/>
    </row>
    <row r="132" spans="1:16" s="36" customFormat="1" x14ac:dyDescent="0.25">
      <c r="A132" s="76" t="s">
        <v>156</v>
      </c>
      <c r="B132" s="76" t="str">
        <f t="shared" si="12"/>
        <v>H16</v>
      </c>
      <c r="C132" s="243" t="s">
        <v>180</v>
      </c>
      <c r="D132" s="70" t="s">
        <v>97</v>
      </c>
      <c r="E132" s="69" t="s">
        <v>98</v>
      </c>
      <c r="F132" s="68">
        <v>5000</v>
      </c>
      <c r="G132" s="68">
        <v>0</v>
      </c>
      <c r="H132" s="68">
        <v>-2000</v>
      </c>
      <c r="I132" s="68">
        <v>-2000</v>
      </c>
      <c r="J132" s="408"/>
      <c r="K132" s="26" t="s">
        <v>158</v>
      </c>
      <c r="L132" s="26">
        <f>L131+1</f>
        <v>16</v>
      </c>
      <c r="M132" s="97" t="str">
        <f>IF(E132="VEDTATT","VEDTATT",0)</f>
        <v>VEDTATT</v>
      </c>
      <c r="N132" s="97">
        <f>IF(E132="MÅ","Nye tiltak",0)</f>
        <v>0</v>
      </c>
      <c r="O132" s="97"/>
      <c r="P132" s="26"/>
    </row>
    <row r="133" spans="1:16" s="36" customFormat="1" x14ac:dyDescent="0.25">
      <c r="A133" s="76" t="s">
        <v>156</v>
      </c>
      <c r="B133" s="76" t="str">
        <f t="shared" si="12"/>
        <v>H17</v>
      </c>
      <c r="C133" s="243" t="s">
        <v>181</v>
      </c>
      <c r="D133" s="70" t="s">
        <v>97</v>
      </c>
      <c r="E133" s="69" t="s">
        <v>98</v>
      </c>
      <c r="F133" s="501">
        <v>1750</v>
      </c>
      <c r="G133" s="501">
        <v>3450</v>
      </c>
      <c r="H133" s="501">
        <v>3450</v>
      </c>
      <c r="I133" s="501">
        <v>3450</v>
      </c>
      <c r="J133" s="485" t="s">
        <v>177</v>
      </c>
      <c r="K133" s="26" t="s">
        <v>158</v>
      </c>
      <c r="L133" s="26">
        <f>L132+1</f>
        <v>17</v>
      </c>
      <c r="M133" s="97" t="str">
        <f>IF(E132="VEDTATT","VEDTATT",0)</f>
        <v>VEDTATT</v>
      </c>
      <c r="N133" s="97">
        <f>IF(E132="MÅ","Nye tiltak",0)</f>
        <v>0</v>
      </c>
      <c r="O133" s="97"/>
      <c r="P133" s="26"/>
    </row>
    <row r="134" spans="1:16" s="36" customFormat="1" ht="25.5" x14ac:dyDescent="0.25">
      <c r="A134" s="76" t="s">
        <v>156</v>
      </c>
      <c r="B134" s="76" t="str">
        <f t="shared" si="12"/>
        <v>H18</v>
      </c>
      <c r="C134" s="243" t="s">
        <v>182</v>
      </c>
      <c r="D134" s="70" t="s">
        <v>97</v>
      </c>
      <c r="E134" s="69" t="s">
        <v>98</v>
      </c>
      <c r="F134" s="501">
        <v>3510</v>
      </c>
      <c r="G134" s="501">
        <v>10430</v>
      </c>
      <c r="H134" s="501">
        <v>17050</v>
      </c>
      <c r="I134" s="501">
        <v>22010</v>
      </c>
      <c r="J134" s="485" t="s">
        <v>183</v>
      </c>
      <c r="K134" s="26" t="s">
        <v>158</v>
      </c>
      <c r="L134" s="26">
        <f>L133+1</f>
        <v>18</v>
      </c>
      <c r="M134" s="97" t="str">
        <f>IF(E133="VEDTATT","VEDTATT",0)</f>
        <v>VEDTATT</v>
      </c>
      <c r="N134" s="97">
        <f>IF(E133="MÅ","Nye tiltak",0)</f>
        <v>0</v>
      </c>
      <c r="O134" s="97"/>
      <c r="P134" s="26"/>
    </row>
    <row r="135" spans="1:16" s="36" customFormat="1" x14ac:dyDescent="0.25">
      <c r="A135" s="76"/>
      <c r="B135" s="76" t="str">
        <f t="shared" si="12"/>
        <v/>
      </c>
      <c r="C135" s="80" t="s">
        <v>184</v>
      </c>
      <c r="D135" s="81"/>
      <c r="E135" s="69"/>
      <c r="F135" s="4">
        <f>F130</f>
        <v>2022</v>
      </c>
      <c r="G135" s="4">
        <f>F135+1</f>
        <v>2023</v>
      </c>
      <c r="H135" s="4">
        <f>G135+1</f>
        <v>2024</v>
      </c>
      <c r="I135" s="4">
        <f>H135+1</f>
        <v>2025</v>
      </c>
      <c r="J135" s="207"/>
      <c r="K135" s="335"/>
      <c r="L135" s="335"/>
      <c r="M135" s="97"/>
      <c r="N135" s="97"/>
      <c r="O135" s="97"/>
      <c r="P135" s="26"/>
    </row>
    <row r="136" spans="1:16" s="36" customFormat="1" x14ac:dyDescent="0.25">
      <c r="A136" s="76" t="s">
        <v>156</v>
      </c>
      <c r="B136" s="76" t="str">
        <f t="shared" si="12"/>
        <v>H19</v>
      </c>
      <c r="C136" s="243" t="s">
        <v>185</v>
      </c>
      <c r="D136" s="70" t="s">
        <v>105</v>
      </c>
      <c r="E136" s="69" t="s">
        <v>98</v>
      </c>
      <c r="F136" s="68">
        <v>0</v>
      </c>
      <c r="G136" s="68"/>
      <c r="H136" s="68">
        <v>6000</v>
      </c>
      <c r="I136" s="189">
        <v>12000</v>
      </c>
      <c r="J136" s="207" t="s">
        <v>186</v>
      </c>
      <c r="K136" s="26" t="s">
        <v>158</v>
      </c>
      <c r="L136" s="26">
        <f>L134+1</f>
        <v>19</v>
      </c>
      <c r="M136" s="97" t="str">
        <f>IF(E136="VEDTATT","VEDTATT",0)</f>
        <v>VEDTATT</v>
      </c>
      <c r="N136" s="97">
        <f>IF(E136="MÅ","Nye tiltak",0)</f>
        <v>0</v>
      </c>
      <c r="O136" s="97"/>
      <c r="P136" s="26"/>
    </row>
    <row r="137" spans="1:16" s="36" customFormat="1" x14ac:dyDescent="0.25">
      <c r="A137" s="76" t="s">
        <v>156</v>
      </c>
      <c r="B137" s="76" t="str">
        <f t="shared" si="12"/>
        <v>H20</v>
      </c>
      <c r="C137" s="243" t="s">
        <v>187</v>
      </c>
      <c r="D137" s="70" t="s">
        <v>105</v>
      </c>
      <c r="E137" s="69" t="s">
        <v>98</v>
      </c>
      <c r="F137" s="189">
        <v>0</v>
      </c>
      <c r="G137" s="189">
        <v>-2500</v>
      </c>
      <c r="H137" s="189">
        <f>G137</f>
        <v>-2500</v>
      </c>
      <c r="I137" s="189">
        <f>H137</f>
        <v>-2500</v>
      </c>
      <c r="J137" s="207"/>
      <c r="K137" s="26" t="s">
        <v>158</v>
      </c>
      <c r="L137" s="26">
        <f>L136+1</f>
        <v>20</v>
      </c>
      <c r="M137" s="97"/>
      <c r="N137" s="97"/>
      <c r="O137" s="97"/>
      <c r="P137" s="26"/>
    </row>
    <row r="138" spans="1:16" s="36" customFormat="1" x14ac:dyDescent="0.25">
      <c r="A138" s="76" t="s">
        <v>156</v>
      </c>
      <c r="B138" s="76" t="str">
        <f t="shared" si="12"/>
        <v>H21</v>
      </c>
      <c r="C138" s="243" t="s">
        <v>188</v>
      </c>
      <c r="D138" s="70" t="s">
        <v>108</v>
      </c>
      <c r="E138" s="403" t="s">
        <v>46</v>
      </c>
      <c r="F138" s="189">
        <v>4000</v>
      </c>
      <c r="G138" s="189">
        <f>F138</f>
        <v>4000</v>
      </c>
      <c r="H138" s="189">
        <f>G138</f>
        <v>4000</v>
      </c>
      <c r="I138" s="189">
        <f>H138</f>
        <v>4000</v>
      </c>
      <c r="J138" s="207"/>
      <c r="K138" s="26" t="s">
        <v>158</v>
      </c>
      <c r="L138" s="26">
        <f>L137+1</f>
        <v>21</v>
      </c>
      <c r="M138" s="97">
        <f>IF(E138="VEDTATT","VEDTATT",0)</f>
        <v>0</v>
      </c>
      <c r="N138" s="97" t="str">
        <f>IF(E138="MÅ","Nye tiltak",0)</f>
        <v>Nye tiltak</v>
      </c>
      <c r="O138" s="97"/>
      <c r="P138" s="26"/>
    </row>
    <row r="139" spans="1:16" s="36" customFormat="1" x14ac:dyDescent="0.25">
      <c r="A139" s="41"/>
      <c r="B139" s="41" t="s">
        <v>152</v>
      </c>
      <c r="C139" s="3" t="s">
        <v>189</v>
      </c>
      <c r="D139" s="50"/>
      <c r="E139" s="50"/>
      <c r="F139" s="54">
        <f>SUMIF($A:$A,"H&amp;V",F:F)</f>
        <v>13332</v>
      </c>
      <c r="G139" s="54">
        <f>SUMIF($A:$A,"H&amp;V",G:G)</f>
        <v>28767</v>
      </c>
      <c r="H139" s="54">
        <f>SUMIF($A:$A,"H&amp;V",H:H)</f>
        <v>45704</v>
      </c>
      <c r="I139" s="54">
        <f>SUMIF($A:$A,"H&amp;V",I:I)</f>
        <v>72272</v>
      </c>
      <c r="J139" s="207"/>
      <c r="K139" s="335"/>
      <c r="L139" s="335"/>
      <c r="M139" s="97"/>
      <c r="N139" s="97"/>
      <c r="O139" s="97"/>
    </row>
    <row r="140" spans="1:16" s="36" customFormat="1" x14ac:dyDescent="0.25">
      <c r="A140" s="45"/>
      <c r="B140" s="45"/>
      <c r="C140" s="9"/>
      <c r="D140" s="47"/>
      <c r="E140" s="47"/>
      <c r="F140" s="55"/>
      <c r="G140" s="55"/>
      <c r="H140" s="55"/>
      <c r="I140" s="55"/>
      <c r="J140" s="207"/>
      <c r="K140" s="26"/>
      <c r="L140" s="26"/>
      <c r="M140" s="97"/>
      <c r="N140" s="97"/>
      <c r="O140" s="97"/>
    </row>
    <row r="141" spans="1:16" s="36" customFormat="1" x14ac:dyDescent="0.25">
      <c r="A141" s="46"/>
      <c r="B141" s="46"/>
      <c r="C141" s="11" t="s">
        <v>190</v>
      </c>
      <c r="D141" s="48"/>
      <c r="E141" s="59"/>
      <c r="F141" s="56"/>
      <c r="G141" s="56"/>
      <c r="H141" s="56"/>
      <c r="I141" s="56"/>
      <c r="J141" s="207"/>
      <c r="M141" s="97"/>
      <c r="N141" s="97"/>
      <c r="O141" s="97"/>
    </row>
    <row r="142" spans="1:16" s="36" customFormat="1" x14ac:dyDescent="0.25">
      <c r="A142" s="339"/>
      <c r="B142" s="339"/>
      <c r="C142" s="80" t="s">
        <v>191</v>
      </c>
      <c r="D142" s="81"/>
      <c r="E142" s="69"/>
      <c r="F142" s="4">
        <f>F135</f>
        <v>2022</v>
      </c>
      <c r="G142" s="4">
        <f>F142+1</f>
        <v>2023</v>
      </c>
      <c r="H142" s="4">
        <f>G142+1</f>
        <v>2024</v>
      </c>
      <c r="I142" s="4">
        <f>H142+1</f>
        <v>2025</v>
      </c>
      <c r="J142" s="410"/>
      <c r="K142" s="335"/>
      <c r="L142" s="335"/>
      <c r="M142" s="97"/>
      <c r="N142" s="97"/>
      <c r="O142" s="97"/>
    </row>
    <row r="143" spans="1:16" s="36" customFormat="1" x14ac:dyDescent="0.25">
      <c r="A143" s="76" t="s">
        <v>192</v>
      </c>
      <c r="B143" s="76" t="str">
        <f t="shared" ref="B143:B149" si="13">IF(L143,K143&amp;L143,"")</f>
        <v>K1</v>
      </c>
      <c r="C143" s="210" t="s">
        <v>193</v>
      </c>
      <c r="D143" s="77" t="s">
        <v>105</v>
      </c>
      <c r="E143" s="69" t="s">
        <v>98</v>
      </c>
      <c r="F143" s="189">
        <v>-400</v>
      </c>
      <c r="G143" s="189">
        <v>-500</v>
      </c>
      <c r="H143" s="189">
        <v>-600</v>
      </c>
      <c r="I143" s="189">
        <v>-600</v>
      </c>
      <c r="J143" s="207"/>
      <c r="K143" s="26" t="s">
        <v>194</v>
      </c>
      <c r="L143" s="26">
        <v>1</v>
      </c>
      <c r="M143" s="97" t="str">
        <f t="shared" ref="M143:M148" si="14">IF(E143="VEDTATT","VEDTATT",0)</f>
        <v>VEDTATT</v>
      </c>
      <c r="N143" s="97">
        <f t="shared" ref="N143:N148" si="15">IF(E143="MÅ","Nye tiltak",0)</f>
        <v>0</v>
      </c>
      <c r="O143" s="97"/>
    </row>
    <row r="144" spans="1:16" s="36" customFormat="1" x14ac:dyDescent="0.25">
      <c r="A144" s="76" t="s">
        <v>192</v>
      </c>
      <c r="B144" s="76" t="str">
        <f t="shared" si="13"/>
        <v>K2</v>
      </c>
      <c r="C144" s="210" t="s">
        <v>338</v>
      </c>
      <c r="D144" s="77" t="s">
        <v>108</v>
      </c>
      <c r="E144" s="69" t="s">
        <v>46</v>
      </c>
      <c r="F144" s="422">
        <v>300</v>
      </c>
      <c r="G144" s="422">
        <v>300</v>
      </c>
      <c r="H144" s="422">
        <v>300</v>
      </c>
      <c r="I144" s="422">
        <v>300</v>
      </c>
      <c r="J144" s="207"/>
      <c r="K144" s="26" t="s">
        <v>194</v>
      </c>
      <c r="L144" s="26">
        <f t="shared" ref="L144:L150" si="16">L143+1</f>
        <v>2</v>
      </c>
      <c r="M144" s="97">
        <f t="shared" si="14"/>
        <v>0</v>
      </c>
      <c r="N144" s="97" t="str">
        <f t="shared" si="15"/>
        <v>Nye tiltak</v>
      </c>
      <c r="O144" s="97"/>
    </row>
    <row r="145" spans="1:15" s="36" customFormat="1" x14ac:dyDescent="0.25">
      <c r="A145" s="76"/>
      <c r="B145" s="76"/>
      <c r="C145" s="289"/>
      <c r="D145" s="77"/>
      <c r="E145" s="421"/>
      <c r="F145" s="422"/>
      <c r="G145" s="422"/>
      <c r="H145" s="422"/>
      <c r="I145" s="422"/>
      <c r="J145" s="207"/>
      <c r="K145" s="26"/>
      <c r="L145" s="26"/>
      <c r="M145" s="97">
        <f t="shared" si="14"/>
        <v>0</v>
      </c>
      <c r="N145" s="97">
        <f t="shared" si="15"/>
        <v>0</v>
      </c>
      <c r="O145" s="97"/>
    </row>
    <row r="146" spans="1:15" s="36" customFormat="1" x14ac:dyDescent="0.25">
      <c r="A146" s="76"/>
      <c r="B146" s="76" t="str">
        <f t="shared" si="13"/>
        <v/>
      </c>
      <c r="C146" s="385" t="s">
        <v>198</v>
      </c>
      <c r="D146" s="77"/>
      <c r="E146" s="69"/>
      <c r="F146" s="189"/>
      <c r="G146" s="189"/>
      <c r="H146" s="189"/>
      <c r="I146" s="189"/>
      <c r="J146" s="207"/>
      <c r="K146" s="26"/>
      <c r="L146" s="26"/>
      <c r="M146" s="97">
        <f t="shared" si="14"/>
        <v>0</v>
      </c>
      <c r="N146" s="97">
        <f t="shared" si="15"/>
        <v>0</v>
      </c>
      <c r="O146" s="97"/>
    </row>
    <row r="147" spans="1:15" s="36" customFormat="1" x14ac:dyDescent="0.25">
      <c r="A147" s="76" t="s">
        <v>192</v>
      </c>
      <c r="B147" s="76" t="str">
        <f t="shared" si="13"/>
        <v>K3</v>
      </c>
      <c r="C147" s="211" t="s">
        <v>199</v>
      </c>
      <c r="D147" s="70" t="s">
        <v>105</v>
      </c>
      <c r="E147" s="69" t="s">
        <v>98</v>
      </c>
      <c r="F147" s="68">
        <v>0</v>
      </c>
      <c r="G147" s="68">
        <v>50</v>
      </c>
      <c r="H147" s="68">
        <v>50</v>
      </c>
      <c r="I147" s="68">
        <v>50</v>
      </c>
      <c r="J147" s="411"/>
      <c r="K147" s="26" t="s">
        <v>194</v>
      </c>
      <c r="L147" s="26">
        <f>L144+1</f>
        <v>3</v>
      </c>
      <c r="M147" s="97" t="str">
        <f t="shared" si="14"/>
        <v>VEDTATT</v>
      </c>
      <c r="N147" s="97">
        <f t="shared" si="15"/>
        <v>0</v>
      </c>
      <c r="O147" s="97"/>
    </row>
    <row r="148" spans="1:15" s="36" customFormat="1" x14ac:dyDescent="0.25">
      <c r="A148" s="76" t="s">
        <v>192</v>
      </c>
      <c r="B148" s="76" t="str">
        <f t="shared" si="13"/>
        <v>K4</v>
      </c>
      <c r="C148" s="211" t="s">
        <v>201</v>
      </c>
      <c r="D148" s="70" t="s">
        <v>105</v>
      </c>
      <c r="E148" s="69" t="s">
        <v>98</v>
      </c>
      <c r="F148" s="88">
        <v>460</v>
      </c>
      <c r="G148" s="88">
        <v>460</v>
      </c>
      <c r="H148" s="88">
        <v>460</v>
      </c>
      <c r="I148" s="88">
        <v>460</v>
      </c>
      <c r="J148" s="486" t="s">
        <v>202</v>
      </c>
      <c r="K148" s="26" t="s">
        <v>194</v>
      </c>
      <c r="L148" s="26">
        <f t="shared" si="16"/>
        <v>4</v>
      </c>
      <c r="M148" s="97" t="str">
        <f t="shared" si="14"/>
        <v>VEDTATT</v>
      </c>
      <c r="N148" s="97">
        <f t="shared" si="15"/>
        <v>0</v>
      </c>
      <c r="O148" s="97"/>
    </row>
    <row r="149" spans="1:15" s="36" customFormat="1" x14ac:dyDescent="0.25">
      <c r="A149" s="76" t="s">
        <v>192</v>
      </c>
      <c r="B149" s="76" t="str">
        <f t="shared" si="13"/>
        <v>K5</v>
      </c>
      <c r="C149" s="211" t="s">
        <v>339</v>
      </c>
      <c r="D149" s="70" t="s">
        <v>105</v>
      </c>
      <c r="E149" s="69" t="s">
        <v>98</v>
      </c>
      <c r="F149" s="88">
        <v>300</v>
      </c>
      <c r="G149" s="88">
        <v>300</v>
      </c>
      <c r="H149" s="88">
        <v>300</v>
      </c>
      <c r="I149" s="88">
        <v>300</v>
      </c>
      <c r="J149" s="486" t="s">
        <v>340</v>
      </c>
      <c r="K149" s="26" t="s">
        <v>194</v>
      </c>
      <c r="L149" s="26">
        <f t="shared" si="16"/>
        <v>5</v>
      </c>
      <c r="M149" s="97"/>
      <c r="N149" s="97"/>
      <c r="O149" s="97"/>
    </row>
    <row r="150" spans="1:15" s="36" customFormat="1" x14ac:dyDescent="0.25">
      <c r="A150" s="76"/>
      <c r="B150" s="76"/>
      <c r="C150" s="80"/>
      <c r="D150" s="70"/>
      <c r="E150" s="69"/>
      <c r="F150" s="68"/>
      <c r="G150" s="68"/>
      <c r="H150" s="68"/>
      <c r="I150" s="68"/>
      <c r="J150" s="207"/>
      <c r="K150" s="26" t="s">
        <v>194</v>
      </c>
      <c r="L150" s="26">
        <f t="shared" si="16"/>
        <v>6</v>
      </c>
      <c r="M150" s="97"/>
      <c r="N150" s="97"/>
      <c r="O150" s="97"/>
    </row>
    <row r="151" spans="1:15" s="36" customFormat="1" x14ac:dyDescent="0.25">
      <c r="A151" s="41"/>
      <c r="B151" s="41" t="s">
        <v>152</v>
      </c>
      <c r="C151" s="3" t="s">
        <v>203</v>
      </c>
      <c r="D151" s="50"/>
      <c r="E151" s="50"/>
      <c r="F151" s="54">
        <f>SUMIF($A:$A,"KuN",F:F)</f>
        <v>660</v>
      </c>
      <c r="G151" s="54">
        <f>SUMIF($A:$A,"KuN",G:G)</f>
        <v>610</v>
      </c>
      <c r="H151" s="54">
        <f>SUMIF($A:$A,"KuN",H:H)</f>
        <v>510</v>
      </c>
      <c r="I151" s="54">
        <f>SUMIF($A:$A,"KuN",I:I)</f>
        <v>510</v>
      </c>
      <c r="J151" s="412"/>
      <c r="K151" s="335"/>
      <c r="L151" s="335"/>
      <c r="M151" s="97"/>
      <c r="N151" s="97"/>
      <c r="O151" s="97"/>
    </row>
    <row r="152" spans="1:15" s="36" customFormat="1" x14ac:dyDescent="0.25">
      <c r="A152" s="45"/>
      <c r="B152" s="45"/>
      <c r="C152" s="9"/>
      <c r="D152" s="47"/>
      <c r="E152" s="47"/>
      <c r="F152" s="55"/>
      <c r="G152" s="55"/>
      <c r="H152" s="55"/>
      <c r="I152" s="55"/>
      <c r="J152" s="412"/>
      <c r="K152" s="26"/>
      <c r="L152" s="26"/>
      <c r="M152" s="97"/>
      <c r="N152" s="97"/>
      <c r="O152" s="97"/>
    </row>
    <row r="153" spans="1:15" s="36" customFormat="1" x14ac:dyDescent="0.25">
      <c r="A153" s="46"/>
      <c r="B153" s="46"/>
      <c r="C153" s="246" t="s">
        <v>204</v>
      </c>
      <c r="D153" s="81"/>
      <c r="E153" s="69"/>
      <c r="F153" s="4">
        <f>F142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412"/>
      <c r="K153" s="335"/>
      <c r="L153" s="335"/>
      <c r="M153" s="97"/>
      <c r="N153" s="97"/>
      <c r="O153" s="97"/>
    </row>
    <row r="154" spans="1:15" s="36" customFormat="1" x14ac:dyDescent="0.25">
      <c r="A154" s="76"/>
      <c r="B154" s="76"/>
      <c r="C154" s="342"/>
      <c r="D154" s="70"/>
      <c r="E154" s="69"/>
      <c r="F154" s="215"/>
      <c r="G154" s="215"/>
      <c r="H154" s="215"/>
      <c r="I154" s="215"/>
      <c r="J154" s="412"/>
      <c r="K154" s="26"/>
      <c r="L154" s="26"/>
      <c r="M154" s="97"/>
      <c r="N154" s="97"/>
      <c r="O154" s="97"/>
    </row>
    <row r="155" spans="1:15" s="36" customFormat="1" ht="33.75" x14ac:dyDescent="0.25">
      <c r="A155" s="76" t="s">
        <v>206</v>
      </c>
      <c r="B155" s="76" t="str">
        <f>IF(L155,K155&amp;L155,"")</f>
        <v>T1</v>
      </c>
      <c r="C155" s="243" t="s">
        <v>341</v>
      </c>
      <c r="D155" s="228" t="s">
        <v>108</v>
      </c>
      <c r="E155" s="287" t="s">
        <v>342</v>
      </c>
      <c r="F155" s="389">
        <v>500</v>
      </c>
      <c r="G155" s="389">
        <v>500</v>
      </c>
      <c r="H155" s="389">
        <v>500</v>
      </c>
      <c r="I155" s="389">
        <v>500</v>
      </c>
      <c r="J155" s="483" t="s">
        <v>343</v>
      </c>
      <c r="K155" s="26" t="s">
        <v>208</v>
      </c>
      <c r="L155" s="26">
        <v>1</v>
      </c>
      <c r="M155" s="97"/>
      <c r="N155" s="97"/>
      <c r="O155" s="97"/>
    </row>
    <row r="156" spans="1:15" s="36" customFormat="1" x14ac:dyDescent="0.25">
      <c r="A156" s="76" t="s">
        <v>206</v>
      </c>
      <c r="B156" s="76" t="str">
        <f t="shared" ref="B156:B162" si="17">IF(L156,K156&amp;L156,"")</f>
        <v/>
      </c>
      <c r="C156" s="341"/>
      <c r="D156" s="286"/>
      <c r="E156" s="287"/>
      <c r="F156" s="343"/>
      <c r="G156" s="343"/>
      <c r="H156" s="343"/>
      <c r="I156" s="343"/>
      <c r="J156" s="412"/>
      <c r="K156" s="26"/>
      <c r="L156" s="26"/>
      <c r="M156" s="97"/>
      <c r="N156" s="97"/>
      <c r="O156" s="97"/>
    </row>
    <row r="157" spans="1:15" s="36" customFormat="1" x14ac:dyDescent="0.25">
      <c r="A157" s="46"/>
      <c r="B157" s="76" t="str">
        <f t="shared" si="17"/>
        <v/>
      </c>
      <c r="C157" s="206" t="s">
        <v>205</v>
      </c>
      <c r="D157" s="81"/>
      <c r="E157" s="69"/>
      <c r="F157" s="4">
        <f>F153</f>
        <v>2022</v>
      </c>
      <c r="G157" s="4">
        <f>F157+1</f>
        <v>2023</v>
      </c>
      <c r="H157" s="4">
        <f>G157+1</f>
        <v>2024</v>
      </c>
      <c r="I157" s="4">
        <f>H157+1</f>
        <v>2025</v>
      </c>
      <c r="J157" s="412"/>
      <c r="K157" s="335"/>
      <c r="L157" s="335"/>
      <c r="M157" s="97"/>
      <c r="N157" s="97"/>
      <c r="O157" s="97"/>
    </row>
    <row r="158" spans="1:15" s="36" customFormat="1" x14ac:dyDescent="0.25">
      <c r="A158" s="76" t="s">
        <v>206</v>
      </c>
      <c r="B158" s="76" t="str">
        <f t="shared" si="17"/>
        <v>T2</v>
      </c>
      <c r="C158" s="210" t="s">
        <v>207</v>
      </c>
      <c r="D158" s="70" t="s">
        <v>108</v>
      </c>
      <c r="E158" s="69" t="s">
        <v>46</v>
      </c>
      <c r="F158" s="215">
        <v>500</v>
      </c>
      <c r="G158" s="215">
        <v>500</v>
      </c>
      <c r="H158" s="215">
        <v>500</v>
      </c>
      <c r="I158" s="215">
        <v>500</v>
      </c>
      <c r="J158" s="91" t="s">
        <v>143</v>
      </c>
      <c r="K158" s="26" t="s">
        <v>208</v>
      </c>
      <c r="L158" s="26">
        <f>L155+1</f>
        <v>2</v>
      </c>
      <c r="M158" s="97"/>
      <c r="N158" s="97"/>
      <c r="O158" s="97"/>
    </row>
    <row r="159" spans="1:15" s="36" customFormat="1" ht="25.5" x14ac:dyDescent="0.25">
      <c r="A159" s="76" t="s">
        <v>206</v>
      </c>
      <c r="B159" s="76" t="str">
        <f t="shared" si="17"/>
        <v>T3</v>
      </c>
      <c r="C159" s="210" t="s">
        <v>209</v>
      </c>
      <c r="D159" s="70" t="s">
        <v>108</v>
      </c>
      <c r="E159" s="403" t="s">
        <v>46</v>
      </c>
      <c r="F159" s="215">
        <v>700</v>
      </c>
      <c r="G159" s="215">
        <v>700</v>
      </c>
      <c r="H159" s="215">
        <v>700</v>
      </c>
      <c r="I159" s="215">
        <v>700</v>
      </c>
      <c r="J159" s="91" t="s">
        <v>210</v>
      </c>
      <c r="K159" s="26" t="s">
        <v>208</v>
      </c>
      <c r="L159" s="26">
        <f>L158+1</f>
        <v>3</v>
      </c>
      <c r="M159" s="97"/>
      <c r="N159" s="97"/>
      <c r="O159" s="97"/>
    </row>
    <row r="160" spans="1:15" s="36" customFormat="1" x14ac:dyDescent="0.25">
      <c r="A160" s="76" t="s">
        <v>206</v>
      </c>
      <c r="B160" s="76" t="str">
        <f t="shared" si="17"/>
        <v>T4</v>
      </c>
      <c r="C160" s="210" t="s">
        <v>211</v>
      </c>
      <c r="D160" s="70" t="s">
        <v>108</v>
      </c>
      <c r="E160" s="403" t="s">
        <v>46</v>
      </c>
      <c r="F160" s="215">
        <f>6500-5000</f>
        <v>1500</v>
      </c>
      <c r="G160" s="215">
        <f>8000-5000</f>
        <v>3000</v>
      </c>
      <c r="H160" s="215">
        <f>9000-5000</f>
        <v>4000</v>
      </c>
      <c r="I160" s="215">
        <f>9000-5000</f>
        <v>4000</v>
      </c>
      <c r="J160" s="91" t="s">
        <v>212</v>
      </c>
      <c r="K160" s="26" t="s">
        <v>208</v>
      </c>
      <c r="L160" s="26">
        <f>L159+1</f>
        <v>4</v>
      </c>
      <c r="M160" s="97"/>
      <c r="N160" s="97"/>
      <c r="O160" s="97"/>
    </row>
    <row r="161" spans="1:15" s="36" customFormat="1" ht="25.5" x14ac:dyDescent="0.25">
      <c r="A161" s="76" t="s">
        <v>206</v>
      </c>
      <c r="B161" s="76" t="str">
        <f t="shared" si="17"/>
        <v>T5</v>
      </c>
      <c r="C161" s="210" t="s">
        <v>213</v>
      </c>
      <c r="D161" s="70" t="s">
        <v>108</v>
      </c>
      <c r="E161" s="403" t="s">
        <v>46</v>
      </c>
      <c r="F161" s="215">
        <v>250</v>
      </c>
      <c r="G161" s="215">
        <v>300</v>
      </c>
      <c r="H161" s="215">
        <v>350</v>
      </c>
      <c r="I161" s="215">
        <v>400</v>
      </c>
      <c r="J161" s="91" t="s">
        <v>214</v>
      </c>
      <c r="K161" s="26" t="s">
        <v>208</v>
      </c>
      <c r="L161" s="26">
        <f>L160+1</f>
        <v>5</v>
      </c>
      <c r="M161" s="97"/>
      <c r="N161" s="97"/>
      <c r="O161" s="97"/>
    </row>
    <row r="162" spans="1:15" s="36" customFormat="1" ht="56.25" x14ac:dyDescent="0.25">
      <c r="A162" s="76" t="s">
        <v>206</v>
      </c>
      <c r="B162" s="76" t="str">
        <f t="shared" si="17"/>
        <v>T6</v>
      </c>
      <c r="C162" t="s">
        <v>344</v>
      </c>
      <c r="D162" s="70" t="s">
        <v>108</v>
      </c>
      <c r="E162" s="403" t="s">
        <v>46</v>
      </c>
      <c r="F162" s="215">
        <v>500</v>
      </c>
      <c r="G162" s="215">
        <v>500</v>
      </c>
      <c r="H162" s="215">
        <v>500</v>
      </c>
      <c r="I162" s="215">
        <v>500</v>
      </c>
      <c r="J162" s="437" t="s">
        <v>216</v>
      </c>
      <c r="K162" s="26" t="s">
        <v>208</v>
      </c>
      <c r="L162" s="26">
        <v>6</v>
      </c>
      <c r="M162" s="97"/>
      <c r="N162" s="97"/>
      <c r="O162" s="97"/>
    </row>
    <row r="163" spans="1:15" s="36" customFormat="1" x14ac:dyDescent="0.25">
      <c r="A163" s="76"/>
      <c r="B163" s="76" t="str">
        <f t="shared" ref="B163:B187" si="18">IF(L163,K163&amp;L163,"")</f>
        <v/>
      </c>
      <c r="C163" s="210"/>
      <c r="D163" s="70"/>
      <c r="E163" s="69"/>
      <c r="F163" s="215"/>
      <c r="G163" s="215"/>
      <c r="H163" s="215"/>
      <c r="I163" s="215"/>
      <c r="J163" s="91"/>
      <c r="K163" s="26"/>
      <c r="L163" s="26"/>
      <c r="M163" s="97"/>
      <c r="N163" s="97"/>
      <c r="O163" s="97"/>
    </row>
    <row r="164" spans="1:15" s="36" customFormat="1" x14ac:dyDescent="0.25">
      <c r="A164" s="76"/>
      <c r="B164" s="76" t="str">
        <f t="shared" si="18"/>
        <v/>
      </c>
      <c r="C164" s="206" t="s">
        <v>217</v>
      </c>
      <c r="D164" s="70"/>
      <c r="E164" s="69"/>
      <c r="F164" s="4">
        <f>F157</f>
        <v>2022</v>
      </c>
      <c r="G164" s="4">
        <f>F164+1</f>
        <v>2023</v>
      </c>
      <c r="H164" s="4">
        <f>G164+1</f>
        <v>2024</v>
      </c>
      <c r="I164" s="4">
        <f>H164+1</f>
        <v>2025</v>
      </c>
      <c r="J164" s="412"/>
      <c r="K164" s="335"/>
      <c r="L164" s="335"/>
      <c r="M164" s="97"/>
      <c r="N164" s="97"/>
      <c r="O164" s="97"/>
    </row>
    <row r="165" spans="1:15" s="36" customFormat="1" x14ac:dyDescent="0.25">
      <c r="A165" s="76" t="s">
        <v>206</v>
      </c>
      <c r="B165" s="76" t="str">
        <f t="shared" si="18"/>
        <v>T7</v>
      </c>
      <c r="C165" s="342" t="s">
        <v>218</v>
      </c>
      <c r="D165" s="70" t="s">
        <v>105</v>
      </c>
      <c r="E165" s="69" t="s">
        <v>98</v>
      </c>
      <c r="F165" s="215"/>
      <c r="G165" s="215">
        <v>-450</v>
      </c>
      <c r="H165" s="215">
        <v>-450</v>
      </c>
      <c r="I165" s="215">
        <v>-450</v>
      </c>
      <c r="J165" s="412" t="s">
        <v>219</v>
      </c>
      <c r="K165" s="26" t="s">
        <v>208</v>
      </c>
      <c r="L165" s="26">
        <f>L162+1</f>
        <v>7</v>
      </c>
      <c r="M165" s="97" t="str">
        <f>IF(E165="VEDTATT","VEDTATT",0)</f>
        <v>VEDTATT</v>
      </c>
      <c r="N165" s="97">
        <f>IF(E165="MÅ","Nye tiltak",0)</f>
        <v>0</v>
      </c>
      <c r="O165" s="97"/>
    </row>
    <row r="166" spans="1:15" s="36" customFormat="1" x14ac:dyDescent="0.25">
      <c r="A166" s="76"/>
      <c r="B166" s="76" t="str">
        <f t="shared" si="18"/>
        <v/>
      </c>
      <c r="C166" s="342"/>
      <c r="D166" s="70"/>
      <c r="E166" s="69"/>
      <c r="F166" s="215"/>
      <c r="G166" s="215"/>
      <c r="H166" s="215"/>
      <c r="I166" s="215"/>
      <c r="J166" s="412"/>
      <c r="K166" s="26"/>
      <c r="L166" s="26"/>
      <c r="M166" s="97"/>
      <c r="N166" s="97"/>
      <c r="O166" s="97"/>
    </row>
    <row r="167" spans="1:15" s="36" customFormat="1" x14ac:dyDescent="0.25">
      <c r="A167" s="76"/>
      <c r="B167" s="76" t="str">
        <f t="shared" si="18"/>
        <v/>
      </c>
      <c r="C167" s="206" t="s">
        <v>220</v>
      </c>
      <c r="D167" s="70"/>
      <c r="E167" s="69"/>
      <c r="F167" s="4">
        <f>F164</f>
        <v>2022</v>
      </c>
      <c r="G167" s="4">
        <f>F167+1</f>
        <v>2023</v>
      </c>
      <c r="H167" s="4">
        <f>G167+1</f>
        <v>2024</v>
      </c>
      <c r="I167" s="4">
        <f>H167+1</f>
        <v>2025</v>
      </c>
      <c r="J167" s="412"/>
      <c r="K167" s="335"/>
      <c r="L167" s="335"/>
      <c r="M167" s="97"/>
      <c r="N167" s="97"/>
      <c r="O167" s="97"/>
    </row>
    <row r="168" spans="1:15" s="36" customFormat="1" x14ac:dyDescent="0.25">
      <c r="A168" s="43" t="s">
        <v>206</v>
      </c>
      <c r="B168" s="76" t="str">
        <f t="shared" si="18"/>
        <v>T8</v>
      </c>
      <c r="C168" s="210" t="s">
        <v>221</v>
      </c>
      <c r="D168" s="70" t="s">
        <v>105</v>
      </c>
      <c r="E168" s="69" t="s">
        <v>98</v>
      </c>
      <c r="F168" s="215">
        <v>0</v>
      </c>
      <c r="G168" s="215">
        <v>-350</v>
      </c>
      <c r="H168" s="215">
        <v>-350</v>
      </c>
      <c r="I168" s="215">
        <v>-350</v>
      </c>
      <c r="J168" s="412"/>
      <c r="K168" s="26" t="s">
        <v>208</v>
      </c>
      <c r="L168" s="26">
        <f>+L165+1</f>
        <v>8</v>
      </c>
      <c r="M168" s="97" t="str">
        <f t="shared" ref="M168:M177" si="19">IF(E168="VEDTATT","VEDTATT",0)</f>
        <v>VEDTATT</v>
      </c>
      <c r="N168" s="97"/>
      <c r="O168" s="97"/>
    </row>
    <row r="169" spans="1:15" s="36" customFormat="1" x14ac:dyDescent="0.25">
      <c r="A169" s="43" t="s">
        <v>206</v>
      </c>
      <c r="B169" s="76" t="str">
        <f t="shared" si="18"/>
        <v>T9</v>
      </c>
      <c r="C169" s="210" t="s">
        <v>345</v>
      </c>
      <c r="D169" s="70" t="s">
        <v>105</v>
      </c>
      <c r="E169" s="69" t="s">
        <v>98</v>
      </c>
      <c r="F169" s="215">
        <v>0</v>
      </c>
      <c r="G169" s="215">
        <v>2500</v>
      </c>
      <c r="H169" s="215">
        <v>2500</v>
      </c>
      <c r="I169" s="215">
        <v>2500</v>
      </c>
      <c r="J169" s="412"/>
      <c r="K169" s="26" t="s">
        <v>208</v>
      </c>
      <c r="L169" s="26">
        <f t="shared" ref="L169:L178" si="20">+L168+1</f>
        <v>9</v>
      </c>
      <c r="M169" s="97" t="str">
        <f t="shared" si="19"/>
        <v>VEDTATT</v>
      </c>
      <c r="N169" s="97"/>
      <c r="O169" s="97"/>
    </row>
    <row r="170" spans="1:15" s="36" customFormat="1" x14ac:dyDescent="0.25">
      <c r="A170" s="43" t="s">
        <v>206</v>
      </c>
      <c r="B170" s="76" t="str">
        <f t="shared" si="18"/>
        <v>T10</v>
      </c>
      <c r="C170" s="210" t="s">
        <v>223</v>
      </c>
      <c r="D170" s="70" t="s">
        <v>105</v>
      </c>
      <c r="E170" s="69" t="s">
        <v>98</v>
      </c>
      <c r="F170" s="215">
        <v>0</v>
      </c>
      <c r="G170" s="215">
        <v>-350</v>
      </c>
      <c r="H170" s="215">
        <v>-350</v>
      </c>
      <c r="I170" s="215">
        <v>-350</v>
      </c>
      <c r="J170" s="412"/>
      <c r="K170" s="26" t="s">
        <v>208</v>
      </c>
      <c r="L170" s="26">
        <f t="shared" si="20"/>
        <v>10</v>
      </c>
      <c r="M170" s="97" t="str">
        <f t="shared" si="19"/>
        <v>VEDTATT</v>
      </c>
      <c r="N170" s="97">
        <f t="shared" ref="N170:N177" si="21">IF(E170="MÅ","Nye tiltak",0)</f>
        <v>0</v>
      </c>
      <c r="O170" s="97"/>
    </row>
    <row r="171" spans="1:15" s="36" customFormat="1" x14ac:dyDescent="0.25">
      <c r="A171" s="43" t="s">
        <v>206</v>
      </c>
      <c r="B171" s="76" t="str">
        <f t="shared" si="18"/>
        <v>T11</v>
      </c>
      <c r="C171" s="210" t="s">
        <v>235</v>
      </c>
      <c r="D171" s="70" t="s">
        <v>97</v>
      </c>
      <c r="E171" s="69" t="s">
        <v>98</v>
      </c>
      <c r="F171" s="501">
        <v>3300</v>
      </c>
      <c r="G171" s="501">
        <v>3300</v>
      </c>
      <c r="H171" s="501">
        <v>3300</v>
      </c>
      <c r="I171" s="501">
        <v>3300</v>
      </c>
      <c r="J171" s="485" t="s">
        <v>149</v>
      </c>
      <c r="K171" s="26" t="s">
        <v>208</v>
      </c>
      <c r="L171" s="26">
        <f t="shared" si="20"/>
        <v>11</v>
      </c>
      <c r="M171" s="97" t="str">
        <f t="shared" si="19"/>
        <v>VEDTATT</v>
      </c>
      <c r="N171" s="97">
        <f t="shared" si="21"/>
        <v>0</v>
      </c>
      <c r="O171" s="97"/>
    </row>
    <row r="172" spans="1:15" s="36" customFormat="1" x14ac:dyDescent="0.25">
      <c r="A172" s="43" t="s">
        <v>206</v>
      </c>
      <c r="B172" s="76" t="str">
        <f t="shared" si="18"/>
        <v>T12</v>
      </c>
      <c r="C172" s="210" t="s">
        <v>224</v>
      </c>
      <c r="D172" s="70" t="s">
        <v>108</v>
      </c>
      <c r="E172" s="403" t="s">
        <v>46</v>
      </c>
      <c r="F172" s="108">
        <v>10</v>
      </c>
      <c r="G172" s="108">
        <v>20</v>
      </c>
      <c r="H172" s="108">
        <v>30</v>
      </c>
      <c r="I172" s="108">
        <v>40</v>
      </c>
      <c r="J172" s="207" t="s">
        <v>225</v>
      </c>
      <c r="K172" s="26" t="s">
        <v>208</v>
      </c>
      <c r="L172" s="26">
        <f t="shared" si="20"/>
        <v>12</v>
      </c>
      <c r="M172" s="97">
        <f t="shared" si="19"/>
        <v>0</v>
      </c>
      <c r="N172" s="97" t="str">
        <f t="shared" si="21"/>
        <v>Nye tiltak</v>
      </c>
      <c r="O172" s="97"/>
    </row>
    <row r="173" spans="1:15" s="36" customFormat="1" x14ac:dyDescent="0.25">
      <c r="A173" s="43" t="s">
        <v>206</v>
      </c>
      <c r="B173" s="76" t="str">
        <f t="shared" si="18"/>
        <v>T13</v>
      </c>
      <c r="C173" s="210" t="s">
        <v>346</v>
      </c>
      <c r="D173" s="70" t="s">
        <v>108</v>
      </c>
      <c r="E173" s="69" t="s">
        <v>46</v>
      </c>
      <c r="F173" s="108">
        <v>1300</v>
      </c>
      <c r="G173" s="108">
        <v>1300</v>
      </c>
      <c r="H173" s="108">
        <v>1300</v>
      </c>
      <c r="I173" s="108">
        <v>1300</v>
      </c>
      <c r="J173" s="91" t="s">
        <v>143</v>
      </c>
      <c r="K173" s="26" t="s">
        <v>208</v>
      </c>
      <c r="L173" s="26">
        <f t="shared" si="20"/>
        <v>13</v>
      </c>
      <c r="M173" s="97">
        <f t="shared" si="19"/>
        <v>0</v>
      </c>
      <c r="N173" s="97" t="str">
        <f t="shared" si="21"/>
        <v>Nye tiltak</v>
      </c>
      <c r="O173" s="97"/>
    </row>
    <row r="174" spans="1:15" s="36" customFormat="1" x14ac:dyDescent="0.25">
      <c r="A174" s="43" t="s">
        <v>206</v>
      </c>
      <c r="B174" s="76" t="str">
        <f t="shared" si="18"/>
        <v>T14</v>
      </c>
      <c r="C174" s="210" t="s">
        <v>227</v>
      </c>
      <c r="D174" s="70" t="s">
        <v>108</v>
      </c>
      <c r="E174" s="69" t="s">
        <v>46</v>
      </c>
      <c r="F174" s="108">
        <v>400</v>
      </c>
      <c r="G174" s="108">
        <v>400</v>
      </c>
      <c r="H174" s="108">
        <v>400</v>
      </c>
      <c r="I174" s="108">
        <v>400</v>
      </c>
      <c r="J174" s="91" t="s">
        <v>143</v>
      </c>
      <c r="K174" s="26" t="s">
        <v>208</v>
      </c>
      <c r="L174" s="26">
        <f t="shared" si="20"/>
        <v>14</v>
      </c>
      <c r="M174" s="97">
        <f t="shared" si="19"/>
        <v>0</v>
      </c>
      <c r="N174" s="97" t="str">
        <f t="shared" si="21"/>
        <v>Nye tiltak</v>
      </c>
      <c r="O174" s="97"/>
    </row>
    <row r="175" spans="1:15" s="36" customFormat="1" x14ac:dyDescent="0.25">
      <c r="A175" s="43" t="s">
        <v>206</v>
      </c>
      <c r="B175" s="76" t="str">
        <f t="shared" si="18"/>
        <v>T15</v>
      </c>
      <c r="C175" s="210" t="s">
        <v>347</v>
      </c>
      <c r="D175" s="70" t="s">
        <v>108</v>
      </c>
      <c r="E175" s="69" t="s">
        <v>46</v>
      </c>
      <c r="F175" s="108">
        <v>585</v>
      </c>
      <c r="G175" s="108">
        <v>585</v>
      </c>
      <c r="H175" s="108">
        <v>585</v>
      </c>
      <c r="I175" s="108">
        <v>585</v>
      </c>
      <c r="J175" s="91" t="s">
        <v>143</v>
      </c>
      <c r="K175" s="26" t="s">
        <v>208</v>
      </c>
      <c r="L175" s="26">
        <f t="shared" si="20"/>
        <v>15</v>
      </c>
      <c r="M175" s="97">
        <f t="shared" si="19"/>
        <v>0</v>
      </c>
      <c r="N175" s="97" t="str">
        <f t="shared" si="21"/>
        <v>Nye tiltak</v>
      </c>
      <c r="O175" s="97"/>
    </row>
    <row r="176" spans="1:15" s="36" customFormat="1" ht="33.75" x14ac:dyDescent="0.25">
      <c r="A176" s="43" t="s">
        <v>206</v>
      </c>
      <c r="B176" s="76" t="str">
        <f t="shared" si="18"/>
        <v>T16</v>
      </c>
      <c r="C176" s="497" t="s">
        <v>229</v>
      </c>
      <c r="D176" s="70" t="s">
        <v>108</v>
      </c>
      <c r="E176" s="403" t="s">
        <v>46</v>
      </c>
      <c r="F176" s="498">
        <v>700</v>
      </c>
      <c r="G176" s="498">
        <v>700</v>
      </c>
      <c r="H176" s="498">
        <v>700</v>
      </c>
      <c r="I176" s="498">
        <v>700</v>
      </c>
      <c r="J176" s="411" t="s">
        <v>230</v>
      </c>
      <c r="K176" s="26" t="s">
        <v>208</v>
      </c>
      <c r="L176" s="26">
        <f t="shared" si="20"/>
        <v>16</v>
      </c>
      <c r="M176" s="97">
        <f t="shared" si="19"/>
        <v>0</v>
      </c>
      <c r="N176" s="97" t="str">
        <f t="shared" si="21"/>
        <v>Nye tiltak</v>
      </c>
      <c r="O176" s="97"/>
    </row>
    <row r="177" spans="1:16" s="36" customFormat="1" ht="43.5" customHeight="1" x14ac:dyDescent="0.25">
      <c r="A177" s="43" t="s">
        <v>206</v>
      </c>
      <c r="B177" s="76" t="str">
        <f t="shared" si="18"/>
        <v>T17</v>
      </c>
      <c r="C177" s="210" t="s">
        <v>231</v>
      </c>
      <c r="D177" s="70" t="s">
        <v>108</v>
      </c>
      <c r="E177" s="69" t="s">
        <v>46</v>
      </c>
      <c r="F177" s="108">
        <v>300</v>
      </c>
      <c r="G177" s="108">
        <v>300</v>
      </c>
      <c r="H177" s="108"/>
      <c r="I177" s="108"/>
      <c r="J177" s="480" t="s">
        <v>232</v>
      </c>
      <c r="K177" s="26" t="s">
        <v>208</v>
      </c>
      <c r="L177" s="26">
        <f t="shared" si="20"/>
        <v>17</v>
      </c>
      <c r="M177" s="97">
        <f t="shared" si="19"/>
        <v>0</v>
      </c>
      <c r="N177" s="97" t="str">
        <f t="shared" si="21"/>
        <v>Nye tiltak</v>
      </c>
      <c r="O177" s="97"/>
    </row>
    <row r="178" spans="1:16" s="36" customFormat="1" ht="43.5" customHeight="1" x14ac:dyDescent="0.25">
      <c r="A178" s="43" t="s">
        <v>206</v>
      </c>
      <c r="B178" s="76" t="str">
        <f t="shared" si="18"/>
        <v>T18</v>
      </c>
      <c r="C178" t="s">
        <v>233</v>
      </c>
      <c r="D178" s="70" t="s">
        <v>108</v>
      </c>
      <c r="E178" s="69" t="s">
        <v>46</v>
      </c>
      <c r="F178" s="108">
        <v>500</v>
      </c>
      <c r="G178" s="108">
        <v>500</v>
      </c>
      <c r="H178" s="108"/>
      <c r="I178" s="108"/>
      <c r="J178" s="480" t="s">
        <v>234</v>
      </c>
      <c r="K178" s="26" t="s">
        <v>208</v>
      </c>
      <c r="L178" s="26">
        <f t="shared" si="20"/>
        <v>18</v>
      </c>
      <c r="M178" s="97"/>
      <c r="N178" s="97"/>
      <c r="O178" s="97"/>
    </row>
    <row r="179" spans="1:16" s="36" customFormat="1" x14ac:dyDescent="0.2">
      <c r="A179" s="43"/>
      <c r="B179" s="76" t="str">
        <f t="shared" si="18"/>
        <v/>
      </c>
      <c r="C179" s="383"/>
      <c r="D179" s="70"/>
      <c r="E179" s="69"/>
      <c r="F179" s="215"/>
      <c r="G179" s="215"/>
      <c r="H179" s="215"/>
      <c r="I179" s="215"/>
      <c r="J179" s="412"/>
      <c r="K179" s="26"/>
      <c r="L179" s="26"/>
      <c r="M179" s="97">
        <f t="shared" ref="M179:M186" si="22">IF(E179="VEDTATT","VEDTATT",0)</f>
        <v>0</v>
      </c>
      <c r="N179" s="97">
        <f t="shared" ref="N179:N186" si="23">IF(E179="MÅ","Nye tiltak",0)</f>
        <v>0</v>
      </c>
      <c r="O179" s="97"/>
    </row>
    <row r="180" spans="1:16" s="36" customFormat="1" x14ac:dyDescent="0.25">
      <c r="A180" s="43"/>
      <c r="B180" s="76" t="str">
        <f t="shared" si="18"/>
        <v/>
      </c>
      <c r="C180" s="206" t="s">
        <v>236</v>
      </c>
      <c r="D180" s="70"/>
      <c r="E180" s="69"/>
      <c r="F180" s="215"/>
      <c r="G180" s="215"/>
      <c r="H180" s="215"/>
      <c r="I180" s="215"/>
      <c r="J180" s="412"/>
      <c r="K180" s="26"/>
      <c r="L180" s="26"/>
      <c r="M180" s="97">
        <f t="shared" si="22"/>
        <v>0</v>
      </c>
      <c r="N180" s="97">
        <f t="shared" si="23"/>
        <v>0</v>
      </c>
      <c r="O180" s="97"/>
    </row>
    <row r="181" spans="1:16" s="36" customFormat="1" x14ac:dyDescent="0.25">
      <c r="A181" s="43" t="s">
        <v>206</v>
      </c>
      <c r="B181" s="76" t="str">
        <f t="shared" si="18"/>
        <v>T19</v>
      </c>
      <c r="C181" s="82" t="s">
        <v>237</v>
      </c>
      <c r="D181" s="70" t="s">
        <v>108</v>
      </c>
      <c r="E181" s="69" t="s">
        <v>46</v>
      </c>
      <c r="F181" s="215">
        <v>60</v>
      </c>
      <c r="G181" s="215">
        <v>60</v>
      </c>
      <c r="H181" s="215">
        <v>60</v>
      </c>
      <c r="I181" s="215">
        <v>60</v>
      </c>
      <c r="J181" s="91" t="s">
        <v>143</v>
      </c>
      <c r="K181" s="26" t="s">
        <v>208</v>
      </c>
      <c r="L181" s="26">
        <f>L178+1</f>
        <v>19</v>
      </c>
      <c r="M181" s="97">
        <f t="shared" si="22"/>
        <v>0</v>
      </c>
      <c r="N181" s="97" t="str">
        <f t="shared" si="23"/>
        <v>Nye tiltak</v>
      </c>
      <c r="O181" s="97"/>
    </row>
    <row r="182" spans="1:16" s="36" customFormat="1" x14ac:dyDescent="0.25">
      <c r="A182" s="43" t="s">
        <v>206</v>
      </c>
      <c r="B182" s="76" t="str">
        <f t="shared" si="18"/>
        <v/>
      </c>
      <c r="C182" s="210"/>
      <c r="D182" s="70" t="s">
        <v>108</v>
      </c>
      <c r="E182" s="69"/>
      <c r="F182" s="215"/>
      <c r="G182" s="215"/>
      <c r="H182" s="215"/>
      <c r="I182" s="215"/>
      <c r="J182" s="412"/>
      <c r="K182" s="26"/>
      <c r="L182" s="26"/>
      <c r="M182" s="97">
        <f t="shared" si="22"/>
        <v>0</v>
      </c>
      <c r="N182" s="97">
        <f t="shared" si="23"/>
        <v>0</v>
      </c>
      <c r="O182" s="97"/>
    </row>
    <row r="183" spans="1:16" s="36" customFormat="1" x14ac:dyDescent="0.25">
      <c r="C183" s="206" t="s">
        <v>348</v>
      </c>
      <c r="D183" s="70" t="s">
        <v>108</v>
      </c>
      <c r="E183" s="69"/>
      <c r="F183" s="215"/>
      <c r="G183" s="215"/>
      <c r="H183" s="215"/>
      <c r="I183" s="215"/>
      <c r="J183" s="412"/>
      <c r="M183" s="97">
        <f t="shared" si="22"/>
        <v>0</v>
      </c>
      <c r="N183" s="97">
        <f t="shared" si="23"/>
        <v>0</v>
      </c>
      <c r="O183" s="97"/>
    </row>
    <row r="184" spans="1:16" s="36" customFormat="1" x14ac:dyDescent="0.25">
      <c r="A184" s="43" t="s">
        <v>206</v>
      </c>
      <c r="B184" s="76" t="str">
        <f>IF(L184,K184&amp;L184,"")</f>
        <v>T20</v>
      </c>
      <c r="C184" s="210" t="s">
        <v>349</v>
      </c>
      <c r="D184" s="226" t="s">
        <v>108</v>
      </c>
      <c r="E184" s="69" t="s">
        <v>342</v>
      </c>
      <c r="F184" s="215">
        <v>400</v>
      </c>
      <c r="G184" s="215">
        <v>400</v>
      </c>
      <c r="H184" s="215">
        <v>400</v>
      </c>
      <c r="I184" s="215">
        <v>400</v>
      </c>
      <c r="J184" s="412" t="s">
        <v>350</v>
      </c>
      <c r="K184" s="26" t="s">
        <v>208</v>
      </c>
      <c r="L184" s="26">
        <f>L181+1</f>
        <v>20</v>
      </c>
      <c r="M184" s="97">
        <f t="shared" si="22"/>
        <v>0</v>
      </c>
      <c r="N184" s="97">
        <f t="shared" si="23"/>
        <v>0</v>
      </c>
      <c r="O184" s="97"/>
    </row>
    <row r="185" spans="1:16" s="36" customFormat="1" x14ac:dyDescent="0.25">
      <c r="A185" s="43"/>
      <c r="B185" s="76"/>
      <c r="C185" s="206" t="s">
        <v>351</v>
      </c>
      <c r="D185" s="70"/>
      <c r="E185" s="287"/>
      <c r="F185" s="215"/>
      <c r="G185" s="215"/>
      <c r="H185" s="215"/>
      <c r="I185" s="215"/>
      <c r="J185" s="412"/>
      <c r="K185" s="26"/>
      <c r="L185" s="26"/>
      <c r="M185" s="97"/>
      <c r="N185" s="97"/>
      <c r="O185" s="97"/>
    </row>
    <row r="186" spans="1:16" s="36" customFormat="1" x14ac:dyDescent="0.25">
      <c r="A186" s="43" t="s">
        <v>206</v>
      </c>
      <c r="B186" s="76" t="str">
        <f t="shared" si="18"/>
        <v>T21</v>
      </c>
      <c r="C186" s="210" t="s">
        <v>352</v>
      </c>
      <c r="D186" s="226" t="s">
        <v>108</v>
      </c>
      <c r="E186" s="69" t="s">
        <v>342</v>
      </c>
      <c r="F186" s="215">
        <v>800</v>
      </c>
      <c r="G186" s="215">
        <v>800</v>
      </c>
      <c r="H186" s="215">
        <v>800</v>
      </c>
      <c r="I186" s="215">
        <v>800</v>
      </c>
      <c r="J186" s="412"/>
      <c r="K186" s="26" t="s">
        <v>208</v>
      </c>
      <c r="L186" s="26">
        <f>+L184+1</f>
        <v>21</v>
      </c>
      <c r="M186" s="97">
        <f t="shared" si="22"/>
        <v>0</v>
      </c>
      <c r="N186" s="97">
        <f t="shared" si="23"/>
        <v>0</v>
      </c>
      <c r="O186" s="97"/>
    </row>
    <row r="187" spans="1:16" x14ac:dyDescent="0.25">
      <c r="A187" s="43" t="s">
        <v>206</v>
      </c>
      <c r="B187" s="76" t="str">
        <f t="shared" si="18"/>
        <v>T22</v>
      </c>
      <c r="C187" s="289" t="s">
        <v>353</v>
      </c>
      <c r="D187" s="226" t="s">
        <v>108</v>
      </c>
      <c r="E187" s="69" t="s">
        <v>342</v>
      </c>
      <c r="F187" s="215"/>
      <c r="G187" s="215"/>
      <c r="H187" s="215"/>
      <c r="I187" s="215"/>
      <c r="J187" s="92"/>
      <c r="K187" s="26" t="s">
        <v>208</v>
      </c>
      <c r="L187" s="26">
        <f>+L186+1</f>
        <v>22</v>
      </c>
      <c r="M187" s="97"/>
      <c r="N187" s="97"/>
      <c r="O187" s="97"/>
      <c r="P187" s="36"/>
    </row>
    <row r="188" spans="1:16" s="36" customFormat="1" x14ac:dyDescent="0.25">
      <c r="A188" s="41"/>
      <c r="B188" s="41" t="s">
        <v>152</v>
      </c>
      <c r="C188" s="3" t="s">
        <v>238</v>
      </c>
      <c r="D188" s="50"/>
      <c r="E188" s="50"/>
      <c r="F188" s="54">
        <f>SUMIF($A:$A,"byte",F:F)</f>
        <v>12305</v>
      </c>
      <c r="G188" s="54">
        <f>SUMIF($A:$A,"byte",G:G)</f>
        <v>15215</v>
      </c>
      <c r="H188" s="54">
        <f>SUMIF($A:$A,"byte",H:H)</f>
        <v>15475</v>
      </c>
      <c r="I188" s="54">
        <f>SUMIF($A:$A,"byte",I:I)</f>
        <v>15535</v>
      </c>
      <c r="J188" s="412"/>
      <c r="K188" s="335"/>
      <c r="L188" s="335"/>
      <c r="M188" s="97"/>
      <c r="N188" s="97"/>
      <c r="O188" s="97"/>
    </row>
    <row r="189" spans="1:16" s="36" customFormat="1" x14ac:dyDescent="0.25">
      <c r="A189"/>
      <c r="B189"/>
      <c r="C189"/>
      <c r="D189"/>
      <c r="E189"/>
      <c r="F189"/>
      <c r="G189"/>
      <c r="H189"/>
      <c r="I189"/>
      <c r="J189" s="412"/>
      <c r="K189" s="26"/>
      <c r="L189" s="26"/>
      <c r="M189" s="97"/>
      <c r="N189" s="97"/>
      <c r="O189" s="97"/>
      <c r="P189" s="26"/>
    </row>
    <row r="190" spans="1:16" s="36" customFormat="1" x14ac:dyDescent="0.25">
      <c r="A190" s="76"/>
      <c r="B190" s="76"/>
      <c r="C190" s="206" t="s">
        <v>12</v>
      </c>
      <c r="D190" s="70"/>
      <c r="E190" s="69"/>
      <c r="F190" s="4">
        <f>F167</f>
        <v>2022</v>
      </c>
      <c r="G190" s="4">
        <f>F190+1</f>
        <v>2023</v>
      </c>
      <c r="H190" s="4">
        <f>G190+1</f>
        <v>2024</v>
      </c>
      <c r="I190" s="4">
        <f>H190+1</f>
        <v>2025</v>
      </c>
      <c r="J190" s="412"/>
      <c r="K190" s="335"/>
      <c r="L190" s="335"/>
      <c r="M190" s="97"/>
      <c r="N190" s="97"/>
      <c r="O190" s="97"/>
      <c r="P190" s="26"/>
    </row>
    <row r="191" spans="1:16" s="36" customFormat="1" x14ac:dyDescent="0.25">
      <c r="A191" s="76" t="s">
        <v>6</v>
      </c>
      <c r="B191" s="76" t="str">
        <f>IF(L191,K191&amp;L191,"")</f>
        <v>O1</v>
      </c>
      <c r="C191" s="82" t="s">
        <v>239</v>
      </c>
      <c r="D191" s="70" t="s">
        <v>105</v>
      </c>
      <c r="E191" s="69" t="s">
        <v>98</v>
      </c>
      <c r="F191" s="68">
        <v>0</v>
      </c>
      <c r="G191" s="68">
        <v>-800</v>
      </c>
      <c r="H191" s="68">
        <v>-800</v>
      </c>
      <c r="I191" s="68">
        <v>-800</v>
      </c>
      <c r="J191" s="412"/>
      <c r="K191" s="26" t="s">
        <v>240</v>
      </c>
      <c r="L191" s="26">
        <v>1</v>
      </c>
      <c r="M191" s="97" t="str">
        <f>IF(E191="VEDTATT","VEDTATT",0)</f>
        <v>VEDTATT</v>
      </c>
      <c r="N191" s="97">
        <f>IF(E191="MÅ","Nye tiltak",0)</f>
        <v>0</v>
      </c>
      <c r="O191" s="97"/>
    </row>
    <row r="192" spans="1:16" s="36" customFormat="1" x14ac:dyDescent="0.25">
      <c r="A192" s="76" t="s">
        <v>6</v>
      </c>
      <c r="B192" s="76" t="str">
        <f>IF(L192,K192&amp;L192,"")</f>
        <v>O2</v>
      </c>
      <c r="C192" s="82" t="s">
        <v>354</v>
      </c>
      <c r="D192" s="70" t="s">
        <v>108</v>
      </c>
      <c r="E192" s="403" t="s">
        <v>46</v>
      </c>
      <c r="F192" s="285"/>
      <c r="G192" s="285">
        <v>5000</v>
      </c>
      <c r="H192" s="285">
        <v>10000</v>
      </c>
      <c r="I192" s="285">
        <v>15000</v>
      </c>
      <c r="J192" s="414" t="s">
        <v>242</v>
      </c>
      <c r="K192" s="26" t="s">
        <v>240</v>
      </c>
      <c r="L192" s="26">
        <f>L191+1</f>
        <v>2</v>
      </c>
      <c r="M192" s="97"/>
      <c r="N192" s="97"/>
      <c r="O192" s="97"/>
      <c r="P192" s="26"/>
    </row>
    <row r="193" spans="1:16" s="36" customFormat="1" x14ac:dyDescent="0.25">
      <c r="A193" s="76" t="s">
        <v>6</v>
      </c>
      <c r="B193" s="76" t="str">
        <f>IF(L193,K193&amp;L193,"")</f>
        <v>O3</v>
      </c>
      <c r="C193" s="82" t="s">
        <v>243</v>
      </c>
      <c r="D193" s="70" t="s">
        <v>108</v>
      </c>
      <c r="E193" s="403" t="s">
        <v>46</v>
      </c>
      <c r="F193" s="285">
        <v>220</v>
      </c>
      <c r="G193" s="285">
        <v>220</v>
      </c>
      <c r="H193" s="285">
        <v>220</v>
      </c>
      <c r="I193" s="285">
        <v>220</v>
      </c>
      <c r="J193" s="412"/>
      <c r="K193" s="26" t="s">
        <v>240</v>
      </c>
      <c r="L193" s="26">
        <f>L192+1</f>
        <v>3</v>
      </c>
      <c r="M193" s="97"/>
      <c r="N193" s="97"/>
      <c r="O193" s="97"/>
      <c r="P193" s="26"/>
    </row>
    <row r="194" spans="1:16" s="36" customFormat="1" x14ac:dyDescent="0.25">
      <c r="A194" s="76" t="s">
        <v>6</v>
      </c>
      <c r="B194" s="76" t="str">
        <f>IF(L194,K194&amp;L194,"")</f>
        <v>O4</v>
      </c>
      <c r="C194" s="82" t="s">
        <v>355</v>
      </c>
      <c r="D194" s="70" t="s">
        <v>108</v>
      </c>
      <c r="E194" s="403" t="s">
        <v>46</v>
      </c>
      <c r="F194" s="285">
        <v>12600</v>
      </c>
      <c r="G194" s="285">
        <v>14300</v>
      </c>
      <c r="H194" s="285">
        <v>7900</v>
      </c>
      <c r="I194" s="285">
        <v>7900</v>
      </c>
      <c r="J194" s="412"/>
      <c r="K194" s="36" t="s">
        <v>240</v>
      </c>
      <c r="L194" s="26">
        <f>L193+1</f>
        <v>4</v>
      </c>
      <c r="M194" s="390"/>
      <c r="N194" s="390"/>
      <c r="O194" s="390"/>
    </row>
    <row r="195" spans="1:16" s="36" customFormat="1" x14ac:dyDescent="0.25">
      <c r="A195" s="76" t="s">
        <v>6</v>
      </c>
      <c r="B195" s="76" t="str">
        <f>IF(L195,K195&amp;L195,"")</f>
        <v>O5</v>
      </c>
      <c r="C195" s="82"/>
      <c r="D195" s="70" t="s">
        <v>108</v>
      </c>
      <c r="E195" s="69" t="s">
        <v>46</v>
      </c>
      <c r="F195" s="68">
        <v>750</v>
      </c>
      <c r="G195" s="68"/>
      <c r="H195" s="68"/>
      <c r="I195" s="68"/>
      <c r="J195" s="412"/>
      <c r="K195" s="36" t="s">
        <v>240</v>
      </c>
      <c r="L195" s="26">
        <f>L194+1</f>
        <v>5</v>
      </c>
      <c r="M195" s="97"/>
      <c r="N195" s="97"/>
      <c r="O195" s="97"/>
      <c r="P195" s="26"/>
    </row>
    <row r="196" spans="1:16" s="36" customFormat="1" x14ac:dyDescent="0.25">
      <c r="A196" s="45"/>
      <c r="B196" s="45"/>
      <c r="C196" s="243"/>
      <c r="D196" s="212"/>
      <c r="E196" s="109"/>
      <c r="F196" s="68"/>
      <c r="G196" s="68"/>
      <c r="H196" s="68"/>
      <c r="I196" s="68"/>
      <c r="J196" s="412"/>
      <c r="M196" s="97"/>
      <c r="N196" s="97"/>
      <c r="O196" s="97"/>
      <c r="P196" s="26"/>
    </row>
    <row r="197" spans="1:16" s="36" customFormat="1" x14ac:dyDescent="0.25">
      <c r="A197" s="41"/>
      <c r="B197" s="41" t="s">
        <v>152</v>
      </c>
      <c r="C197" s="3" t="s">
        <v>246</v>
      </c>
      <c r="D197" s="50"/>
      <c r="E197" s="50"/>
      <c r="F197" s="54">
        <f>SUMIF($A:$A,"ORG",F:F)</f>
        <v>13570</v>
      </c>
      <c r="G197" s="54">
        <f>SUMIF($A:$A,"ORG",G:G)</f>
        <v>18720</v>
      </c>
      <c r="H197" s="54">
        <f>SUMIF($A:$A,"ORG",H:H)</f>
        <v>17320</v>
      </c>
      <c r="I197" s="54">
        <f>SUMIF($A:$A,"ORG",I:I)</f>
        <v>22320</v>
      </c>
      <c r="J197" s="412"/>
      <c r="K197" s="335"/>
      <c r="L197" s="335"/>
      <c r="M197" s="97"/>
      <c r="N197" s="97"/>
      <c r="O197" s="97"/>
      <c r="P197" s="26"/>
    </row>
    <row r="198" spans="1:16" s="36" customFormat="1" x14ac:dyDescent="0.25">
      <c r="A198" s="45"/>
      <c r="B198" s="45"/>
      <c r="C198" s="9"/>
      <c r="D198" s="47"/>
      <c r="E198" s="47"/>
      <c r="F198" s="55"/>
      <c r="G198" s="55"/>
      <c r="H198" s="55"/>
      <c r="I198" s="55"/>
      <c r="J198" s="412"/>
      <c r="K198" s="26"/>
      <c r="L198" s="26"/>
      <c r="M198" s="97"/>
      <c r="N198" s="97"/>
      <c r="O198" s="97"/>
      <c r="P198" s="26"/>
    </row>
    <row r="199" spans="1:16" s="36" customFormat="1" x14ac:dyDescent="0.25">
      <c r="A199" s="46"/>
      <c r="B199" s="46"/>
      <c r="C199" s="11" t="s">
        <v>13</v>
      </c>
      <c r="D199" s="48"/>
      <c r="E199" s="59"/>
      <c r="F199" s="4">
        <f>F190</f>
        <v>2022</v>
      </c>
      <c r="G199" s="4">
        <f>F199+1</f>
        <v>2023</v>
      </c>
      <c r="H199" s="4">
        <f>G199+1</f>
        <v>2024</v>
      </c>
      <c r="I199" s="4">
        <f>H199+1</f>
        <v>2025</v>
      </c>
      <c r="J199" s="412"/>
      <c r="K199" s="335"/>
      <c r="L199" s="335"/>
      <c r="M199" s="97"/>
      <c r="N199" s="97"/>
      <c r="O199" s="97"/>
      <c r="P199" s="26"/>
    </row>
    <row r="200" spans="1:16" s="36" customFormat="1" x14ac:dyDescent="0.25">
      <c r="A200" s="43" t="s">
        <v>7</v>
      </c>
      <c r="B200" s="43" t="str">
        <f>IF(L200,K200&amp;L200,"")</f>
        <v>Ø1</v>
      </c>
      <c r="C200" s="344" t="s">
        <v>247</v>
      </c>
      <c r="D200" s="70" t="s">
        <v>105</v>
      </c>
      <c r="E200" s="69" t="s">
        <v>98</v>
      </c>
      <c r="F200" s="68">
        <v>0</v>
      </c>
      <c r="G200" s="68">
        <v>-1300</v>
      </c>
      <c r="H200" s="68">
        <v>-1300</v>
      </c>
      <c r="I200" s="68">
        <v>-1300</v>
      </c>
      <c r="J200" s="414"/>
      <c r="K200" s="26" t="s">
        <v>248</v>
      </c>
      <c r="L200" s="26">
        <v>1</v>
      </c>
      <c r="M200" s="97" t="str">
        <f>IF(E200="VEDTATT","VEDTATT",0)</f>
        <v>VEDTATT</v>
      </c>
      <c r="N200" s="97">
        <f>IF(E200="MÅ","Nye tiltak",0)</f>
        <v>0</v>
      </c>
      <c r="O200" s="97"/>
      <c r="P200" s="26"/>
    </row>
    <row r="201" spans="1:16" s="36" customFormat="1" x14ac:dyDescent="0.25">
      <c r="A201" s="43" t="s">
        <v>7</v>
      </c>
      <c r="B201" s="43" t="str">
        <f>IF(L201,K201&amp;L201,"")</f>
        <v>Ø2</v>
      </c>
      <c r="C201" s="345" t="s">
        <v>249</v>
      </c>
      <c r="D201" s="70" t="s">
        <v>105</v>
      </c>
      <c r="E201" s="69" t="s">
        <v>98</v>
      </c>
      <c r="F201" s="68">
        <v>0</v>
      </c>
      <c r="G201" s="68">
        <v>1300</v>
      </c>
      <c r="H201" s="68">
        <v>1300</v>
      </c>
      <c r="I201" s="68">
        <v>1300</v>
      </c>
      <c r="J201" s="414"/>
      <c r="K201" s="26" t="s">
        <v>248</v>
      </c>
      <c r="L201" s="26">
        <f>L200+1</f>
        <v>2</v>
      </c>
      <c r="M201" s="97" t="str">
        <f>IF(E201="VEDTATT","VEDTATT",0)</f>
        <v>VEDTATT</v>
      </c>
      <c r="N201" s="97">
        <f>IF(E201="MÅ","Nye tiltak",0)</f>
        <v>0</v>
      </c>
      <c r="O201" s="97"/>
      <c r="P201" s="26"/>
    </row>
    <row r="202" spans="1:16" s="36" customFormat="1" x14ac:dyDescent="0.25">
      <c r="A202" s="43" t="s">
        <v>7</v>
      </c>
      <c r="B202" s="43" t="str">
        <f>IF(L202,K202&amp;L202,"")</f>
        <v>Ø3</v>
      </c>
      <c r="C202" s="344" t="s">
        <v>356</v>
      </c>
      <c r="D202" s="77" t="s">
        <v>108</v>
      </c>
      <c r="E202" s="69" t="s">
        <v>46</v>
      </c>
      <c r="F202" s="189">
        <v>550</v>
      </c>
      <c r="G202" s="189">
        <v>550</v>
      </c>
      <c r="H202" s="189">
        <v>550</v>
      </c>
      <c r="I202" s="189">
        <v>550</v>
      </c>
      <c r="J202" s="92" t="s">
        <v>251</v>
      </c>
      <c r="K202" s="26" t="s">
        <v>248</v>
      </c>
      <c r="L202" s="26">
        <f>L201+1</f>
        <v>3</v>
      </c>
      <c r="M202" s="97">
        <f>IF(E202="VEDTATT","VEDTATT",0)</f>
        <v>0</v>
      </c>
      <c r="N202" s="97" t="str">
        <f>IF(E202="MÅ","Nye tiltak",0)</f>
        <v>Nye tiltak</v>
      </c>
      <c r="O202" s="97"/>
      <c r="P202" s="26"/>
    </row>
    <row r="203" spans="1:16" s="36" customFormat="1" x14ac:dyDescent="0.25">
      <c r="A203" s="43" t="s">
        <v>7</v>
      </c>
      <c r="B203" s="43" t="str">
        <f>IF(L203,K203&amp;L203,"")</f>
        <v>Ø4</v>
      </c>
      <c r="C203" s="344" t="s">
        <v>357</v>
      </c>
      <c r="D203" s="70" t="s">
        <v>108</v>
      </c>
      <c r="E203" s="69" t="s">
        <v>46</v>
      </c>
      <c r="F203" s="68">
        <v>-600</v>
      </c>
      <c r="G203" s="68">
        <v>-600</v>
      </c>
      <c r="H203" s="68">
        <v>-600</v>
      </c>
      <c r="I203" s="68">
        <v>-600</v>
      </c>
      <c r="J203" s="92" t="s">
        <v>253</v>
      </c>
      <c r="K203" s="26" t="s">
        <v>248</v>
      </c>
      <c r="L203" s="26">
        <f>L202+1</f>
        <v>4</v>
      </c>
      <c r="M203" s="97">
        <f>IF(E203="VEDTATT","VEDTATT",0)</f>
        <v>0</v>
      </c>
      <c r="N203" s="97" t="str">
        <f>IF(E203="MÅ","Nye tiltak",0)</f>
        <v>Nye tiltak</v>
      </c>
      <c r="O203" s="97"/>
      <c r="P203" s="26"/>
    </row>
    <row r="204" spans="1:16" s="36" customFormat="1" x14ac:dyDescent="0.25">
      <c r="A204" s="41"/>
      <c r="B204" s="41" t="s">
        <v>152</v>
      </c>
      <c r="C204" s="3" t="s">
        <v>254</v>
      </c>
      <c r="D204" s="50"/>
      <c r="E204" s="50"/>
      <c r="F204" s="54">
        <f>SUMIF($A:$A,"ØK",F:F)</f>
        <v>-50</v>
      </c>
      <c r="G204" s="54">
        <f>SUMIF($A:$A,"ØK",G:G)</f>
        <v>-50</v>
      </c>
      <c r="H204" s="54">
        <f>SUMIF($A:$A,"ØK",H:H)</f>
        <v>-50</v>
      </c>
      <c r="I204" s="54">
        <f>SUMIF($A:$A,"ØK",I:I)</f>
        <v>-50</v>
      </c>
      <c r="J204" s="412"/>
      <c r="K204" s="335"/>
      <c r="L204" s="335"/>
      <c r="M204" s="97"/>
      <c r="N204" s="97"/>
      <c r="O204" s="97"/>
      <c r="P204" s="26"/>
    </row>
    <row r="205" spans="1:16" s="36" customFormat="1" x14ac:dyDescent="0.25">
      <c r="A205" s="45"/>
      <c r="B205" s="45"/>
      <c r="C205" s="9"/>
      <c r="D205" s="47"/>
      <c r="E205" s="47"/>
      <c r="F205" s="55"/>
      <c r="G205" s="55"/>
      <c r="H205" s="55"/>
      <c r="I205" s="55"/>
      <c r="J205" s="412"/>
      <c r="K205" s="26"/>
      <c r="L205" s="26"/>
      <c r="M205" s="97"/>
      <c r="N205" s="97"/>
      <c r="O205" s="97"/>
      <c r="P205" s="26"/>
    </row>
    <row r="206" spans="1:16" s="36" customFormat="1" x14ac:dyDescent="0.25">
      <c r="A206" s="46"/>
      <c r="B206" s="46"/>
      <c r="C206" s="11" t="s">
        <v>255</v>
      </c>
      <c r="D206" s="48"/>
      <c r="E206" s="59"/>
      <c r="F206" s="56"/>
      <c r="G206" s="56"/>
      <c r="H206" s="56"/>
      <c r="I206" s="56"/>
      <c r="J206" s="412"/>
      <c r="M206" s="97"/>
      <c r="N206" s="97"/>
      <c r="O206" s="97"/>
      <c r="P206" s="26"/>
    </row>
    <row r="207" spans="1:16" s="36" customFormat="1" x14ac:dyDescent="0.25">
      <c r="A207" s="247"/>
      <c r="B207" s="247"/>
      <c r="C207" s="80" t="s">
        <v>256</v>
      </c>
      <c r="D207" s="81"/>
      <c r="E207" s="69"/>
      <c r="F207" s="4">
        <f>F199</f>
        <v>2022</v>
      </c>
      <c r="G207" s="4">
        <f>F207+1</f>
        <v>2023</v>
      </c>
      <c r="H207" s="4">
        <f>G207+1</f>
        <v>2024</v>
      </c>
      <c r="I207" s="4">
        <f>H207+1</f>
        <v>2025</v>
      </c>
      <c r="J207" s="412"/>
      <c r="K207" s="335"/>
      <c r="L207" s="335"/>
      <c r="M207" s="97"/>
      <c r="N207" s="97"/>
      <c r="O207" s="97"/>
      <c r="P207" s="26"/>
    </row>
    <row r="208" spans="1:16" s="36" customFormat="1" x14ac:dyDescent="0.25">
      <c r="A208" s="70" t="s">
        <v>8</v>
      </c>
      <c r="B208" s="76"/>
      <c r="C208" s="384"/>
      <c r="D208" s="77" t="s">
        <v>108</v>
      </c>
      <c r="E208" s="287"/>
      <c r="F208" s="189"/>
      <c r="G208" s="189"/>
      <c r="H208" s="189"/>
      <c r="I208" s="189"/>
      <c r="J208" s="414"/>
      <c r="K208" s="26" t="s">
        <v>257</v>
      </c>
      <c r="L208" s="26"/>
      <c r="M208" s="97">
        <f>IF(E208="VEDTATT","VEDTATT",0)</f>
        <v>0</v>
      </c>
      <c r="N208" s="97">
        <f>IF(E208="MÅ","Nye tiltak",0)</f>
        <v>0</v>
      </c>
      <c r="O208" s="97"/>
      <c r="P208" s="26"/>
    </row>
    <row r="209" spans="1:16" s="36" customFormat="1" x14ac:dyDescent="0.25">
      <c r="A209" s="70" t="s">
        <v>8</v>
      </c>
      <c r="B209" s="76"/>
      <c r="C209" s="243"/>
      <c r="D209" s="77"/>
      <c r="E209" s="69"/>
      <c r="F209" s="189"/>
      <c r="G209" s="189"/>
      <c r="H209" s="189"/>
      <c r="I209" s="189"/>
      <c r="J209" s="414"/>
      <c r="K209" s="26" t="s">
        <v>257</v>
      </c>
      <c r="L209" s="26"/>
      <c r="M209" s="97">
        <f>IF(E209="VEDTATT","VEDTATT",0)</f>
        <v>0</v>
      </c>
      <c r="N209" s="97">
        <f>IF(E209="MÅ","Nye tiltak",0)</f>
        <v>0</v>
      </c>
      <c r="O209" s="97"/>
      <c r="P209" s="26"/>
    </row>
    <row r="210" spans="1:16" s="36" customFormat="1" x14ac:dyDescent="0.25">
      <c r="A210" s="70"/>
      <c r="B210" s="76" t="str">
        <f t="shared" ref="B210:B239" si="24">IF(L210,K210&amp;L210,"")</f>
        <v/>
      </c>
      <c r="C210" s="80" t="s">
        <v>258</v>
      </c>
      <c r="D210" s="81"/>
      <c r="E210" s="69"/>
      <c r="F210" s="4">
        <f>F207</f>
        <v>2022</v>
      </c>
      <c r="G210" s="4">
        <f>F210+1</f>
        <v>2023</v>
      </c>
      <c r="H210" s="4">
        <f>G210+1</f>
        <v>2024</v>
      </c>
      <c r="I210" s="4">
        <f>H210+1</f>
        <v>2025</v>
      </c>
      <c r="J210" s="412"/>
      <c r="K210" s="335"/>
      <c r="L210" s="335"/>
      <c r="M210" s="97"/>
      <c r="N210" s="97"/>
      <c r="O210" s="97"/>
      <c r="P210" s="26"/>
    </row>
    <row r="211" spans="1:16" s="36" customFormat="1" ht="25.5" x14ac:dyDescent="0.25">
      <c r="A211" s="70" t="s">
        <v>8</v>
      </c>
      <c r="B211" s="76" t="str">
        <f t="shared" si="24"/>
        <v>F1</v>
      </c>
      <c r="C211" s="82" t="s">
        <v>358</v>
      </c>
      <c r="D211" s="70" t="s">
        <v>105</v>
      </c>
      <c r="E211" s="69" t="s">
        <v>98</v>
      </c>
      <c r="F211" s="189">
        <v>-35</v>
      </c>
      <c r="G211" s="189">
        <v>-65</v>
      </c>
      <c r="H211" s="189">
        <v>-65</v>
      </c>
      <c r="I211" s="189">
        <v>-65</v>
      </c>
      <c r="J211" s="414" t="s">
        <v>260</v>
      </c>
      <c r="K211" s="26" t="s">
        <v>257</v>
      </c>
      <c r="L211" s="26">
        <v>1</v>
      </c>
      <c r="M211" s="97" t="str">
        <f t="shared" ref="M211:M230" si="25">IF(E211="VEDTATT","VEDTATT",0)</f>
        <v>VEDTATT</v>
      </c>
      <c r="N211" s="97">
        <f t="shared" ref="N211:N230" si="26">IF(E211="MÅ","Nye tiltak",0)</f>
        <v>0</v>
      </c>
      <c r="O211" s="97"/>
      <c r="P211" s="26"/>
    </row>
    <row r="212" spans="1:16" s="36" customFormat="1" ht="25.5" x14ac:dyDescent="0.25">
      <c r="A212" s="70" t="s">
        <v>8</v>
      </c>
      <c r="B212" s="76" t="str">
        <f t="shared" si="24"/>
        <v>F2</v>
      </c>
      <c r="C212" s="82" t="s">
        <v>358</v>
      </c>
      <c r="D212" s="70" t="s">
        <v>105</v>
      </c>
      <c r="E212" s="69" t="s">
        <v>98</v>
      </c>
      <c r="F212" s="189">
        <v>-1000</v>
      </c>
      <c r="G212" s="189">
        <v>-1000</v>
      </c>
      <c r="H212" s="189">
        <v>-1000</v>
      </c>
      <c r="I212" s="189">
        <v>-1000</v>
      </c>
      <c r="J212" s="414" t="s">
        <v>262</v>
      </c>
      <c r="K212" s="26" t="s">
        <v>257</v>
      </c>
      <c r="L212" s="26">
        <f t="shared" ref="L212:L234" si="27">L211+1</f>
        <v>2</v>
      </c>
      <c r="M212" s="97" t="str">
        <f t="shared" si="25"/>
        <v>VEDTATT</v>
      </c>
      <c r="N212" s="97">
        <f t="shared" si="26"/>
        <v>0</v>
      </c>
      <c r="O212" s="97"/>
      <c r="P212" s="26"/>
    </row>
    <row r="213" spans="1:16" s="36" customFormat="1" x14ac:dyDescent="0.25">
      <c r="A213" s="70" t="s">
        <v>8</v>
      </c>
      <c r="B213" s="76" t="str">
        <f t="shared" si="24"/>
        <v>F3</v>
      </c>
      <c r="C213" s="391" t="s">
        <v>359</v>
      </c>
      <c r="D213" s="70" t="s">
        <v>105</v>
      </c>
      <c r="E213" s="69" t="s">
        <v>98</v>
      </c>
      <c r="F213" s="189">
        <v>-1000</v>
      </c>
      <c r="G213" s="189">
        <v>-1000</v>
      </c>
      <c r="H213" s="189">
        <v>-1000</v>
      </c>
      <c r="I213" s="189">
        <v>-1000</v>
      </c>
      <c r="J213" s="414"/>
      <c r="K213" s="26" t="s">
        <v>257</v>
      </c>
      <c r="L213" s="26">
        <f t="shared" si="27"/>
        <v>3</v>
      </c>
      <c r="M213" s="97" t="str">
        <f t="shared" si="25"/>
        <v>VEDTATT</v>
      </c>
      <c r="N213" s="97">
        <f t="shared" si="26"/>
        <v>0</v>
      </c>
      <c r="O213" s="97"/>
      <c r="P213" s="26"/>
    </row>
    <row r="214" spans="1:16" s="36" customFormat="1" x14ac:dyDescent="0.25">
      <c r="A214" s="70" t="s">
        <v>8</v>
      </c>
      <c r="B214" s="76" t="str">
        <f t="shared" si="24"/>
        <v>F4</v>
      </c>
      <c r="C214" s="82" t="s">
        <v>359</v>
      </c>
      <c r="D214" s="70" t="s">
        <v>105</v>
      </c>
      <c r="E214" s="69" t="s">
        <v>98</v>
      </c>
      <c r="F214" s="189">
        <v>1800</v>
      </c>
      <c r="G214" s="189">
        <v>3100</v>
      </c>
      <c r="H214" s="189">
        <v>3100</v>
      </c>
      <c r="I214" s="189">
        <v>3100</v>
      </c>
      <c r="J214" s="414" t="s">
        <v>263</v>
      </c>
      <c r="K214" s="26" t="s">
        <v>257</v>
      </c>
      <c r="L214" s="26">
        <f t="shared" si="27"/>
        <v>4</v>
      </c>
      <c r="M214" s="97" t="str">
        <f t="shared" si="25"/>
        <v>VEDTATT</v>
      </c>
      <c r="N214" s="97">
        <f t="shared" si="26"/>
        <v>0</v>
      </c>
      <c r="O214" s="97"/>
      <c r="P214" s="26"/>
    </row>
    <row r="215" spans="1:16" s="36" customFormat="1" x14ac:dyDescent="0.25">
      <c r="A215" s="70" t="s">
        <v>8</v>
      </c>
      <c r="B215" s="76" t="str">
        <f t="shared" si="24"/>
        <v>F5</v>
      </c>
      <c r="C215" s="82" t="s">
        <v>360</v>
      </c>
      <c r="D215" s="70" t="s">
        <v>105</v>
      </c>
      <c r="E215" s="69" t="s">
        <v>98</v>
      </c>
      <c r="F215" s="189">
        <v>-470</v>
      </c>
      <c r="G215" s="189">
        <v>-1515</v>
      </c>
      <c r="H215" s="189">
        <v>-2090</v>
      </c>
      <c r="I215" s="189">
        <v>-2090</v>
      </c>
      <c r="J215" s="91"/>
      <c r="K215" s="26" t="s">
        <v>257</v>
      </c>
      <c r="L215" s="26">
        <f t="shared" si="27"/>
        <v>5</v>
      </c>
      <c r="M215" s="97" t="str">
        <f t="shared" si="25"/>
        <v>VEDTATT</v>
      </c>
      <c r="N215" s="97">
        <f t="shared" si="26"/>
        <v>0</v>
      </c>
      <c r="O215" s="97"/>
      <c r="P215" s="26"/>
    </row>
    <row r="216" spans="1:16" s="36" customFormat="1" x14ac:dyDescent="0.25">
      <c r="A216" s="70" t="s">
        <v>8</v>
      </c>
      <c r="B216" s="76" t="str">
        <f t="shared" si="24"/>
        <v>F6</v>
      </c>
      <c r="C216" s="82" t="s">
        <v>265</v>
      </c>
      <c r="D216" s="70" t="s">
        <v>108</v>
      </c>
      <c r="E216" s="69" t="s">
        <v>46</v>
      </c>
      <c r="F216" s="189">
        <v>109000</v>
      </c>
      <c r="G216" s="189">
        <v>109000</v>
      </c>
      <c r="H216" s="189">
        <v>109000</v>
      </c>
      <c r="I216" s="189">
        <v>109000</v>
      </c>
      <c r="J216" s="414" t="s">
        <v>266</v>
      </c>
      <c r="K216" s="26" t="s">
        <v>257</v>
      </c>
      <c r="L216" s="26">
        <f t="shared" si="27"/>
        <v>6</v>
      </c>
      <c r="M216" s="97">
        <f t="shared" si="25"/>
        <v>0</v>
      </c>
      <c r="N216" s="97" t="str">
        <f t="shared" si="26"/>
        <v>Nye tiltak</v>
      </c>
      <c r="O216" s="97"/>
      <c r="P216" s="26"/>
    </row>
    <row r="217" spans="1:16" s="36" customFormat="1" x14ac:dyDescent="0.25">
      <c r="A217" s="70" t="s">
        <v>8</v>
      </c>
      <c r="B217" s="76" t="str">
        <f t="shared" si="24"/>
        <v>F7</v>
      </c>
      <c r="C217" s="82" t="s">
        <v>267</v>
      </c>
      <c r="D217" s="70" t="s">
        <v>108</v>
      </c>
      <c r="E217" s="69" t="s">
        <v>46</v>
      </c>
      <c r="F217" s="189">
        <v>246</v>
      </c>
      <c r="G217" s="189">
        <v>246</v>
      </c>
      <c r="H217" s="189">
        <v>246</v>
      </c>
      <c r="I217" s="189">
        <v>246</v>
      </c>
      <c r="J217" s="414" t="s">
        <v>268</v>
      </c>
      <c r="K217" s="26" t="s">
        <v>257</v>
      </c>
      <c r="L217" s="26">
        <f t="shared" si="27"/>
        <v>7</v>
      </c>
      <c r="M217" s="97">
        <f t="shared" si="25"/>
        <v>0</v>
      </c>
      <c r="N217" s="97" t="str">
        <f t="shared" si="26"/>
        <v>Nye tiltak</v>
      </c>
      <c r="O217" s="97"/>
      <c r="P217" s="26"/>
    </row>
    <row r="218" spans="1:16" s="36" customFormat="1" x14ac:dyDescent="0.25">
      <c r="A218" s="70" t="s">
        <v>8</v>
      </c>
      <c r="B218" s="76" t="str">
        <f t="shared" si="24"/>
        <v>F8</v>
      </c>
      <c r="C218" s="82" t="s">
        <v>269</v>
      </c>
      <c r="D218" s="70" t="s">
        <v>108</v>
      </c>
      <c r="E218" s="69" t="s">
        <v>46</v>
      </c>
      <c r="F218" s="189">
        <v>200</v>
      </c>
      <c r="G218" s="189">
        <v>200</v>
      </c>
      <c r="H218" s="189">
        <v>200</v>
      </c>
      <c r="I218" s="189">
        <v>200</v>
      </c>
      <c r="J218" s="91" t="s">
        <v>143</v>
      </c>
      <c r="K218" s="26" t="s">
        <v>257</v>
      </c>
      <c r="L218" s="26">
        <f t="shared" si="27"/>
        <v>8</v>
      </c>
      <c r="M218" s="97">
        <f t="shared" si="25"/>
        <v>0</v>
      </c>
      <c r="N218" s="97" t="str">
        <f t="shared" si="26"/>
        <v>Nye tiltak</v>
      </c>
      <c r="O218" s="97"/>
      <c r="P218" s="26"/>
    </row>
    <row r="219" spans="1:16" s="36" customFormat="1" x14ac:dyDescent="0.25">
      <c r="A219" s="70" t="s">
        <v>8</v>
      </c>
      <c r="B219" s="76" t="str">
        <f t="shared" si="24"/>
        <v/>
      </c>
      <c r="C219" s="82" t="s">
        <v>361</v>
      </c>
      <c r="D219" s="70" t="s">
        <v>108</v>
      </c>
      <c r="E219" s="69"/>
      <c r="F219" s="189"/>
      <c r="G219" s="189"/>
      <c r="H219" s="189"/>
      <c r="I219" s="189"/>
      <c r="J219" s="509" t="s">
        <v>362</v>
      </c>
      <c r="K219" s="26" t="s">
        <v>257</v>
      </c>
      <c r="L219" s="26"/>
      <c r="M219" s="97">
        <f t="shared" si="25"/>
        <v>0</v>
      </c>
      <c r="N219" s="97">
        <f t="shared" si="26"/>
        <v>0</v>
      </c>
      <c r="O219" s="97"/>
      <c r="P219" s="26"/>
    </row>
    <row r="220" spans="1:16" s="36" customFormat="1" x14ac:dyDescent="0.25">
      <c r="A220" s="70" t="s">
        <v>8</v>
      </c>
      <c r="B220" s="76" t="str">
        <f t="shared" si="24"/>
        <v>F9</v>
      </c>
      <c r="C220" s="82" t="s">
        <v>270</v>
      </c>
      <c r="D220" s="70" t="s">
        <v>108</v>
      </c>
      <c r="E220" s="69" t="s">
        <v>46</v>
      </c>
      <c r="F220" s="189">
        <v>494</v>
      </c>
      <c r="G220" s="189">
        <v>494</v>
      </c>
      <c r="H220" s="189">
        <v>494</v>
      </c>
      <c r="I220" s="189">
        <v>494</v>
      </c>
      <c r="J220" s="91" t="s">
        <v>143</v>
      </c>
      <c r="K220" s="26" t="s">
        <v>257</v>
      </c>
      <c r="L220" s="26">
        <v>9</v>
      </c>
      <c r="M220" s="97">
        <f t="shared" si="25"/>
        <v>0</v>
      </c>
      <c r="N220" s="97" t="str">
        <f t="shared" si="26"/>
        <v>Nye tiltak</v>
      </c>
      <c r="O220" s="97"/>
      <c r="P220" s="26"/>
    </row>
    <row r="221" spans="1:16" s="36" customFormat="1" x14ac:dyDescent="0.25">
      <c r="A221" s="70" t="s">
        <v>8</v>
      </c>
      <c r="B221" s="76" t="str">
        <f t="shared" si="24"/>
        <v>F10</v>
      </c>
      <c r="C221" s="401" t="s">
        <v>363</v>
      </c>
      <c r="D221" s="402" t="s">
        <v>108</v>
      </c>
      <c r="E221" s="403" t="s">
        <v>46</v>
      </c>
      <c r="F221" s="253">
        <v>4931</v>
      </c>
      <c r="G221" s="253">
        <v>4931</v>
      </c>
      <c r="H221" s="253">
        <v>4931</v>
      </c>
      <c r="I221" s="253">
        <v>4931</v>
      </c>
      <c r="J221" s="414" t="s">
        <v>364</v>
      </c>
      <c r="K221" s="26" t="s">
        <v>257</v>
      </c>
      <c r="L221" s="26">
        <f t="shared" si="27"/>
        <v>10</v>
      </c>
      <c r="M221" s="97">
        <f t="shared" si="25"/>
        <v>0</v>
      </c>
      <c r="N221" s="97" t="str">
        <f t="shared" si="26"/>
        <v>Nye tiltak</v>
      </c>
      <c r="O221" s="97"/>
      <c r="P221" s="26"/>
    </row>
    <row r="222" spans="1:16" s="36" customFormat="1" ht="25.5" x14ac:dyDescent="0.25">
      <c r="A222" s="70" t="s">
        <v>8</v>
      </c>
      <c r="B222" s="76" t="str">
        <f t="shared" si="24"/>
        <v>F11</v>
      </c>
      <c r="C222" s="401" t="s">
        <v>365</v>
      </c>
      <c r="D222" s="402" t="s">
        <v>108</v>
      </c>
      <c r="E222" s="403" t="s">
        <v>46</v>
      </c>
      <c r="F222" s="253">
        <v>800</v>
      </c>
      <c r="G222" s="253">
        <v>800</v>
      </c>
      <c r="H222" s="253">
        <v>800</v>
      </c>
      <c r="I222" s="253">
        <v>800</v>
      </c>
      <c r="J222" s="414" t="s">
        <v>366</v>
      </c>
      <c r="K222" s="26" t="s">
        <v>257</v>
      </c>
      <c r="L222" s="26">
        <f t="shared" si="27"/>
        <v>11</v>
      </c>
      <c r="M222" s="97">
        <f t="shared" si="25"/>
        <v>0</v>
      </c>
      <c r="N222" s="97" t="str">
        <f t="shared" si="26"/>
        <v>Nye tiltak</v>
      </c>
      <c r="O222" s="97"/>
      <c r="P222" s="26"/>
    </row>
    <row r="223" spans="1:16" s="36" customFormat="1" x14ac:dyDescent="0.25">
      <c r="A223" s="70" t="s">
        <v>8</v>
      </c>
      <c r="B223" s="76" t="str">
        <f t="shared" si="24"/>
        <v>F12</v>
      </c>
      <c r="C223" s="401" t="s">
        <v>367</v>
      </c>
      <c r="D223" s="402" t="s">
        <v>108</v>
      </c>
      <c r="E223" s="403" t="s">
        <v>46</v>
      </c>
      <c r="F223" s="253">
        <v>2000</v>
      </c>
      <c r="G223" s="253">
        <v>2000</v>
      </c>
      <c r="H223" s="253">
        <v>2000</v>
      </c>
      <c r="I223" s="253">
        <v>2000</v>
      </c>
      <c r="J223" s="414" t="s">
        <v>368</v>
      </c>
      <c r="K223" s="26" t="s">
        <v>257</v>
      </c>
      <c r="L223" s="26">
        <f t="shared" si="27"/>
        <v>12</v>
      </c>
      <c r="M223" s="97">
        <f t="shared" si="25"/>
        <v>0</v>
      </c>
      <c r="N223" s="97" t="str">
        <f t="shared" si="26"/>
        <v>Nye tiltak</v>
      </c>
      <c r="O223" s="97"/>
      <c r="P223" s="26"/>
    </row>
    <row r="224" spans="1:16" s="36" customFormat="1" ht="25.5" x14ac:dyDescent="0.25">
      <c r="A224" s="70" t="s">
        <v>8</v>
      </c>
      <c r="B224" s="76" t="str">
        <f t="shared" si="24"/>
        <v>F13</v>
      </c>
      <c r="C224" s="401" t="s">
        <v>369</v>
      </c>
      <c r="D224" s="402" t="s">
        <v>108</v>
      </c>
      <c r="E224" s="403" t="s">
        <v>46</v>
      </c>
      <c r="F224" s="253">
        <v>9100</v>
      </c>
      <c r="G224" s="253">
        <v>9100</v>
      </c>
      <c r="H224" s="253">
        <v>9100</v>
      </c>
      <c r="I224" s="253">
        <v>9100</v>
      </c>
      <c r="J224" s="414" t="s">
        <v>370</v>
      </c>
      <c r="K224" s="26" t="s">
        <v>257</v>
      </c>
      <c r="L224" s="26">
        <f t="shared" si="27"/>
        <v>13</v>
      </c>
      <c r="M224" s="97">
        <f t="shared" si="25"/>
        <v>0</v>
      </c>
      <c r="N224" s="97" t="str">
        <f t="shared" si="26"/>
        <v>Nye tiltak</v>
      </c>
      <c r="O224" s="97"/>
      <c r="P224" s="26"/>
    </row>
    <row r="225" spans="1:16" s="36" customFormat="1" ht="25.5" x14ac:dyDescent="0.25">
      <c r="A225" s="70" t="s">
        <v>8</v>
      </c>
      <c r="B225" s="76" t="str">
        <f t="shared" si="24"/>
        <v>F14</v>
      </c>
      <c r="C225" s="401" t="s">
        <v>371</v>
      </c>
      <c r="D225" s="402" t="s">
        <v>108</v>
      </c>
      <c r="E225" s="403" t="s">
        <v>46</v>
      </c>
      <c r="F225" s="253">
        <v>3760</v>
      </c>
      <c r="G225" s="253">
        <v>3760</v>
      </c>
      <c r="H225" s="253">
        <v>3760</v>
      </c>
      <c r="I225" s="253">
        <v>3760</v>
      </c>
      <c r="J225" s="414" t="s">
        <v>372</v>
      </c>
      <c r="K225" s="26" t="s">
        <v>257</v>
      </c>
      <c r="L225" s="26">
        <f t="shared" si="27"/>
        <v>14</v>
      </c>
      <c r="M225" s="97">
        <f t="shared" si="25"/>
        <v>0</v>
      </c>
      <c r="N225" s="97" t="str">
        <f t="shared" si="26"/>
        <v>Nye tiltak</v>
      </c>
      <c r="O225" s="97"/>
      <c r="P225" s="26"/>
    </row>
    <row r="226" spans="1:16" s="36" customFormat="1" ht="22.5" x14ac:dyDescent="0.25">
      <c r="A226" s="70" t="s">
        <v>8</v>
      </c>
      <c r="B226" s="76" t="str">
        <f t="shared" si="24"/>
        <v/>
      </c>
      <c r="C226" s="401" t="s">
        <v>373</v>
      </c>
      <c r="D226" s="402" t="s">
        <v>108</v>
      </c>
      <c r="E226" s="403" t="s">
        <v>277</v>
      </c>
      <c r="F226" s="253">
        <v>0</v>
      </c>
      <c r="G226" s="253">
        <v>0</v>
      </c>
      <c r="H226" s="253">
        <v>0</v>
      </c>
      <c r="I226" s="253">
        <v>0</v>
      </c>
      <c r="J226" s="414" t="s">
        <v>374</v>
      </c>
      <c r="K226" s="26" t="s">
        <v>257</v>
      </c>
      <c r="L226" s="26"/>
      <c r="M226" s="97">
        <f t="shared" si="25"/>
        <v>0</v>
      </c>
      <c r="N226" s="97">
        <f t="shared" si="26"/>
        <v>0</v>
      </c>
      <c r="O226" s="97"/>
      <c r="P226" s="26"/>
    </row>
    <row r="227" spans="1:16" s="36" customFormat="1" x14ac:dyDescent="0.25">
      <c r="A227" s="70" t="s">
        <v>8</v>
      </c>
      <c r="B227" s="76" t="str">
        <f t="shared" si="24"/>
        <v>F15</v>
      </c>
      <c r="C227" s="82" t="s">
        <v>272</v>
      </c>
      <c r="D227" s="70" t="s">
        <v>108</v>
      </c>
      <c r="E227" s="69" t="s">
        <v>46</v>
      </c>
      <c r="F227" s="189">
        <v>1936</v>
      </c>
      <c r="G227" s="189">
        <v>1936</v>
      </c>
      <c r="H227" s="189">
        <v>1936</v>
      </c>
      <c r="I227" s="189">
        <v>1936</v>
      </c>
      <c r="J227" s="424"/>
      <c r="K227" s="26" t="s">
        <v>257</v>
      </c>
      <c r="L227" s="26">
        <v>15</v>
      </c>
      <c r="M227" s="97">
        <f t="shared" si="25"/>
        <v>0</v>
      </c>
      <c r="N227" s="97" t="str">
        <f t="shared" si="26"/>
        <v>Nye tiltak</v>
      </c>
      <c r="O227" s="97"/>
      <c r="P227" s="26"/>
    </row>
    <row r="228" spans="1:16" s="36" customFormat="1" x14ac:dyDescent="0.25">
      <c r="A228" s="70" t="s">
        <v>8</v>
      </c>
      <c r="B228" s="76" t="str">
        <f t="shared" si="24"/>
        <v>F16</v>
      </c>
      <c r="C228" s="82" t="s">
        <v>273</v>
      </c>
      <c r="D228" s="70" t="s">
        <v>108</v>
      </c>
      <c r="E228" s="69" t="s">
        <v>46</v>
      </c>
      <c r="F228" s="189">
        <v>1880</v>
      </c>
      <c r="G228" s="189">
        <v>1880</v>
      </c>
      <c r="H228" s="189">
        <v>1880</v>
      </c>
      <c r="I228" s="189">
        <v>1880</v>
      </c>
      <c r="J228" s="414" t="s">
        <v>274</v>
      </c>
      <c r="K228" s="26" t="s">
        <v>257</v>
      </c>
      <c r="L228" s="26">
        <f t="shared" si="27"/>
        <v>16</v>
      </c>
      <c r="M228" s="97">
        <f t="shared" si="25"/>
        <v>0</v>
      </c>
      <c r="N228" s="97" t="str">
        <f t="shared" si="26"/>
        <v>Nye tiltak</v>
      </c>
      <c r="O228" s="97"/>
      <c r="P228" s="26"/>
    </row>
    <row r="229" spans="1:16" s="36" customFormat="1" ht="25.5" x14ac:dyDescent="0.25">
      <c r="A229" s="70" t="s">
        <v>8</v>
      </c>
      <c r="B229" s="76" t="str">
        <f t="shared" si="24"/>
        <v>F17</v>
      </c>
      <c r="C229" s="82" t="s">
        <v>375</v>
      </c>
      <c r="D229" s="70" t="s">
        <v>108</v>
      </c>
      <c r="E229" s="69" t="s">
        <v>46</v>
      </c>
      <c r="F229" s="189">
        <v>-1880</v>
      </c>
      <c r="G229" s="189"/>
      <c r="H229" s="189"/>
      <c r="I229" s="189"/>
      <c r="J229" s="414" t="s">
        <v>276</v>
      </c>
      <c r="K229" s="26" t="s">
        <v>257</v>
      </c>
      <c r="L229" s="26">
        <f t="shared" si="27"/>
        <v>17</v>
      </c>
      <c r="M229" s="97">
        <f t="shared" si="25"/>
        <v>0</v>
      </c>
      <c r="N229" s="97" t="str">
        <f t="shared" si="26"/>
        <v>Nye tiltak</v>
      </c>
      <c r="O229" s="97"/>
      <c r="P229" s="26"/>
    </row>
    <row r="230" spans="1:16" s="36" customFormat="1" ht="90" x14ac:dyDescent="0.25">
      <c r="A230" s="70" t="s">
        <v>8</v>
      </c>
      <c r="B230" s="76" t="str">
        <f t="shared" si="24"/>
        <v>F18</v>
      </c>
      <c r="C230" s="82" t="s">
        <v>376</v>
      </c>
      <c r="D230" s="70" t="s">
        <v>108</v>
      </c>
      <c r="E230" s="69" t="s">
        <v>277</v>
      </c>
      <c r="F230" s="288">
        <v>-800</v>
      </c>
      <c r="G230" s="288">
        <v>0</v>
      </c>
      <c r="H230" s="288">
        <v>-1300</v>
      </c>
      <c r="I230" s="288">
        <v>-1300</v>
      </c>
      <c r="J230" s="505" t="s">
        <v>278</v>
      </c>
      <c r="K230" s="26" t="s">
        <v>257</v>
      </c>
      <c r="L230" s="26">
        <f t="shared" si="27"/>
        <v>18</v>
      </c>
      <c r="M230" s="97">
        <f t="shared" si="25"/>
        <v>0</v>
      </c>
      <c r="N230" s="97">
        <f t="shared" si="26"/>
        <v>0</v>
      </c>
      <c r="O230" s="97"/>
      <c r="P230" s="26"/>
    </row>
    <row r="231" spans="1:16" s="36" customFormat="1" x14ac:dyDescent="0.25">
      <c r="A231" s="70" t="s">
        <v>8</v>
      </c>
      <c r="B231" s="76" t="str">
        <f t="shared" si="24"/>
        <v>F19</v>
      </c>
      <c r="C231" s="384" t="s">
        <v>279</v>
      </c>
      <c r="D231" s="70" t="s">
        <v>108</v>
      </c>
      <c r="E231" s="69" t="s">
        <v>46</v>
      </c>
      <c r="F231" s="189">
        <v>450</v>
      </c>
      <c r="G231" s="189">
        <v>450</v>
      </c>
      <c r="H231" s="189">
        <v>450</v>
      </c>
      <c r="I231" s="189">
        <v>450</v>
      </c>
      <c r="J231" s="414" t="s">
        <v>280</v>
      </c>
      <c r="K231" s="26" t="s">
        <v>257</v>
      </c>
      <c r="L231" s="26">
        <f t="shared" si="27"/>
        <v>19</v>
      </c>
      <c r="M231" s="97"/>
      <c r="N231" s="97"/>
      <c r="O231" s="97"/>
      <c r="P231" s="26"/>
    </row>
    <row r="232" spans="1:16" s="36" customFormat="1" ht="33.75" x14ac:dyDescent="0.25">
      <c r="A232" s="70" t="s">
        <v>8</v>
      </c>
      <c r="B232" s="76" t="str">
        <f t="shared" si="24"/>
        <v>F20</v>
      </c>
      <c r="C232" s="82" t="s">
        <v>281</v>
      </c>
      <c r="D232" s="70" t="s">
        <v>108</v>
      </c>
      <c r="E232" s="69" t="s">
        <v>46</v>
      </c>
      <c r="F232" s="506">
        <f>1030+600</f>
        <v>1630</v>
      </c>
      <c r="G232" s="506">
        <f>1030+600</f>
        <v>1630</v>
      </c>
      <c r="H232" s="506">
        <f>1030+600</f>
        <v>1630</v>
      </c>
      <c r="I232" s="506">
        <f>1030+600</f>
        <v>1630</v>
      </c>
      <c r="J232" s="505" t="s">
        <v>282</v>
      </c>
      <c r="K232" s="26" t="s">
        <v>257</v>
      </c>
      <c r="L232" s="26">
        <f t="shared" si="27"/>
        <v>20</v>
      </c>
      <c r="M232" s="97"/>
      <c r="N232" s="97"/>
      <c r="O232" s="97"/>
      <c r="P232" s="26"/>
    </row>
    <row r="233" spans="1:16" s="36" customFormat="1" ht="22.5" x14ac:dyDescent="0.25">
      <c r="A233" s="70" t="s">
        <v>8</v>
      </c>
      <c r="B233" s="76" t="str">
        <f t="shared" si="24"/>
        <v>F21</v>
      </c>
      <c r="C233" s="82" t="s">
        <v>283</v>
      </c>
      <c r="D233" s="70" t="s">
        <v>108</v>
      </c>
      <c r="E233" s="69" t="s">
        <v>46</v>
      </c>
      <c r="F233" s="507">
        <v>550</v>
      </c>
      <c r="G233" s="507">
        <v>550</v>
      </c>
      <c r="H233" s="507">
        <v>550</v>
      </c>
      <c r="I233" s="507">
        <v>550</v>
      </c>
      <c r="J233" s="505" t="s">
        <v>284</v>
      </c>
      <c r="K233" s="26" t="s">
        <v>257</v>
      </c>
      <c r="L233" s="26">
        <f t="shared" si="27"/>
        <v>21</v>
      </c>
      <c r="M233" s="97"/>
      <c r="N233" s="97"/>
      <c r="O233" s="97"/>
      <c r="P233" s="26"/>
    </row>
    <row r="234" spans="1:16" s="36" customFormat="1" ht="33.75" x14ac:dyDescent="0.25">
      <c r="A234" s="70" t="s">
        <v>8</v>
      </c>
      <c r="B234" s="76" t="str">
        <f t="shared" si="24"/>
        <v>F22</v>
      </c>
      <c r="C234" s="82" t="s">
        <v>285</v>
      </c>
      <c r="D234" s="70" t="s">
        <v>108</v>
      </c>
      <c r="E234" s="69" t="s">
        <v>46</v>
      </c>
      <c r="F234" s="507">
        <v>850</v>
      </c>
      <c r="G234" s="507">
        <v>850</v>
      </c>
      <c r="H234" s="507">
        <v>850</v>
      </c>
      <c r="I234" s="507">
        <v>850</v>
      </c>
      <c r="J234" s="505" t="s">
        <v>286</v>
      </c>
      <c r="K234" s="26" t="s">
        <v>257</v>
      </c>
      <c r="L234" s="26">
        <f t="shared" si="27"/>
        <v>22</v>
      </c>
      <c r="M234" s="97">
        <f>IF(E234="VEDTATT","VEDTATT",0)</f>
        <v>0</v>
      </c>
      <c r="N234" s="97" t="str">
        <f>IF(E234="MÅ","Nye tiltak",0)</f>
        <v>Nye tiltak</v>
      </c>
      <c r="O234" s="97"/>
      <c r="P234" s="26"/>
    </row>
    <row r="235" spans="1:16" s="36" customFormat="1" x14ac:dyDescent="0.25">
      <c r="A235" s="70"/>
      <c r="B235" s="76" t="str">
        <f t="shared" si="24"/>
        <v/>
      </c>
      <c r="C235" s="80" t="s">
        <v>287</v>
      </c>
      <c r="D235" s="81"/>
      <c r="E235" s="69"/>
      <c r="F235" s="4">
        <f>F210</f>
        <v>2022</v>
      </c>
      <c r="G235" s="4">
        <f>F235+1</f>
        <v>2023</v>
      </c>
      <c r="H235" s="4">
        <f>G235+1</f>
        <v>2024</v>
      </c>
      <c r="I235" s="4">
        <f>H235+1</f>
        <v>2025</v>
      </c>
      <c r="J235" s="412"/>
      <c r="K235" s="335"/>
      <c r="L235" s="335"/>
      <c r="M235" s="97"/>
      <c r="N235" s="97"/>
      <c r="O235" s="97"/>
      <c r="P235" s="26"/>
    </row>
    <row r="236" spans="1:16" s="36" customFormat="1" x14ac:dyDescent="0.25">
      <c r="A236" s="70" t="s">
        <v>8</v>
      </c>
      <c r="B236" s="76" t="str">
        <f t="shared" si="24"/>
        <v>F23</v>
      </c>
      <c r="C236" s="36" t="s">
        <v>288</v>
      </c>
      <c r="D236" s="70" t="s">
        <v>105</v>
      </c>
      <c r="E236" s="69" t="s">
        <v>98</v>
      </c>
      <c r="F236" s="68"/>
      <c r="G236" s="189">
        <v>2430</v>
      </c>
      <c r="H236" s="189"/>
      <c r="I236" s="189">
        <v>0</v>
      </c>
      <c r="J236" s="412"/>
      <c r="K236" s="26" t="s">
        <v>257</v>
      </c>
      <c r="L236" s="26">
        <f>L234+1</f>
        <v>23</v>
      </c>
      <c r="M236" s="97" t="str">
        <f>IF(E236="VEDTATT","VEDTATT",0)</f>
        <v>VEDTATT</v>
      </c>
      <c r="N236" s="97">
        <f>IF(E236="MÅ","Nye tiltak",0)</f>
        <v>0</v>
      </c>
      <c r="O236" s="97"/>
      <c r="P236" s="26"/>
    </row>
    <row r="237" spans="1:16" s="36" customFormat="1" ht="30" x14ac:dyDescent="0.25">
      <c r="A237" s="70" t="s">
        <v>8</v>
      </c>
      <c r="B237" s="76" t="str">
        <f t="shared" si="24"/>
        <v>F24</v>
      </c>
      <c r="C237" s="293" t="s">
        <v>377</v>
      </c>
      <c r="D237" s="70" t="s">
        <v>105</v>
      </c>
      <c r="E237" s="69" t="s">
        <v>98</v>
      </c>
      <c r="F237" s="68"/>
      <c r="G237" s="189">
        <v>400</v>
      </c>
      <c r="H237" s="189"/>
      <c r="I237" s="189">
        <v>0</v>
      </c>
      <c r="J237" s="412"/>
      <c r="K237" s="26" t="s">
        <v>257</v>
      </c>
      <c r="L237" s="26">
        <f t="shared" ref="L237:L246" si="28">+L236+1</f>
        <v>24</v>
      </c>
      <c r="M237" s="97" t="str">
        <f>IF(E237="VEDTATT","VEDTATT",0)</f>
        <v>VEDTATT</v>
      </c>
      <c r="N237" s="97">
        <f>IF(E237="MÅ","Nye tiltak",0)</f>
        <v>0</v>
      </c>
      <c r="O237" s="97"/>
      <c r="P237" s="26"/>
    </row>
    <row r="238" spans="1:16" s="36" customFormat="1" x14ac:dyDescent="0.25">
      <c r="A238" s="70" t="s">
        <v>8</v>
      </c>
      <c r="B238" s="76" t="str">
        <f t="shared" si="24"/>
        <v>F25</v>
      </c>
      <c r="C238" s="36" t="s">
        <v>290</v>
      </c>
      <c r="D238" s="70" t="s">
        <v>105</v>
      </c>
      <c r="E238" s="69" t="s">
        <v>98</v>
      </c>
      <c r="F238" s="68"/>
      <c r="G238" s="189">
        <v>300</v>
      </c>
      <c r="H238" s="189"/>
      <c r="I238" s="189">
        <v>0</v>
      </c>
      <c r="J238" s="412"/>
      <c r="K238" s="26" t="s">
        <v>257</v>
      </c>
      <c r="L238" s="26">
        <f t="shared" si="28"/>
        <v>25</v>
      </c>
      <c r="M238" s="97" t="str">
        <f>IF(E238="VEDTATT","VEDTATT",0)</f>
        <v>VEDTATT</v>
      </c>
      <c r="N238" s="97">
        <f>IF(E238="MÅ","Nye tiltak",0)</f>
        <v>0</v>
      </c>
      <c r="O238" s="97"/>
      <c r="P238" s="26"/>
    </row>
    <row r="239" spans="1:16" s="36" customFormat="1" x14ac:dyDescent="0.25">
      <c r="A239" s="70" t="s">
        <v>8</v>
      </c>
      <c r="B239" s="76" t="str">
        <f t="shared" si="24"/>
        <v>F26</v>
      </c>
      <c r="C239" s="36" t="s">
        <v>291</v>
      </c>
      <c r="D239" s="70" t="s">
        <v>105</v>
      </c>
      <c r="E239" s="69" t="s">
        <v>98</v>
      </c>
      <c r="F239" s="68"/>
      <c r="G239" s="189">
        <v>200</v>
      </c>
      <c r="H239" s="189"/>
      <c r="I239" s="189">
        <v>0</v>
      </c>
      <c r="J239" s="412"/>
      <c r="K239" s="26" t="s">
        <v>257</v>
      </c>
      <c r="L239" s="26">
        <f t="shared" si="28"/>
        <v>26</v>
      </c>
      <c r="M239" s="97" t="str">
        <f>IF(E239="VEDTATT","VEDTATT",0)</f>
        <v>VEDTATT</v>
      </c>
      <c r="N239" s="97">
        <f>IF(E239="MÅ","Nye tiltak",0)</f>
        <v>0</v>
      </c>
      <c r="O239" s="97"/>
      <c r="P239" s="26"/>
    </row>
    <row r="240" spans="1:16" s="36" customFormat="1" x14ac:dyDescent="0.25">
      <c r="A240" s="70" t="s">
        <v>8</v>
      </c>
      <c r="B240" s="76" t="str">
        <f t="shared" ref="B240:B258" si="29">IF(L240,K240&amp;L240,"")</f>
        <v>F27</v>
      </c>
      <c r="C240" s="36" t="s">
        <v>292</v>
      </c>
      <c r="D240" s="77" t="s">
        <v>105</v>
      </c>
      <c r="E240" s="69" t="s">
        <v>98</v>
      </c>
      <c r="F240" s="189"/>
      <c r="G240" s="189">
        <v>-2000</v>
      </c>
      <c r="H240" s="189">
        <v>-2000</v>
      </c>
      <c r="I240" s="189">
        <v>-2000</v>
      </c>
      <c r="J240" s="412" t="s">
        <v>293</v>
      </c>
      <c r="K240" s="26" t="s">
        <v>257</v>
      </c>
      <c r="L240" s="26">
        <f t="shared" si="28"/>
        <v>27</v>
      </c>
      <c r="M240" s="97" t="str">
        <f>IF(E240="VEDTATT","VEDTATT",0)</f>
        <v>VEDTATT</v>
      </c>
      <c r="N240" s="97">
        <f>IF(E240="MÅ","Nye tiltak",0)</f>
        <v>0</v>
      </c>
      <c r="O240" s="97"/>
      <c r="P240" s="26"/>
    </row>
    <row r="241" spans="1:16" s="36" customFormat="1" x14ac:dyDescent="0.25">
      <c r="A241" s="70" t="s">
        <v>8</v>
      </c>
      <c r="B241" s="76" t="str">
        <f t="shared" si="29"/>
        <v>F28</v>
      </c>
      <c r="C241" s="36" t="s">
        <v>288</v>
      </c>
      <c r="D241" s="77" t="s">
        <v>108</v>
      </c>
      <c r="E241" s="69" t="s">
        <v>46</v>
      </c>
      <c r="F241" s="189"/>
      <c r="G241" s="189"/>
      <c r="H241" s="189"/>
      <c r="I241" s="189">
        <v>2430</v>
      </c>
      <c r="J241" s="412"/>
      <c r="K241" s="26" t="s">
        <v>257</v>
      </c>
      <c r="L241" s="26">
        <f t="shared" si="28"/>
        <v>28</v>
      </c>
      <c r="M241" s="97"/>
      <c r="N241" s="97"/>
      <c r="O241" s="97"/>
      <c r="P241" s="26"/>
    </row>
    <row r="242" spans="1:16" s="36" customFormat="1" x14ac:dyDescent="0.25">
      <c r="A242" s="70" t="s">
        <v>8</v>
      </c>
      <c r="B242" s="76" t="str">
        <f t="shared" si="29"/>
        <v>F29</v>
      </c>
      <c r="C242" s="36" t="s">
        <v>378</v>
      </c>
      <c r="D242" s="77" t="s">
        <v>108</v>
      </c>
      <c r="E242" s="69" t="s">
        <v>46</v>
      </c>
      <c r="F242" s="189"/>
      <c r="G242" s="189"/>
      <c r="H242" s="189"/>
      <c r="I242" s="189">
        <v>400</v>
      </c>
      <c r="J242" s="412"/>
      <c r="K242" s="26" t="s">
        <v>257</v>
      </c>
      <c r="L242" s="26">
        <f t="shared" si="28"/>
        <v>29</v>
      </c>
      <c r="M242" s="97"/>
      <c r="N242" s="97"/>
      <c r="O242" s="97"/>
      <c r="P242" s="26"/>
    </row>
    <row r="243" spans="1:16" s="36" customFormat="1" x14ac:dyDescent="0.25">
      <c r="A243" s="70" t="s">
        <v>8</v>
      </c>
      <c r="B243" s="76" t="str">
        <f t="shared" si="29"/>
        <v>F30</v>
      </c>
      <c r="C243" s="36" t="s">
        <v>294</v>
      </c>
      <c r="D243" s="77" t="s">
        <v>108</v>
      </c>
      <c r="E243" s="69" t="s">
        <v>46</v>
      </c>
      <c r="F243" s="189"/>
      <c r="G243" s="189">
        <v>400</v>
      </c>
      <c r="H243" s="189"/>
      <c r="I243" s="189">
        <v>400</v>
      </c>
      <c r="J243" s="412"/>
      <c r="K243" s="26" t="s">
        <v>257</v>
      </c>
      <c r="L243" s="26">
        <f t="shared" si="28"/>
        <v>30</v>
      </c>
      <c r="M243" s="97"/>
      <c r="N243" s="97"/>
      <c r="O243" s="97"/>
      <c r="P243" s="26"/>
    </row>
    <row r="244" spans="1:16" s="36" customFormat="1" x14ac:dyDescent="0.25">
      <c r="A244" s="70" t="s">
        <v>8</v>
      </c>
      <c r="B244" s="76" t="str">
        <f t="shared" si="29"/>
        <v>F31</v>
      </c>
      <c r="C244" s="36" t="s">
        <v>295</v>
      </c>
      <c r="D244" s="77" t="s">
        <v>108</v>
      </c>
      <c r="E244" s="69" t="s">
        <v>46</v>
      </c>
      <c r="F244" s="189"/>
      <c r="G244" s="189">
        <v>300</v>
      </c>
      <c r="H244" s="189"/>
      <c r="I244" s="189">
        <v>300</v>
      </c>
      <c r="J244" s="412"/>
      <c r="K244" s="26" t="s">
        <v>257</v>
      </c>
      <c r="L244" s="26">
        <f t="shared" si="28"/>
        <v>31</v>
      </c>
      <c r="M244" s="97">
        <f>IF(E244="VEDTATT","VEDTATT",0)</f>
        <v>0</v>
      </c>
      <c r="N244" s="97" t="str">
        <f>IF(E244="MÅ","Nye tiltak",0)</f>
        <v>Nye tiltak</v>
      </c>
      <c r="O244" s="97"/>
      <c r="P244" s="26"/>
    </row>
    <row r="245" spans="1:16" s="36" customFormat="1" x14ac:dyDescent="0.25">
      <c r="A245" s="70" t="s">
        <v>8</v>
      </c>
      <c r="B245" s="76" t="str">
        <f t="shared" si="29"/>
        <v>F32</v>
      </c>
      <c r="C245" s="291" t="s">
        <v>379</v>
      </c>
      <c r="D245" s="77" t="s">
        <v>108</v>
      </c>
      <c r="E245" s="69" t="s">
        <v>46</v>
      </c>
      <c r="F245" s="189">
        <v>50</v>
      </c>
      <c r="G245" s="189">
        <v>50</v>
      </c>
      <c r="H245" s="189">
        <v>50</v>
      </c>
      <c r="I245" s="189">
        <v>50</v>
      </c>
      <c r="J245" s="412"/>
      <c r="K245" s="26" t="s">
        <v>257</v>
      </c>
      <c r="L245" s="26">
        <f t="shared" si="28"/>
        <v>32</v>
      </c>
      <c r="M245" s="97"/>
      <c r="N245" s="97"/>
      <c r="O245" s="97"/>
      <c r="P245" s="26"/>
    </row>
    <row r="246" spans="1:16" s="36" customFormat="1" x14ac:dyDescent="0.25">
      <c r="A246" s="70" t="s">
        <v>8</v>
      </c>
      <c r="B246" s="76" t="str">
        <f t="shared" si="29"/>
        <v>F33</v>
      </c>
      <c r="C246" s="291" t="s">
        <v>297</v>
      </c>
      <c r="D246" s="77" t="s">
        <v>108</v>
      </c>
      <c r="E246" s="403" t="s">
        <v>46</v>
      </c>
      <c r="F246" s="189"/>
      <c r="G246" s="189"/>
      <c r="H246" s="189">
        <v>1000</v>
      </c>
      <c r="I246" s="189"/>
      <c r="J246" s="412"/>
      <c r="K246" s="26" t="s">
        <v>257</v>
      </c>
      <c r="L246" s="26">
        <f t="shared" si="28"/>
        <v>33</v>
      </c>
      <c r="M246" s="97"/>
      <c r="N246" s="97"/>
      <c r="O246" s="97"/>
      <c r="P246" s="26"/>
    </row>
    <row r="247" spans="1:16" s="36" customFormat="1" x14ac:dyDescent="0.25">
      <c r="A247" s="70"/>
      <c r="B247" s="76" t="str">
        <f t="shared" si="29"/>
        <v/>
      </c>
      <c r="C247" s="80" t="s">
        <v>298</v>
      </c>
      <c r="D247" s="386"/>
      <c r="E247" s="69"/>
      <c r="F247" s="387"/>
      <c r="G247" s="387"/>
      <c r="H247" s="387"/>
      <c r="I247" s="387"/>
      <c r="J247" s="412"/>
      <c r="M247" s="97"/>
      <c r="N247" s="97"/>
      <c r="O247" s="97"/>
      <c r="P247" s="26"/>
    </row>
    <row r="248" spans="1:16" s="36" customFormat="1" x14ac:dyDescent="0.25">
      <c r="A248" s="70" t="s">
        <v>8</v>
      </c>
      <c r="B248" s="76" t="str">
        <f t="shared" si="29"/>
        <v>F34</v>
      </c>
      <c r="C248" s="82" t="s">
        <v>299</v>
      </c>
      <c r="D248" s="70" t="s">
        <v>97</v>
      </c>
      <c r="E248" s="69" t="s">
        <v>98</v>
      </c>
      <c r="F248" s="501">
        <v>-22250</v>
      </c>
      <c r="G248" s="501">
        <v>-23950</v>
      </c>
      <c r="H248" s="501">
        <v>-23950</v>
      </c>
      <c r="I248" s="501">
        <v>-23950</v>
      </c>
      <c r="J248" s="503" t="s">
        <v>300</v>
      </c>
      <c r="K248" s="26" t="s">
        <v>257</v>
      </c>
      <c r="L248" s="26">
        <f>L246+1</f>
        <v>34</v>
      </c>
      <c r="M248" s="97" t="str">
        <f>IF(E248="VEDTATT","VEDTATT",0)</f>
        <v>VEDTATT</v>
      </c>
      <c r="N248" s="97">
        <f>IF(E248="MÅ","Nye tiltak",0)</f>
        <v>0</v>
      </c>
      <c r="O248" s="97"/>
      <c r="P248" s="26"/>
    </row>
    <row r="249" spans="1:16" s="36" customFormat="1" x14ac:dyDescent="0.25">
      <c r="A249" s="70" t="s">
        <v>8</v>
      </c>
      <c r="B249" s="76" t="str">
        <f t="shared" si="29"/>
        <v>F35</v>
      </c>
      <c r="C249" s="82" t="s">
        <v>301</v>
      </c>
      <c r="D249" s="70" t="s">
        <v>97</v>
      </c>
      <c r="E249" s="69" t="s">
        <v>98</v>
      </c>
      <c r="F249" s="504">
        <v>-4210</v>
      </c>
      <c r="G249" s="504">
        <v>-16430</v>
      </c>
      <c r="H249" s="504">
        <v>-31250</v>
      </c>
      <c r="I249" s="504">
        <v>-37308</v>
      </c>
      <c r="J249" s="503" t="s">
        <v>300</v>
      </c>
      <c r="K249" s="26" t="s">
        <v>257</v>
      </c>
      <c r="L249" s="26">
        <f t="shared" ref="L249:L255" si="30">+L248+1</f>
        <v>35</v>
      </c>
      <c r="M249" s="97" t="str">
        <f>IF(E249="VEDTATT","VEDTATT",0)</f>
        <v>VEDTATT</v>
      </c>
      <c r="N249" s="97">
        <f>IF(E249="MÅ","Nye tiltak",0)</f>
        <v>0</v>
      </c>
      <c r="O249" s="97"/>
      <c r="P249" s="26"/>
    </row>
    <row r="250" spans="1:16" s="36" customFormat="1" x14ac:dyDescent="0.25">
      <c r="A250" s="70" t="s">
        <v>8</v>
      </c>
      <c r="B250" s="76" t="str">
        <f t="shared" si="29"/>
        <v>F36</v>
      </c>
      <c r="C250" s="82" t="s">
        <v>380</v>
      </c>
      <c r="D250" s="70" t="s">
        <v>97</v>
      </c>
      <c r="E250" s="69" t="s">
        <v>98</v>
      </c>
      <c r="F250" s="501">
        <v>-2550</v>
      </c>
      <c r="G250" s="501">
        <v>-2550</v>
      </c>
      <c r="H250" s="501">
        <v>-2550</v>
      </c>
      <c r="I250" s="501">
        <v>-2550</v>
      </c>
      <c r="J250" s="503" t="s">
        <v>303</v>
      </c>
      <c r="K250" s="26" t="s">
        <v>257</v>
      </c>
      <c r="L250" s="26">
        <f t="shared" si="30"/>
        <v>36</v>
      </c>
      <c r="M250" s="97" t="str">
        <f>IF(E250="VEDTATT","VEDTATT",0)</f>
        <v>VEDTATT</v>
      </c>
      <c r="N250" s="97">
        <f>IF(E250="MÅ","Nye tiltak",0)</f>
        <v>0</v>
      </c>
      <c r="O250" s="97"/>
      <c r="P250" s="26"/>
    </row>
    <row r="251" spans="1:16" s="36" customFormat="1" x14ac:dyDescent="0.25">
      <c r="A251" s="70" t="s">
        <v>8</v>
      </c>
      <c r="B251" s="76" t="str">
        <f t="shared" si="29"/>
        <v>F37</v>
      </c>
      <c r="C251" s="82" t="s">
        <v>304</v>
      </c>
      <c r="D251" s="70" t="s">
        <v>97</v>
      </c>
      <c r="E251" s="69" t="s">
        <v>98</v>
      </c>
      <c r="F251" s="501">
        <v>-4420</v>
      </c>
      <c r="G251" s="501">
        <v>-4420</v>
      </c>
      <c r="H251" s="501">
        <v>-4420</v>
      </c>
      <c r="I251" s="501">
        <v>-4420</v>
      </c>
      <c r="J251" s="503" t="s">
        <v>300</v>
      </c>
      <c r="K251" s="26" t="s">
        <v>257</v>
      </c>
      <c r="L251" s="26">
        <f t="shared" si="30"/>
        <v>37</v>
      </c>
      <c r="M251" s="97" t="str">
        <f>IF(E251="VEDTATT","VEDTATT",0)</f>
        <v>VEDTATT</v>
      </c>
      <c r="N251" s="97">
        <f>IF(E251="MÅ","Nye tiltak",0)</f>
        <v>0</v>
      </c>
      <c r="O251" s="97"/>
      <c r="P251" s="26"/>
    </row>
    <row r="252" spans="1:16" s="36" customFormat="1" x14ac:dyDescent="0.25">
      <c r="A252" s="70" t="s">
        <v>8</v>
      </c>
      <c r="B252" s="76" t="str">
        <f t="shared" si="29"/>
        <v>F38</v>
      </c>
      <c r="C252" s="82" t="s">
        <v>381</v>
      </c>
      <c r="D252" s="70" t="s">
        <v>97</v>
      </c>
      <c r="E252" s="59" t="s">
        <v>98</v>
      </c>
      <c r="F252" s="88">
        <v>35700</v>
      </c>
      <c r="G252" s="88">
        <v>50700</v>
      </c>
      <c r="H252" s="88">
        <v>63700</v>
      </c>
      <c r="I252" s="88">
        <v>72700</v>
      </c>
      <c r="J252" s="417" t="s">
        <v>306</v>
      </c>
      <c r="K252" s="26" t="s">
        <v>257</v>
      </c>
      <c r="L252" s="26">
        <f t="shared" si="30"/>
        <v>38</v>
      </c>
      <c r="M252" s="97"/>
      <c r="N252" s="97"/>
      <c r="O252" s="97"/>
      <c r="P252" s="26"/>
    </row>
    <row r="253" spans="1:16" s="36" customFormat="1" x14ac:dyDescent="0.25">
      <c r="A253" s="70" t="s">
        <v>8</v>
      </c>
      <c r="B253" s="76" t="str">
        <f t="shared" si="29"/>
        <v>F39</v>
      </c>
      <c r="C253" s="82" t="s">
        <v>382</v>
      </c>
      <c r="D253" s="70" t="s">
        <v>97</v>
      </c>
      <c r="E253" s="69" t="s">
        <v>98</v>
      </c>
      <c r="F253" s="88">
        <v>-35700</v>
      </c>
      <c r="G253" s="88">
        <v>-50700</v>
      </c>
      <c r="H253" s="88">
        <v>-63700</v>
      </c>
      <c r="I253" s="88">
        <v>-72700</v>
      </c>
      <c r="J253" s="417" t="s">
        <v>306</v>
      </c>
      <c r="K253" s="26" t="s">
        <v>257</v>
      </c>
      <c r="L253" s="26">
        <f t="shared" si="30"/>
        <v>39</v>
      </c>
      <c r="M253" s="97"/>
      <c r="N253" s="97"/>
      <c r="O253" s="97"/>
      <c r="P253" s="26"/>
    </row>
    <row r="254" spans="1:16" s="36" customFormat="1" x14ac:dyDescent="0.25">
      <c r="A254" s="70" t="s">
        <v>8</v>
      </c>
      <c r="B254" s="76" t="str">
        <f t="shared" si="29"/>
        <v>F40</v>
      </c>
      <c r="C254" s="82" t="s">
        <v>304</v>
      </c>
      <c r="D254" s="70" t="s">
        <v>97</v>
      </c>
      <c r="E254" s="69" t="s">
        <v>98</v>
      </c>
      <c r="F254" s="88">
        <v>4420</v>
      </c>
      <c r="G254" s="88">
        <v>4420</v>
      </c>
      <c r="H254" s="88">
        <v>4420</v>
      </c>
      <c r="I254" s="88">
        <v>4420</v>
      </c>
      <c r="J254" s="417" t="s">
        <v>308</v>
      </c>
      <c r="K254" s="26" t="s">
        <v>257</v>
      </c>
      <c r="L254" s="26">
        <f t="shared" si="30"/>
        <v>40</v>
      </c>
      <c r="M254" s="97"/>
      <c r="N254" s="97"/>
      <c r="O254" s="97"/>
      <c r="P254" s="26"/>
    </row>
    <row r="255" spans="1:16" s="36" customFormat="1" ht="25.5" x14ac:dyDescent="0.25">
      <c r="A255" s="70" t="s">
        <v>8</v>
      </c>
      <c r="B255" s="76" t="str">
        <f t="shared" si="29"/>
        <v>F41</v>
      </c>
      <c r="C255" s="82" t="s">
        <v>309</v>
      </c>
      <c r="D255" s="70" t="s">
        <v>97</v>
      </c>
      <c r="E255" s="69" t="s">
        <v>98</v>
      </c>
      <c r="F255" s="88">
        <v>600</v>
      </c>
      <c r="G255" s="88">
        <v>600</v>
      </c>
      <c r="H255" s="88">
        <v>600</v>
      </c>
      <c r="I255" s="88">
        <v>600</v>
      </c>
      <c r="J255" s="417" t="s">
        <v>308</v>
      </c>
      <c r="K255" s="26" t="s">
        <v>257</v>
      </c>
      <c r="L255" s="26">
        <f t="shared" si="30"/>
        <v>41</v>
      </c>
      <c r="M255" s="97"/>
      <c r="N255" s="97"/>
      <c r="O255" s="97"/>
      <c r="P255" s="26"/>
    </row>
    <row r="256" spans="1:16" s="36" customFormat="1" x14ac:dyDescent="0.25">
      <c r="A256" s="70"/>
      <c r="B256" s="76"/>
      <c r="C256" s="82"/>
      <c r="D256" s="70"/>
      <c r="E256" s="69"/>
      <c r="F256" s="88"/>
      <c r="G256" s="88"/>
      <c r="H256" s="88"/>
      <c r="I256" s="88"/>
      <c r="J256" s="417"/>
      <c r="K256" s="26" t="s">
        <v>257</v>
      </c>
      <c r="L256" s="26">
        <f>+L255+1</f>
        <v>42</v>
      </c>
      <c r="M256" s="97"/>
      <c r="N256" s="97"/>
      <c r="O256" s="97"/>
      <c r="P256" s="26"/>
    </row>
    <row r="257" spans="1:16" s="36" customFormat="1" x14ac:dyDescent="0.25">
      <c r="A257" s="70"/>
      <c r="B257" s="76"/>
      <c r="C257" s="82"/>
      <c r="D257" s="70"/>
      <c r="E257" s="69"/>
      <c r="F257" s="88"/>
      <c r="G257" s="88"/>
      <c r="H257" s="88"/>
      <c r="I257" s="88"/>
      <c r="J257" s="412"/>
      <c r="K257" s="26" t="s">
        <v>257</v>
      </c>
      <c r="L257" s="26">
        <f>+L256+1</f>
        <v>43</v>
      </c>
      <c r="M257" s="97">
        <f>IF(E257="VEDTATT","VEDTATT",0)</f>
        <v>0</v>
      </c>
      <c r="N257" s="97">
        <f>IF(E257="MÅ","Nye tiltak",0)</f>
        <v>0</v>
      </c>
      <c r="O257" s="97"/>
      <c r="P257" s="26"/>
    </row>
    <row r="258" spans="1:16" s="36" customFormat="1" x14ac:dyDescent="0.25">
      <c r="A258" s="70"/>
      <c r="B258" s="76" t="str">
        <f t="shared" si="29"/>
        <v/>
      </c>
      <c r="C258" s="80"/>
      <c r="D258" s="81"/>
      <c r="E258" s="69"/>
      <c r="F258" s="189"/>
      <c r="G258" s="189"/>
      <c r="H258" s="189"/>
      <c r="I258" s="189"/>
      <c r="J258" s="412"/>
      <c r="K258" s="26"/>
      <c r="L258" s="26"/>
      <c r="M258" s="97"/>
      <c r="N258" s="97"/>
      <c r="O258" s="97"/>
      <c r="P258" s="26"/>
    </row>
    <row r="259" spans="1:16" s="36" customFormat="1" ht="30" x14ac:dyDescent="0.25">
      <c r="A259" s="41"/>
      <c r="B259" s="41" t="s">
        <v>152</v>
      </c>
      <c r="C259" s="3" t="s">
        <v>310</v>
      </c>
      <c r="D259" s="50"/>
      <c r="E259" s="50"/>
      <c r="F259" s="54">
        <f>SUMIF($A:$A,"KOM.FELLES",F:F)</f>
        <v>106082</v>
      </c>
      <c r="G259" s="54">
        <f>SUMIF($A:$A,"KOM.FELLES",G:G)</f>
        <v>97097</v>
      </c>
      <c r="H259" s="54">
        <f>SUMIF($A:$A,"KOM.FELLES",H:H)</f>
        <v>77372</v>
      </c>
      <c r="I259" s="54">
        <f>SUMIF($A:$A,"KOM.FELLES",I:I)</f>
        <v>73844</v>
      </c>
      <c r="J259" s="412"/>
      <c r="K259" s="335"/>
      <c r="L259" s="335"/>
      <c r="M259" s="97"/>
      <c r="N259" s="97"/>
      <c r="O259" s="97"/>
      <c r="P259" s="26"/>
    </row>
    <row r="260" spans="1:16" x14ac:dyDescent="0.25">
      <c r="K260" s="36"/>
      <c r="L260" s="36"/>
      <c r="M260"/>
      <c r="N260"/>
      <c r="O260"/>
    </row>
    <row r="262" spans="1:16" x14ac:dyDescent="0.25">
      <c r="E262" t="s">
        <v>311</v>
      </c>
      <c r="F262" s="254" t="e">
        <f>#REF!+#REF!+#REF!+#REF!</f>
        <v>#REF!</v>
      </c>
      <c r="G262" s="254" t="e">
        <f>#REF!+#REF!+#REF!+#REF!</f>
        <v>#REF!</v>
      </c>
      <c r="H262" s="254" t="e">
        <f>#REF!+#REF!+#REF!+#REF!</f>
        <v>#REF!</v>
      </c>
      <c r="I262" s="254"/>
    </row>
    <row r="263" spans="1:16" x14ac:dyDescent="0.25">
      <c r="E263" t="s">
        <v>312</v>
      </c>
      <c r="F263" s="254">
        <f>30987+13258+710+30241</f>
        <v>75196</v>
      </c>
      <c r="G263" s="254">
        <f>30987+29145+1313+30241</f>
        <v>91686</v>
      </c>
      <c r="H263" s="254">
        <f>30987+29145+1313+30241</f>
        <v>91686</v>
      </c>
      <c r="I263" s="254"/>
    </row>
    <row r="264" spans="1:16" x14ac:dyDescent="0.25">
      <c r="E264" s="200" t="s">
        <v>313</v>
      </c>
      <c r="F264" s="201" t="e">
        <f>F262-F263</f>
        <v>#REF!</v>
      </c>
      <c r="G264" s="201" t="e">
        <f>G262-G263</f>
        <v>#REF!</v>
      </c>
      <c r="H264" s="201" t="e">
        <f>H262-H263</f>
        <v>#REF!</v>
      </c>
      <c r="I264" s="346"/>
    </row>
    <row r="265" spans="1:16" x14ac:dyDescent="0.25">
      <c r="E265" t="s">
        <v>314</v>
      </c>
      <c r="F265" s="181">
        <f>-7929-3038</f>
        <v>-10967</v>
      </c>
      <c r="G265" s="181">
        <f>-9809-3549</f>
        <v>-13358</v>
      </c>
      <c r="H265" s="181">
        <f>-9809-3549</f>
        <v>-13358</v>
      </c>
      <c r="I265" s="181"/>
    </row>
    <row r="266" spans="1:16" x14ac:dyDescent="0.25">
      <c r="E266" s="200" t="s">
        <v>313</v>
      </c>
      <c r="F266" s="201" t="e">
        <f>F265-F264</f>
        <v>#REF!</v>
      </c>
      <c r="G266" s="201" t="e">
        <f>G265-G264</f>
        <v>#REF!</v>
      </c>
      <c r="H266" s="201" t="e">
        <f>H265-H264</f>
        <v>#REF!</v>
      </c>
      <c r="I266" s="346"/>
    </row>
    <row r="268" spans="1:16" x14ac:dyDescent="0.25">
      <c r="F268" s="254" t="e">
        <f>F73+F75+#REF!+#REF!+#REF!+#REF!+#REF!+#REF!+#REF!+#REF!+#REF!+F132+F134+#REF!+#REF!+#REF!+#REF!+#REF!+#REF!+#REF!</f>
        <v>#REF!</v>
      </c>
      <c r="G268" s="254" t="e">
        <f>G73+G75+#REF!+#REF!+#REF!+#REF!+#REF!+#REF!+#REF!+#REF!+#REF!+G132+G134+#REF!+#REF!+#REF!+#REF!+#REF!+#REF!+#REF!</f>
        <v>#REF!</v>
      </c>
      <c r="H268" s="254" t="e">
        <f>H73+H75+#REF!+#REF!+#REF!+#REF!+#REF!+#REF!+#REF!+#REF!+#REF!+H132+H134+#REF!+#REF!+#REF!+#REF!+#REF!+#REF!+#REF!</f>
        <v>#REF!</v>
      </c>
      <c r="I268" s="254"/>
    </row>
    <row r="273" spans="4:21" x14ac:dyDescent="0.25">
      <c r="F273" s="180"/>
      <c r="G273" s="180"/>
      <c r="H273" s="180"/>
      <c r="I273" s="180"/>
    </row>
    <row r="274" spans="4:21" x14ac:dyDescent="0.25">
      <c r="D274" s="254"/>
      <c r="E274" s="254"/>
      <c r="F274" s="254"/>
      <c r="G274" s="254"/>
      <c r="H274" s="254"/>
      <c r="I274" s="254"/>
      <c r="Q274" s="202"/>
      <c r="R274" s="203">
        <v>2019</v>
      </c>
      <c r="S274" s="203">
        <v>2020</v>
      </c>
      <c r="T274" s="203">
        <v>2021</v>
      </c>
      <c r="U274" s="203">
        <v>2022</v>
      </c>
    </row>
    <row r="275" spans="4:21" x14ac:dyDescent="0.25">
      <c r="F275" s="254"/>
      <c r="G275" s="254"/>
      <c r="H275" s="254"/>
      <c r="I275" s="254"/>
      <c r="Q275" s="347" t="s">
        <v>315</v>
      </c>
      <c r="R275" s="184" t="e">
        <f>#REF!+#REF!</f>
        <v>#REF!</v>
      </c>
      <c r="S275" s="184" t="e">
        <f>#REF!+#REF!</f>
        <v>#REF!</v>
      </c>
      <c r="T275" s="184" t="e">
        <f>#REF!+#REF!</f>
        <v>#REF!</v>
      </c>
      <c r="U275" s="184" t="e">
        <f>#REF!+#REF!</f>
        <v>#REF!</v>
      </c>
    </row>
    <row r="276" spans="4:21" x14ac:dyDescent="0.25">
      <c r="F276" s="254"/>
      <c r="G276" s="254"/>
      <c r="H276" s="254"/>
      <c r="I276" s="254"/>
      <c r="Q276" s="347" t="s">
        <v>316</v>
      </c>
      <c r="R276" s="184" t="e">
        <f>#REF!+#REF!</f>
        <v>#REF!</v>
      </c>
      <c r="S276" s="184" t="e">
        <f>#REF!+#REF!</f>
        <v>#REF!</v>
      </c>
      <c r="T276" s="184" t="e">
        <f>#REF!+#REF!</f>
        <v>#REF!</v>
      </c>
      <c r="U276" s="184" t="e">
        <f>#REF!+#REF!</f>
        <v>#REF!</v>
      </c>
    </row>
    <row r="277" spans="4:21" x14ac:dyDescent="0.25">
      <c r="F277" s="254"/>
      <c r="G277" s="254"/>
      <c r="H277" s="254"/>
      <c r="I277" s="254"/>
      <c r="Q277" s="347" t="s">
        <v>3</v>
      </c>
      <c r="R277" s="184" t="e">
        <f>#REF!+#REF!</f>
        <v>#REF!</v>
      </c>
      <c r="S277" s="184" t="e">
        <f>F122+#REF!</f>
        <v>#REF!</v>
      </c>
      <c r="T277" s="184" t="e">
        <f>G122+#REF!</f>
        <v>#REF!</v>
      </c>
      <c r="U277" s="184" t="e">
        <f>H122+#REF!</f>
        <v>#REF!</v>
      </c>
    </row>
    <row r="278" spans="4:21" x14ac:dyDescent="0.25">
      <c r="F278" s="254"/>
      <c r="G278" s="254"/>
      <c r="H278" s="254"/>
      <c r="I278" s="254"/>
      <c r="Q278" s="347" t="s">
        <v>317</v>
      </c>
      <c r="R278" s="184" t="e">
        <f>#REF!</f>
        <v>#REF!</v>
      </c>
      <c r="S278" s="184" t="e">
        <f>#REF!</f>
        <v>#REF!</v>
      </c>
      <c r="T278" s="184" t="e">
        <f>#REF!</f>
        <v>#REF!</v>
      </c>
      <c r="U278" s="184" t="e">
        <f>#REF!</f>
        <v>#REF!</v>
      </c>
    </row>
    <row r="279" spans="4:21" x14ac:dyDescent="0.25">
      <c r="F279" s="254"/>
      <c r="G279" s="254"/>
      <c r="H279" s="254"/>
      <c r="I279" s="254"/>
      <c r="Q279" s="347" t="s">
        <v>11</v>
      </c>
      <c r="R279" s="184" t="e">
        <f>#REF!+#REF!</f>
        <v>#REF!</v>
      </c>
      <c r="S279" s="184" t="e">
        <f>#REF!+#REF!</f>
        <v>#REF!</v>
      </c>
      <c r="T279" s="184" t="e">
        <f>#REF!+#REF!</f>
        <v>#REF!</v>
      </c>
      <c r="U279" s="184" t="e">
        <f>#REF!+#REF!</f>
        <v>#REF!</v>
      </c>
    </row>
    <row r="280" spans="4:21" x14ac:dyDescent="0.25">
      <c r="F280" s="254"/>
      <c r="G280" s="254"/>
      <c r="H280" s="254"/>
      <c r="I280" s="254"/>
      <c r="Q280" s="347" t="s">
        <v>12</v>
      </c>
      <c r="R280" s="184" t="e">
        <f>#REF!</f>
        <v>#REF!</v>
      </c>
      <c r="S280" s="184" t="e">
        <f>#REF!</f>
        <v>#REF!</v>
      </c>
      <c r="T280" s="184" t="e">
        <f>#REF!</f>
        <v>#REF!</v>
      </c>
      <c r="U280" s="184" t="e">
        <f>#REF!</f>
        <v>#REF!</v>
      </c>
    </row>
    <row r="281" spans="4:21" x14ac:dyDescent="0.25">
      <c r="F281" s="254"/>
      <c r="G281" s="254"/>
      <c r="H281" s="254"/>
      <c r="I281" s="254"/>
      <c r="Q281" s="347" t="s">
        <v>13</v>
      </c>
      <c r="R281" s="184" t="e">
        <f>#REF!</f>
        <v>#REF!</v>
      </c>
      <c r="S281" s="184" t="e">
        <f>#REF!</f>
        <v>#REF!</v>
      </c>
      <c r="T281" s="184" t="e">
        <f>#REF!</f>
        <v>#REF!</v>
      </c>
      <c r="U281" s="184" t="e">
        <f>#REF!</f>
        <v>#REF!</v>
      </c>
    </row>
    <row r="282" spans="4:21" ht="30" x14ac:dyDescent="0.25">
      <c r="Q282" s="347" t="s">
        <v>318</v>
      </c>
      <c r="R282" s="184" t="e">
        <f>#REF!+#REF!</f>
        <v>#REF!</v>
      </c>
      <c r="S282" s="184" t="e">
        <f>F209+#REF!</f>
        <v>#REF!</v>
      </c>
      <c r="T282" s="184" t="e">
        <f>G209+#REF!</f>
        <v>#REF!</v>
      </c>
      <c r="U282" s="184" t="e">
        <f>H209+#REF!</f>
        <v>#REF!</v>
      </c>
    </row>
    <row r="283" spans="4:21" x14ac:dyDescent="0.25">
      <c r="Q283" s="183" t="s">
        <v>319</v>
      </c>
      <c r="R283" s="185" t="e">
        <f>SUBTOTAL(9,R275:R282)</f>
        <v>#REF!</v>
      </c>
      <c r="S283" s="185" t="e">
        <f>SUBTOTAL(9,S275:S282)</f>
        <v>#REF!</v>
      </c>
      <c r="T283" s="185" t="e">
        <f>SUBTOTAL(9,T275:T282)</f>
        <v>#REF!</v>
      </c>
      <c r="U283" s="185" t="e">
        <f>SUBTOTAL(9,U275:U282)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1" type="noConversion"/>
  <conditionalFormatting sqref="F18:I18">
    <cfRule type="cellIs" dxfId="5" priority="2" operator="notEqual">
      <formula>0</formula>
    </cfRule>
  </conditionalFormatting>
  <conditionalFormatting sqref="I18">
    <cfRule type="cellIs" dxfId="4" priority="1" operator="notEqual">
      <formula>0</formula>
    </cfRule>
  </conditionalFormatting>
  <dataValidations count="1">
    <dataValidation type="list" allowBlank="1" showInputMessage="1" showErrorMessage="1" sqref="D179:D187 E185" xr:uid="{C2845CF1-82FD-4E3C-BF5E-57AD46C4FA10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22B1403-DFAA-4685-B8D8-6017D0A92F22}">
          <x14:formula1>
            <xm:f>#REF!</xm:f>
          </x14:formula1>
          <xm:sqref>E62:E67 E206:E207 E247 E130 E190 E258 E199 E141:E142 E146 E210 E235 E153 E157 E120 E135 E109:E110 E81:E82</xm:sqref>
        </x14:dataValidation>
        <x14:dataValidation type="list" allowBlank="1" showInputMessage="1" showErrorMessage="1" xr:uid="{4B27FEA3-DE6E-49B4-BDB0-ED5D599C10DE}">
          <x14:formula1>
            <xm:f>#REF!</xm:f>
          </x14:formula1>
          <xm:sqref>D62:D67 D146 D259:E259 D90:E90 D130 D139:D142 D197:D199 D204:D207 D210 D235 D247 D258 D151:D153 D157 D120 D135 D108:D110 D188:D190 E147:E149 D81:D82 E208:E209 E29:E61 E83:E89 E151:E152 E236:E246 E108 E131:E140 E211:E234 E91:E103 E111:E129 E143:E145 E154:E184 E186:E189 E200:E205 E256:F256 E248:E255 E257 E68:E80 E191:E198</xm:sqref>
        </x14:dataValidation>
        <x14:dataValidation type="list" allowBlank="1" showInputMessage="1" showErrorMessage="1" xr:uid="{030C57D2-8060-4489-B1A3-2BEBB577608D}">
          <x14:formula1>
            <xm:f>'C:\Users\lincbak\Desktop\[Kopi av Driftskostnader for nye bygg - tiltaksliste 2018-2021.xlsx]Div'!#REF!</xm:f>
          </x14:formula1>
          <xm:sqref>E150</xm:sqref>
        </x14:dataValidation>
        <x14:dataValidation type="list" allowBlank="1" showInputMessage="1" showErrorMessage="1" xr:uid="{431BF476-5358-40C1-8202-3292DA15F9AF}">
          <x14:formula1>
            <xm:f>#REF!</xm:f>
          </x14:formula1>
          <xm:sqref>D236:D246 D83:D89 D208:D209 D147:D150 D131:D138 D29:D61 D211:D234 D91:D103 D111:D129 D143:D145 D154:D178 D68:D80 D200:D203 D248:D257 D191:D196</xm:sqref>
        </x14:dataValidation>
        <x14:dataValidation type="list" allowBlank="1" showInputMessage="1" showErrorMessage="1" xr:uid="{C4442E11-1DB5-407A-BF8B-5B328E50058F}">
          <x14:formula1>
            <xm:f>#REF!</xm:f>
          </x14:formula1>
          <xm:sqref>A184:A259 A29:A67 A81:A82 A108:A182 A90</xm:sqref>
        </x14:dataValidation>
        <x14:dataValidation type="list" allowBlank="1" showInputMessage="1" showErrorMessage="1" xr:uid="{38B5FC59-1E44-40BF-A726-96F504569718}">
          <x14:formula1>
            <xm:f>#REF!</xm:f>
          </x14:formula1>
          <xm:sqref>A83:A89 A91:A107 A68:A73 A75:A80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1E84-7DE0-4404-8285-9E0917517607}">
  <sheetPr>
    <tabColor rgb="FFFF0000"/>
  </sheetPr>
  <dimension ref="A1:AW366"/>
  <sheetViews>
    <sheetView topLeftCell="A73" zoomScaleNormal="100" workbookViewId="0">
      <selection activeCell="G120" sqref="G120"/>
    </sheetView>
  </sheetViews>
  <sheetFormatPr baseColWidth="10" defaultColWidth="11.42578125" defaultRowHeight="15" x14ac:dyDescent="0.25"/>
  <cols>
    <col min="1" max="1" width="10.140625" customWidth="1"/>
    <col min="2" max="2" width="5" customWidth="1"/>
    <col min="3" max="3" width="65.285156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58.42578125" customWidth="1"/>
    <col min="11" max="11" width="7.42578125" style="26" customWidth="1"/>
    <col min="12" max="12" width="7.5703125" style="26" bestFit="1" customWidth="1"/>
    <col min="13" max="13" width="8.5703125" style="92" customWidth="1"/>
    <col min="14" max="14" width="9.5703125" style="92" customWidth="1"/>
    <col min="15" max="15" width="13.42578125" style="92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6" customFormat="1" ht="23.25" x14ac:dyDescent="0.25">
      <c r="A1" s="292" t="s">
        <v>0</v>
      </c>
      <c r="B1" s="293"/>
      <c r="C1" s="294"/>
      <c r="D1" s="91"/>
      <c r="E1" s="91"/>
      <c r="F1" s="292"/>
      <c r="G1" s="292"/>
      <c r="H1" s="292"/>
      <c r="I1" s="292"/>
      <c r="J1" s="284"/>
      <c r="K1" s="36"/>
      <c r="L1" s="36"/>
      <c r="M1" s="91"/>
      <c r="N1" s="49"/>
      <c r="O1" s="49"/>
      <c r="Q1" s="652" t="s">
        <v>1</v>
      </c>
      <c r="R1" s="652"/>
      <c r="S1" s="652"/>
      <c r="T1" s="652"/>
      <c r="U1" s="652" t="s">
        <v>2</v>
      </c>
      <c r="V1" s="652"/>
      <c r="W1" s="652"/>
      <c r="X1" s="652"/>
      <c r="Y1" s="652" t="s">
        <v>3</v>
      </c>
      <c r="Z1" s="652"/>
      <c r="AA1" s="652"/>
      <c r="AB1" s="652"/>
      <c r="AC1" s="652" t="s">
        <v>4</v>
      </c>
      <c r="AD1" s="652"/>
      <c r="AE1" s="652"/>
      <c r="AF1" s="652"/>
      <c r="AG1" s="652" t="s">
        <v>5</v>
      </c>
      <c r="AH1" s="652"/>
      <c r="AI1" s="652"/>
      <c r="AJ1" s="652"/>
      <c r="AK1" s="652" t="s">
        <v>6</v>
      </c>
      <c r="AL1" s="652"/>
      <c r="AM1" s="652"/>
      <c r="AN1" s="652"/>
      <c r="AO1" s="652" t="s">
        <v>7</v>
      </c>
      <c r="AP1" s="652"/>
      <c r="AQ1" s="652"/>
      <c r="AR1" s="652"/>
      <c r="AS1" s="652" t="s">
        <v>8</v>
      </c>
      <c r="AT1" s="652"/>
      <c r="AU1" s="652"/>
      <c r="AV1" s="652"/>
    </row>
    <row r="2" spans="1:48" s="26" customFormat="1" x14ac:dyDescent="0.25">
      <c r="A2" s="36"/>
      <c r="B2" s="293"/>
      <c r="C2" s="293"/>
      <c r="D2" s="91"/>
      <c r="E2" s="91"/>
      <c r="F2" s="36"/>
      <c r="G2" s="36"/>
      <c r="H2" s="36"/>
      <c r="I2" s="36"/>
      <c r="J2" s="284"/>
      <c r="K2" s="36"/>
      <c r="L2" s="36"/>
      <c r="M2" s="91"/>
      <c r="N2" s="91"/>
      <c r="O2" s="91"/>
      <c r="Q2" s="653" t="s">
        <v>1</v>
      </c>
      <c r="R2" s="653"/>
      <c r="S2" s="653"/>
      <c r="T2" s="653"/>
      <c r="U2" s="653" t="s">
        <v>9</v>
      </c>
      <c r="V2" s="653"/>
      <c r="W2" s="653"/>
      <c r="X2" s="653"/>
      <c r="Y2" s="653" t="s">
        <v>3</v>
      </c>
      <c r="Z2" s="653"/>
      <c r="AA2" s="653"/>
      <c r="AB2" s="653"/>
      <c r="AC2" s="653" t="s">
        <v>10</v>
      </c>
      <c r="AD2" s="653"/>
      <c r="AE2" s="653"/>
      <c r="AF2" s="653"/>
      <c r="AG2" s="653" t="s">
        <v>11</v>
      </c>
      <c r="AH2" s="653"/>
      <c r="AI2" s="653"/>
      <c r="AJ2" s="653"/>
      <c r="AK2" s="653" t="s">
        <v>12</v>
      </c>
      <c r="AL2" s="653"/>
      <c r="AM2" s="653"/>
      <c r="AN2" s="653"/>
      <c r="AO2" s="653" t="s">
        <v>13</v>
      </c>
      <c r="AP2" s="653"/>
      <c r="AQ2" s="653"/>
      <c r="AR2" s="653"/>
      <c r="AS2" s="653" t="s">
        <v>14</v>
      </c>
      <c r="AT2" s="653"/>
      <c r="AU2" s="653"/>
      <c r="AV2" s="653"/>
    </row>
    <row r="3" spans="1:48" s="36" customFormat="1" x14ac:dyDescent="0.25">
      <c r="A3" s="295"/>
      <c r="B3" s="296"/>
      <c r="C3" s="296"/>
      <c r="D3" s="297"/>
      <c r="E3" s="297"/>
      <c r="F3" s="298">
        <v>2020</v>
      </c>
      <c r="G3" s="298">
        <v>46210</v>
      </c>
      <c r="H3" s="298">
        <v>2022</v>
      </c>
      <c r="I3" s="298"/>
      <c r="M3" s="91"/>
      <c r="N3" s="91"/>
      <c r="O3" s="91"/>
      <c r="P3" s="26"/>
      <c r="Q3" s="27">
        <v>2018</v>
      </c>
      <c r="R3" s="27">
        <v>2019</v>
      </c>
      <c r="S3" s="27">
        <v>2020</v>
      </c>
      <c r="T3" s="27">
        <v>2021</v>
      </c>
      <c r="U3" s="27">
        <v>2018</v>
      </c>
      <c r="V3" s="27">
        <v>2019</v>
      </c>
      <c r="W3" s="27">
        <v>2020</v>
      </c>
      <c r="X3" s="27">
        <v>2021</v>
      </c>
      <c r="Y3" s="27">
        <v>2018</v>
      </c>
      <c r="Z3" s="27">
        <v>2019</v>
      </c>
      <c r="AA3" s="27">
        <v>2020</v>
      </c>
      <c r="AB3" s="27">
        <v>2021</v>
      </c>
      <c r="AC3" s="27">
        <v>2018</v>
      </c>
      <c r="AD3" s="27">
        <v>2019</v>
      </c>
      <c r="AE3" s="27">
        <v>2020</v>
      </c>
      <c r="AF3" s="27">
        <v>2021</v>
      </c>
      <c r="AG3" s="27">
        <v>2018</v>
      </c>
      <c r="AH3" s="27">
        <v>2019</v>
      </c>
      <c r="AI3" s="27">
        <v>2020</v>
      </c>
      <c r="AJ3" s="27">
        <v>2021</v>
      </c>
      <c r="AK3" s="27">
        <v>2018</v>
      </c>
      <c r="AL3" s="27">
        <v>2019</v>
      </c>
      <c r="AM3" s="27">
        <v>2020</v>
      </c>
      <c r="AN3" s="27">
        <v>2021</v>
      </c>
      <c r="AO3" s="27">
        <v>2018</v>
      </c>
      <c r="AP3" s="27">
        <v>2019</v>
      </c>
      <c r="AQ3" s="27">
        <v>2020</v>
      </c>
      <c r="AR3" s="27">
        <v>2021</v>
      </c>
      <c r="AS3" s="27">
        <v>2018</v>
      </c>
      <c r="AT3" s="27">
        <v>2019</v>
      </c>
      <c r="AU3" s="27">
        <v>2020</v>
      </c>
      <c r="AV3" s="27">
        <v>2021</v>
      </c>
    </row>
    <row r="4" spans="1:48" s="36" customFormat="1" x14ac:dyDescent="0.25">
      <c r="A4" s="299" t="s">
        <v>15</v>
      </c>
      <c r="B4" s="300"/>
      <c r="C4" s="301"/>
      <c r="D4" s="302"/>
      <c r="E4" s="302"/>
      <c r="F4" s="303">
        <v>4546363</v>
      </c>
      <c r="G4" s="303">
        <v>4546363</v>
      </c>
      <c r="H4" s="303">
        <v>4546363</v>
      </c>
      <c r="I4" s="303">
        <v>4546363</v>
      </c>
      <c r="J4" s="1"/>
      <c r="M4" s="304">
        <v>29670</v>
      </c>
      <c r="N4" s="91">
        <v>13290</v>
      </c>
      <c r="O4" s="91"/>
      <c r="P4" s="27" t="s">
        <v>16</v>
      </c>
      <c r="Q4" s="10" t="e">
        <f>SUMIFS(#REF!,$O:$O,$P$4,$A:$A,$Q$1)</f>
        <v>#REF!</v>
      </c>
      <c r="R4" s="10" t="e">
        <f>SUMIFS(#REF!,$O:$O,$P$4,$A:$A,$Q$1)</f>
        <v>#REF!</v>
      </c>
      <c r="S4" s="10">
        <f>SUMIFS(F:F,$O:$O,$P$4,$A:$A,$Q$1)</f>
        <v>0</v>
      </c>
      <c r="T4" s="10">
        <f>SUMIFS(G:G,$O:$O,$P$4,$A:$A,$Q$1)</f>
        <v>0</v>
      </c>
      <c r="U4" s="10" t="e">
        <f>SUMIFS(#REF!,$O:$O,$P$4,$A:$A,$U$1)</f>
        <v>#REF!</v>
      </c>
      <c r="V4" s="10" t="e">
        <f>SUMIFS(#REF!,$O:$O,$P$4,$A:$A,$U$1)</f>
        <v>#REF!</v>
      </c>
      <c r="W4" s="10">
        <f>SUMIFS(F:F,$O:$O,$P$4,$A:$A,$U$1)</f>
        <v>0</v>
      </c>
      <c r="X4" s="10">
        <f>SUMIFS(G:G,$O:$O,$P$4,$A:$A,$U$1)</f>
        <v>0</v>
      </c>
      <c r="Y4" s="10" t="e">
        <f>SUMIFS(#REF!,$O:$O,$P$4,$A:$A,$Y$1)</f>
        <v>#REF!</v>
      </c>
      <c r="Z4" s="10" t="e">
        <f>SUMIFS(#REF!,$O:$O,$P$4,$A:$A,$Y$1)</f>
        <v>#REF!</v>
      </c>
      <c r="AA4" s="10">
        <f>SUMIFS(F:F,$O:$O,$P$4,$A:$A,$Y$1)</f>
        <v>0</v>
      </c>
      <c r="AB4" s="10">
        <f>SUMIFS(G:G,$O:$O,$P$4,$A:$A,$Y$1)</f>
        <v>0</v>
      </c>
      <c r="AC4" s="10" t="e">
        <f>SUMIFS(#REF!,$O:$O,$P$4,$A:$A,$AC$1)</f>
        <v>#REF!</v>
      </c>
      <c r="AD4" s="10" t="e">
        <f>SUMIFS(#REF!,$O:$O,$P$4,$A:$A,$AC$1)</f>
        <v>#REF!</v>
      </c>
      <c r="AE4" s="10">
        <f>SUMIFS(F:F,$O:$O,$P$4,$A:$A,$AC$1)</f>
        <v>0</v>
      </c>
      <c r="AF4" s="10">
        <f>SUMIFS(G:G,$O:$O,$P$4,$A:$A,$AC$1)</f>
        <v>0</v>
      </c>
      <c r="AG4" s="10" t="e">
        <f>SUMIFS(#REF!,$O:$O,$P$4,$A:$A,$AG$1)</f>
        <v>#REF!</v>
      </c>
      <c r="AH4" s="10" t="e">
        <f>SUMIFS(#REF!,$O:$O,$P$4,$A:$A,$AG$1)</f>
        <v>#REF!</v>
      </c>
      <c r="AI4" s="10">
        <f>SUMIFS(F:F,$O:$O,$P$4,$A:$A,$AG$1)</f>
        <v>0</v>
      </c>
      <c r="AJ4" s="10">
        <f>SUMIFS(G:G,$O:$O,$P$4,$A:$A,$AG$1)</f>
        <v>0</v>
      </c>
      <c r="AK4" s="10" t="e">
        <f>SUMIFS(#REF!,$O:$O,$P$4,$A:$A,$AK$1)</f>
        <v>#REF!</v>
      </c>
      <c r="AL4" s="10" t="e">
        <f>SUMIFS(#REF!,$O:$O,$P$4,$A:$A,$AK$1)</f>
        <v>#REF!</v>
      </c>
      <c r="AM4" s="10">
        <f>SUMIFS(F:F,$O:$O,$P$4,$A:$A,$AK$1)</f>
        <v>0</v>
      </c>
      <c r="AN4" s="10">
        <f>SUMIFS(G:G,$O:$O,$P$4,$A:$A,$AK$1)</f>
        <v>0</v>
      </c>
      <c r="AO4" s="10" t="e">
        <f>SUMIFS(#REF!,$O:$O,$P$4,$A:$A,$AO$1)</f>
        <v>#REF!</v>
      </c>
      <c r="AP4" s="10" t="e">
        <f>SUMIFS(#REF!,$O:$O,$P$4,$A:$A,$AO$1)</f>
        <v>#REF!</v>
      </c>
      <c r="AQ4" s="10">
        <f>SUMIFS(F:F,$O:$O,$P$4,$A:$A,$AO$1)</f>
        <v>0</v>
      </c>
      <c r="AR4" s="10">
        <f>SUMIFS(G:G,$O:$O,$P$4,$A:$A,$AO$1)</f>
        <v>0</v>
      </c>
      <c r="AS4" s="10" t="e">
        <f>SUMIFS(#REF!,$O:$O,$P$4,$A:$A,$AS$1)</f>
        <v>#REF!</v>
      </c>
      <c r="AT4" s="10" t="e">
        <f>SUMIFS(#REF!,$O:$O,$P$4,$A:$A,$AS$1)</f>
        <v>#REF!</v>
      </c>
      <c r="AU4" s="10">
        <f>SUMIFS(F:F,$O:$O,$P$4,$A:$A,$AS$1)</f>
        <v>0</v>
      </c>
      <c r="AV4" s="10">
        <f>SUMIFS(G:G,$O:$O,$P$4,$A:$A,$AS$1)</f>
        <v>0</v>
      </c>
    </row>
    <row r="5" spans="1:48" s="36" customFormat="1" x14ac:dyDescent="0.25">
      <c r="A5" s="36" t="str">
        <f>C62</f>
        <v>SUM SENTRALE INNTEKTER OG FINANSPOSTER</v>
      </c>
      <c r="B5" s="293"/>
      <c r="C5" s="121"/>
      <c r="D5" s="91"/>
      <c r="E5" s="91"/>
      <c r="F5" s="2">
        <f>F62</f>
        <v>-4748996</v>
      </c>
      <c r="G5" s="2">
        <f>G62</f>
        <v>-4807285</v>
      </c>
      <c r="H5" s="2">
        <f>H62</f>
        <v>-4826483</v>
      </c>
      <c r="I5" s="2">
        <f>I62</f>
        <v>-4849541</v>
      </c>
      <c r="M5" s="91">
        <v>9340</v>
      </c>
      <c r="N5" s="91">
        <v>6220</v>
      </c>
      <c r="O5" s="91"/>
      <c r="P5" s="1" t="s">
        <v>17</v>
      </c>
      <c r="Q5" s="10" t="e">
        <f>SUMIFS(#REF!,$M:$M,"VEDTATT",$A:$A,$Q$1)</f>
        <v>#REF!</v>
      </c>
      <c r="R5" s="10" t="e">
        <f>SUMIFS(#REF!,$M:$M,"VEDTATT",$A:$A,$Q$1)</f>
        <v>#REF!</v>
      </c>
      <c r="S5" s="10">
        <f>SUMIFS(F:F,$M:$M,"VEDTATT",$A:$A,$Q$1)</f>
        <v>0</v>
      </c>
      <c r="T5" s="10">
        <f>SUMIFS(G:G,$M:$M,"VEDTATT",$A:$A,$Q$1)</f>
        <v>0</v>
      </c>
      <c r="U5" s="10" t="e">
        <f>SUMIFS(#REF!,$M:$M,"VEDTATT",$A:$A,$U$1)</f>
        <v>#REF!</v>
      </c>
      <c r="V5" s="10" t="e">
        <f>SUMIFS(#REF!,$M:$M,"VEDTATT",$A:$A,$U$1)</f>
        <v>#REF!</v>
      </c>
      <c r="W5" s="10">
        <f>SUMIFS(F:F,$M:$M,"VEDTATT",$A:$A,$U$1)</f>
        <v>0</v>
      </c>
      <c r="X5" s="10">
        <f>SUMIFS(G:G,$M:$M,"VEDTATT",$A:$A,$U$1)</f>
        <v>0</v>
      </c>
      <c r="Y5" s="10" t="e">
        <f>SUMIFS(#REF!,$M:$M,"VEDTATT",$A:$A,$Y$1)</f>
        <v>#REF!</v>
      </c>
      <c r="Z5" s="10" t="e">
        <f>SUMIFS(#REF!,$M:$M,"VEDTATT",$A:$A,$Y$1)</f>
        <v>#REF!</v>
      </c>
      <c r="AA5" s="10">
        <f>SUMIFS(F:F,$M:$M,"VEDTATT",$A:$A,$Y$1)</f>
        <v>0</v>
      </c>
      <c r="AB5" s="10">
        <f>SUMIFS(G:G,$M:$M,"VEDTATT",$A:$A,$Y$1)</f>
        <v>0</v>
      </c>
      <c r="AC5" s="10" t="e">
        <f>SUMIFS(#REF!,$M:$M,"VEDTATT",$A:$A,$AC$1)</f>
        <v>#REF!</v>
      </c>
      <c r="AD5" s="10" t="e">
        <f>SUMIFS(#REF!,$M:$M,"VEDTATT",$A:$A,$AC$1)</f>
        <v>#REF!</v>
      </c>
      <c r="AE5" s="10">
        <f>SUMIFS(F:F,$M:$M,"VEDTATT",$A:$A,$AC$1)</f>
        <v>0</v>
      </c>
      <c r="AF5" s="10">
        <f>SUMIFS(G:G,$M:$M,"VEDTATT",$A:$A,$AC$1)</f>
        <v>0</v>
      </c>
      <c r="AG5" s="10" t="e">
        <f>SUMIFS(#REF!,$M:$M,"VEDTATT",$A:$A,$AG$1)</f>
        <v>#REF!</v>
      </c>
      <c r="AH5" s="10" t="e">
        <f>SUMIFS(#REF!,$M:$M,"VEDTATT",$A:$A,$AG$1)</f>
        <v>#REF!</v>
      </c>
      <c r="AI5" s="10">
        <f>SUMIFS(F:F,$M:$M,"VEDTATT",$A:$A,$AG$1)</f>
        <v>0</v>
      </c>
      <c r="AJ5" s="10">
        <f>SUMIFS(G:G,$M:$M,"VEDTATT",$A:$A,$AG$1)</f>
        <v>0</v>
      </c>
      <c r="AK5" s="10" t="e">
        <f>SUMIFS(#REF!,$M:$M,"VEDTATT",$A:$A,$AK$1)</f>
        <v>#REF!</v>
      </c>
      <c r="AL5" s="10" t="e">
        <f>SUMIFS(#REF!,$M:$M,"VEDTATT",$A:$A,$AK$1)</f>
        <v>#REF!</v>
      </c>
      <c r="AM5" s="10">
        <f>SUMIFS(F:F,$M:$M,"VEDTATT",$A:$A,$AK$1)</f>
        <v>0</v>
      </c>
      <c r="AN5" s="10">
        <f>SUMIFS(G:G,$M:$M,"VEDTATT",$A:$A,$AK$1)</f>
        <v>-800</v>
      </c>
      <c r="AO5" s="10" t="e">
        <f>SUMIFS(#REF!,$M:$M,"VEDTATT",$A:$A,$AO$1)</f>
        <v>#REF!</v>
      </c>
      <c r="AP5" s="10" t="e">
        <f>SUMIFS(#REF!,$M:$M,"VEDTATT",$A:$A,$AO$1)</f>
        <v>#REF!</v>
      </c>
      <c r="AQ5" s="10">
        <f>SUMIFS(F:F,$M:$M,"VEDTATT",$A:$A,$AO$1)</f>
        <v>0</v>
      </c>
      <c r="AR5" s="10">
        <f>SUMIFS(G:G,$M:$M,"VEDTATT",$A:$A,$AO$1)</f>
        <v>0</v>
      </c>
      <c r="AS5" s="10" t="e">
        <f>SUMIFS(#REF!,$M:$M,"VEDTATT",$A:$A,$AS$1)</f>
        <v>#REF!</v>
      </c>
      <c r="AT5" s="10" t="e">
        <f>SUMIFS(#REF!,$M:$M,"VEDTATT",$A:$A,$AS$1)</f>
        <v>#REF!</v>
      </c>
      <c r="AU5" s="10">
        <f>SUMIFS(F:F,$M:$M,"VEDTATT",$A:$A,$AS$1)</f>
        <v>-32824</v>
      </c>
      <c r="AV5" s="10">
        <f>SUMIFS(G:G,$M:$M,"VEDTATT",$A:$A,$AS$1)</f>
        <v>-31269</v>
      </c>
    </row>
    <row r="6" spans="1:48" s="36" customFormat="1" x14ac:dyDescent="0.25">
      <c r="A6" s="305" t="s">
        <v>18</v>
      </c>
      <c r="B6" s="306"/>
      <c r="C6" s="307"/>
      <c r="D6" s="308"/>
      <c r="E6" s="308"/>
      <c r="F6" s="309">
        <f>SUM(F4:F5)</f>
        <v>-202633</v>
      </c>
      <c r="G6" s="309">
        <f>SUM(G4:G5)</f>
        <v>-260922</v>
      </c>
      <c r="H6" s="309">
        <f>SUM(H4:H5)</f>
        <v>-280120</v>
      </c>
      <c r="I6" s="309">
        <f>SUM(I4:I5)</f>
        <v>-303178</v>
      </c>
      <c r="M6" s="91"/>
      <c r="N6" s="91"/>
      <c r="O6" s="91"/>
      <c r="P6" s="27" t="s">
        <v>19</v>
      </c>
      <c r="Q6" s="10" t="e">
        <f>SUMIFS(#REF!,$N:$N,$P$6,$A:$A,$Q$1)</f>
        <v>#REF!</v>
      </c>
      <c r="R6" s="10" t="e">
        <f>SUMIFS(#REF!,$N:$N,$P$6,$A:$A,$Q$1)</f>
        <v>#REF!</v>
      </c>
      <c r="S6" s="10">
        <f>SUMIFS(F:F,$N:$N,$P$6,$A:$A,$Q$1)</f>
        <v>0</v>
      </c>
      <c r="T6" s="10">
        <f>SUMIFS(G:G,$N:$N,$P$6,$A:$A,$Q$1)</f>
        <v>0</v>
      </c>
      <c r="U6" s="10" t="e">
        <f>SUMIFS(#REF!,$N:$N,$P$6,$A:$A,$U$1)</f>
        <v>#REF!</v>
      </c>
      <c r="V6" s="10" t="e">
        <f>SUMIFS(#REF!,$N:$N,$P$6,$A:$A,$U$1)</f>
        <v>#REF!</v>
      </c>
      <c r="W6" s="10">
        <f>SUMIFS(F:F,$N:$N,$P$6,$A:$A,$U$1)</f>
        <v>0</v>
      </c>
      <c r="X6" s="10">
        <f>SUMIFS(G:G,$N:$N,$P$6,$A:$A,$U$1)</f>
        <v>0</v>
      </c>
      <c r="Y6" s="10" t="e">
        <f>SUMIFS(#REF!,$N:$N,$P$6,$A:$A,$Y$1)</f>
        <v>#REF!</v>
      </c>
      <c r="Z6" s="10" t="e">
        <f>SUMIFS(#REF!,$N:$N,$P$6,$A:$A,$Y$1)</f>
        <v>#REF!</v>
      </c>
      <c r="AA6" s="10">
        <f>SUMIFS(F:F,$N:$N,$P$6,$A:$A,$Y$1)</f>
        <v>0</v>
      </c>
      <c r="AB6" s="10">
        <f>SUMIFS(G:G,$N:$N,$P$6,$A:$A,$Y$1)</f>
        <v>0</v>
      </c>
      <c r="AC6" s="10" t="e">
        <f>SUMIFS(#REF!,$N:$N,$P$6,$A:$A,$AC$1)</f>
        <v>#REF!</v>
      </c>
      <c r="AD6" s="10" t="e">
        <f>SUMIFS(#REF!,$N:$N,$P$6,$A:$A,$AC$1)</f>
        <v>#REF!</v>
      </c>
      <c r="AE6" s="10">
        <f>SUMIFS(F:F,$N:$N,$P$6,$A:$A,$AC$1)</f>
        <v>0</v>
      </c>
      <c r="AF6" s="10">
        <f>SUMIFS(G:G,$N:$N,$P$6,$A:$A,$AC$1)</f>
        <v>0</v>
      </c>
      <c r="AG6" s="10" t="e">
        <f>SUMIFS(#REF!,$N:$N,$P$6,$A:$A,$AG$1)</f>
        <v>#REF!</v>
      </c>
      <c r="AH6" s="10" t="e">
        <f>SUMIFS(#REF!,$N:$N,$P$6,$A:$A,$AG$1)</f>
        <v>#REF!</v>
      </c>
      <c r="AI6" s="10">
        <f>SUMIFS(F:F,$N:$N,$P$6,$A:$A,$AG$1)</f>
        <v>0</v>
      </c>
      <c r="AJ6" s="10">
        <f>SUMIFS(G:G,$N:$N,$P$6,$A:$A,$AG$1)</f>
        <v>0</v>
      </c>
      <c r="AK6" s="10" t="e">
        <f>SUMIFS(#REF!,$N:$N,$P$6,$A:$A,$AK$1)</f>
        <v>#REF!</v>
      </c>
      <c r="AL6" s="10" t="e">
        <f>SUMIFS(#REF!,$N:$N,$P$6,$A:$A,$AK$1)</f>
        <v>#REF!</v>
      </c>
      <c r="AM6" s="10">
        <f>SUMIFS(F:F,$N:$N,$P$6,$A:$A,$AK$1)</f>
        <v>0</v>
      </c>
      <c r="AN6" s="10">
        <f>SUMIFS(G:G,$N:$N,$P$6,$A:$A,$AK$1)</f>
        <v>0</v>
      </c>
      <c r="AO6" s="10" t="e">
        <f>SUMIFS(#REF!,$N:$N,$P$6,$A:$A,$AO$1)</f>
        <v>#REF!</v>
      </c>
      <c r="AP6" s="10" t="e">
        <f>SUMIFS(#REF!,$N:$N,$P$6,$A:$A,$AO$1)</f>
        <v>#REF!</v>
      </c>
      <c r="AQ6" s="10">
        <f>SUMIFS(F:F,$N:$N,$P$6,$A:$A,$AO$1)</f>
        <v>-50</v>
      </c>
      <c r="AR6" s="10">
        <f>SUMIFS(G:G,$N:$N,$P$6,$A:$A,$AO$1)</f>
        <v>-50</v>
      </c>
      <c r="AS6" s="10" t="e">
        <f>SUMIFS(#REF!,$N:$N,$P$6,$A:$A,$AS$1)</f>
        <v>#REF!</v>
      </c>
      <c r="AT6" s="10" t="e">
        <f>SUMIFS(#REF!,$N:$N,$P$6,$A:$A,$AS$1)</f>
        <v>#REF!</v>
      </c>
      <c r="AU6" s="10">
        <f>SUMIFS(F:F,$N:$N,$P$6,$A:$A,$AS$1)</f>
        <v>132467</v>
      </c>
      <c r="AV6" s="10">
        <f>SUMIFS(G:G,$N:$N,$P$6,$A:$A,$AS$1)</f>
        <v>134647</v>
      </c>
    </row>
    <row r="7" spans="1:48" s="36" customFormat="1" x14ac:dyDescent="0.25">
      <c r="A7" s="310"/>
      <c r="B7" s="300"/>
      <c r="C7" s="300"/>
      <c r="D7" s="302"/>
      <c r="E7" s="302"/>
      <c r="F7" s="311"/>
      <c r="G7" s="311"/>
      <c r="H7" s="311"/>
      <c r="I7" s="311"/>
      <c r="M7" s="91"/>
      <c r="N7" s="91"/>
      <c r="O7" s="91"/>
      <c r="P7" s="27" t="s">
        <v>20</v>
      </c>
      <c r="Q7" s="10" t="e">
        <f>SUMIFS(#REF!,$O:$O,$P$7,$A:$A,$Q$1)</f>
        <v>#REF!</v>
      </c>
      <c r="R7" s="10" t="e">
        <f>SUMIFS(#REF!,$O:$O,$P$7,$A:$A,$Q$1)</f>
        <v>#REF!</v>
      </c>
      <c r="S7" s="10">
        <f>SUMIFS(F:F,$O:$O,$P$7,$A:$A,$Q$1)</f>
        <v>0</v>
      </c>
      <c r="T7" s="10">
        <f>SUMIFS(G:G,$O:$O,$P$7,$A:$A,$Q$1)</f>
        <v>0</v>
      </c>
      <c r="U7" s="10" t="e">
        <f>SUMIFS(#REF!,$O:$O,$P$7,$A:$A,$U$1)</f>
        <v>#REF!</v>
      </c>
      <c r="V7" s="10" t="e">
        <f>SUMIFS(#REF!,$O:$O,$P$7,$A:$A,$U$1)</f>
        <v>#REF!</v>
      </c>
      <c r="W7" s="10">
        <f>SUMIFS(F:F,$O:$O,$P$7,$A:$A,$U$1)</f>
        <v>0</v>
      </c>
      <c r="X7" s="10">
        <f>SUMIFS(G:G,$O:$O,$P$7,$A:$A,$U$1)</f>
        <v>0</v>
      </c>
      <c r="Y7" s="10" t="e">
        <f>SUMIFS(#REF!,$O:$O,$P$7,$A:$A,$Y$1)</f>
        <v>#REF!</v>
      </c>
      <c r="Z7" s="10" t="e">
        <f>SUMIFS(#REF!,$O:$O,$P$7,$A:$A,$Y$1)</f>
        <v>#REF!</v>
      </c>
      <c r="AA7" s="10">
        <f>SUMIFS(F:F,$O:$O,$P$7,$A:$A,$Y$1)</f>
        <v>0</v>
      </c>
      <c r="AB7" s="10">
        <f>SUMIFS(G:G,$O:$O,$P$7,$A:$A,$Y$1)</f>
        <v>0</v>
      </c>
      <c r="AC7" s="10" t="e">
        <f>SUMIFS(#REF!,$O:$O,$P$7,$A:$A,$AC$1)</f>
        <v>#REF!</v>
      </c>
      <c r="AD7" s="10" t="e">
        <f>SUMIFS(#REF!,$O:$O,$P$7,$A:$A,$AC$1)</f>
        <v>#REF!</v>
      </c>
      <c r="AE7" s="10">
        <f>SUMIFS(F:F,$O:$O,$P$7,$A:$A,$AC$1)</f>
        <v>0</v>
      </c>
      <c r="AF7" s="10">
        <f>SUMIFS(G:G,$O:$O,$P$7,$A:$A,$AC$1)</f>
        <v>0</v>
      </c>
      <c r="AG7" s="10" t="e">
        <f>SUMIFS(#REF!,$O:$O,$P$7,$A:$A,$AG$1)</f>
        <v>#REF!</v>
      </c>
      <c r="AH7" s="10" t="e">
        <f>SUMIFS(#REF!,$O:$O,$P$7,$A:$A,$AG$1)</f>
        <v>#REF!</v>
      </c>
      <c r="AI7" s="10">
        <f>SUMIFS(F:F,$O:$O,$P$7,$A:$A,$AG$1)</f>
        <v>0</v>
      </c>
      <c r="AJ7" s="10">
        <f>SUMIFS(G:G,$O:$O,$P$7,$A:$A,$AG$1)</f>
        <v>0</v>
      </c>
      <c r="AK7" s="10" t="e">
        <f>SUMIFS(#REF!,$O:$O,$P$7,$A:$A,$AK$1)</f>
        <v>#REF!</v>
      </c>
      <c r="AL7" s="10" t="e">
        <f>SUMIFS(#REF!,$O:$O,$P$7,$A:$A,$AK$1)</f>
        <v>#REF!</v>
      </c>
      <c r="AM7" s="10">
        <f>SUMIFS(F:F,$O:$O,$P$7,$A:$A,$AK$1)</f>
        <v>0</v>
      </c>
      <c r="AN7" s="10">
        <f>SUMIFS(G:G,$O:$O,$P$7,$A:$A,$AK$1)</f>
        <v>0</v>
      </c>
      <c r="AO7" s="10" t="e">
        <f>SUMIFS(#REF!,$O:$O,$P$7,$A:$A,$AO$1)</f>
        <v>#REF!</v>
      </c>
      <c r="AP7" s="10" t="e">
        <f>SUMIFS(#REF!,$O:$O,$P$7,$A:$A,$AO$1)</f>
        <v>#REF!</v>
      </c>
      <c r="AQ7" s="10">
        <f>SUMIFS(F:F,$O:$O,$P$7,$A:$A,$AO$1)</f>
        <v>0</v>
      </c>
      <c r="AR7" s="10">
        <f>SUMIFS(G:G,$O:$O,$P$7,$A:$A,$AO$1)</f>
        <v>0</v>
      </c>
      <c r="AS7" s="10" t="e">
        <f>SUMIFS(#REF!,$O:$O,$P$7,$A:$A,$AS$1)</f>
        <v>#REF!</v>
      </c>
      <c r="AT7" s="10" t="e">
        <f>SUMIFS(#REF!,$O:$O,$P$7,$A:$A,$AS$1)</f>
        <v>#REF!</v>
      </c>
      <c r="AU7" s="10">
        <f>SUMIFS(F:F,$O:$O,$P$7,$A:$A,$AS$1)</f>
        <v>0</v>
      </c>
      <c r="AV7" s="10">
        <f>SUMIFS(G:G,$O:$O,$P$7,$A:$A,$AS$1)</f>
        <v>0</v>
      </c>
    </row>
    <row r="8" spans="1:48" s="36" customFormat="1" x14ac:dyDescent="0.25">
      <c r="A8" s="312" t="s">
        <v>21</v>
      </c>
      <c r="B8" s="205"/>
      <c r="C8" s="205"/>
      <c r="D8" s="313"/>
      <c r="E8" s="313"/>
      <c r="F8" s="37">
        <f>SUMIF($D:$D,"ØP 21-24",F:F)</f>
        <v>-15291</v>
      </c>
      <c r="G8" s="37">
        <f>SUMIF($D:$D,"ØP 21-24",G:G)</f>
        <v>-7286</v>
      </c>
      <c r="H8" s="37">
        <f>SUMIF($D:$D,"ØP 21-24",H:H)</f>
        <v>2091.5833333333321</v>
      </c>
      <c r="I8" s="37">
        <f>SUMIF($D:$D,"ØP 21-24",I:I)</f>
        <v>17460</v>
      </c>
      <c r="M8" s="91"/>
      <c r="N8" s="49"/>
      <c r="O8" s="49"/>
      <c r="P8" s="26" t="s">
        <v>22</v>
      </c>
      <c r="Q8" s="231" t="e">
        <f t="shared" ref="Q8:AV8" si="0">SUBTOTAL(9,Q4:Q7)</f>
        <v>#REF!</v>
      </c>
      <c r="R8" s="231" t="e">
        <f t="shared" si="0"/>
        <v>#REF!</v>
      </c>
      <c r="S8" s="231">
        <f t="shared" si="0"/>
        <v>0</v>
      </c>
      <c r="T8" s="231">
        <f t="shared" si="0"/>
        <v>0</v>
      </c>
      <c r="U8" s="231" t="e">
        <f t="shared" si="0"/>
        <v>#REF!</v>
      </c>
      <c r="V8" s="231" t="e">
        <f t="shared" si="0"/>
        <v>#REF!</v>
      </c>
      <c r="W8" s="231">
        <f t="shared" si="0"/>
        <v>0</v>
      </c>
      <c r="X8" s="231">
        <f t="shared" si="0"/>
        <v>0</v>
      </c>
      <c r="Y8" s="231" t="e">
        <f t="shared" si="0"/>
        <v>#REF!</v>
      </c>
      <c r="Z8" s="231" t="e">
        <f t="shared" si="0"/>
        <v>#REF!</v>
      </c>
      <c r="AA8" s="231">
        <f t="shared" si="0"/>
        <v>0</v>
      </c>
      <c r="AB8" s="231">
        <f t="shared" si="0"/>
        <v>0</v>
      </c>
      <c r="AC8" s="231" t="e">
        <f t="shared" si="0"/>
        <v>#REF!</v>
      </c>
      <c r="AD8" s="231" t="e">
        <f t="shared" si="0"/>
        <v>#REF!</v>
      </c>
      <c r="AE8" s="231">
        <f t="shared" si="0"/>
        <v>0</v>
      </c>
      <c r="AF8" s="231">
        <f t="shared" si="0"/>
        <v>0</v>
      </c>
      <c r="AG8" s="231" t="e">
        <f t="shared" si="0"/>
        <v>#REF!</v>
      </c>
      <c r="AH8" s="231" t="e">
        <f t="shared" si="0"/>
        <v>#REF!</v>
      </c>
      <c r="AI8" s="231">
        <f t="shared" si="0"/>
        <v>0</v>
      </c>
      <c r="AJ8" s="231">
        <f t="shared" si="0"/>
        <v>0</v>
      </c>
      <c r="AK8" s="231" t="e">
        <f t="shared" si="0"/>
        <v>#REF!</v>
      </c>
      <c r="AL8" s="231" t="e">
        <f t="shared" si="0"/>
        <v>#REF!</v>
      </c>
      <c r="AM8" s="231">
        <f t="shared" si="0"/>
        <v>0</v>
      </c>
      <c r="AN8" s="231">
        <f t="shared" si="0"/>
        <v>-800</v>
      </c>
      <c r="AO8" s="231" t="e">
        <f t="shared" si="0"/>
        <v>#REF!</v>
      </c>
      <c r="AP8" s="231" t="e">
        <f t="shared" si="0"/>
        <v>#REF!</v>
      </c>
      <c r="AQ8" s="231">
        <f t="shared" si="0"/>
        <v>-50</v>
      </c>
      <c r="AR8" s="231">
        <f t="shared" si="0"/>
        <v>-50</v>
      </c>
      <c r="AS8" s="231" t="e">
        <f t="shared" si="0"/>
        <v>#REF!</v>
      </c>
      <c r="AT8" s="231" t="e">
        <f t="shared" si="0"/>
        <v>#REF!</v>
      </c>
      <c r="AU8" s="231">
        <f t="shared" si="0"/>
        <v>99643</v>
      </c>
      <c r="AV8" s="231">
        <f t="shared" si="0"/>
        <v>103378</v>
      </c>
    </row>
    <row r="9" spans="1:48" s="36" customFormat="1" x14ac:dyDescent="0.25">
      <c r="A9" s="314" t="s">
        <v>23</v>
      </c>
      <c r="B9" s="315"/>
      <c r="C9" s="315"/>
      <c r="D9" s="316"/>
      <c r="E9" s="316"/>
      <c r="F9" s="265">
        <f>SUMIF($D:$D,"ØP 21-24 REKALK",F:F)</f>
        <v>29120</v>
      </c>
      <c r="G9" s="265">
        <f>SUMIF($D:$D,"ØP 21-24 REKALK",G:G)</f>
        <v>46498</v>
      </c>
      <c r="H9" s="265">
        <f>SUMIF($D:$D,"ØP 21-24 REKALK",H:H)</f>
        <v>57643</v>
      </c>
      <c r="I9" s="265">
        <f>SUMIF($D:$D,"ØP 21-24 REKALK",I:I)</f>
        <v>57643</v>
      </c>
      <c r="M9" s="91"/>
      <c r="N9" s="49"/>
      <c r="O9" s="49"/>
      <c r="P9" s="26"/>
    </row>
    <row r="10" spans="1:48" s="36" customFormat="1" x14ac:dyDescent="0.25">
      <c r="A10" s="317" t="s">
        <v>24</v>
      </c>
      <c r="B10" s="318"/>
      <c r="C10" s="318"/>
      <c r="D10" s="319"/>
      <c r="E10" s="319"/>
      <c r="F10" s="320">
        <f>F6+F8+F9</f>
        <v>-188804</v>
      </c>
      <c r="G10" s="320">
        <f>G6+G8+G9</f>
        <v>-221710</v>
      </c>
      <c r="H10" s="320">
        <f>H6+H8+H9</f>
        <v>-220385.41666666669</v>
      </c>
      <c r="I10" s="320">
        <f>I6+I8+I9</f>
        <v>-228075</v>
      </c>
      <c r="M10" s="91"/>
      <c r="N10" s="49"/>
      <c r="O10" s="49"/>
      <c r="P10" s="26"/>
    </row>
    <row r="11" spans="1:48" s="26" customFormat="1" x14ac:dyDescent="0.25">
      <c r="A11" s="36"/>
      <c r="B11" s="293"/>
      <c r="C11" s="293"/>
      <c r="D11" s="91"/>
      <c r="E11" s="91"/>
      <c r="F11" s="2"/>
      <c r="G11" s="2"/>
      <c r="H11" s="2"/>
      <c r="I11" s="2"/>
      <c r="J11" s="36"/>
      <c r="K11" s="36"/>
      <c r="L11" s="36"/>
      <c r="M11" s="91"/>
      <c r="N11" s="49"/>
      <c r="O11" s="49"/>
      <c r="Q11" s="93"/>
      <c r="R11" s="93"/>
      <c r="S11" s="93"/>
      <c r="T11" s="93"/>
    </row>
    <row r="12" spans="1:48" s="26" customFormat="1" x14ac:dyDescent="0.25">
      <c r="A12" s="310" t="s">
        <v>25</v>
      </c>
      <c r="B12" s="293"/>
      <c r="C12" s="293"/>
      <c r="D12" s="91"/>
      <c r="E12" s="91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6"/>
      <c r="K12" s="36"/>
      <c r="L12" s="36"/>
      <c r="M12" s="91"/>
      <c r="N12" s="49"/>
      <c r="O12" s="49"/>
      <c r="Q12" s="93"/>
      <c r="R12" s="93"/>
      <c r="S12" s="93"/>
      <c r="T12" s="93"/>
    </row>
    <row r="13" spans="1:48" s="36" customFormat="1" x14ac:dyDescent="0.25">
      <c r="A13" s="314" t="s">
        <v>26</v>
      </c>
      <c r="B13" s="315"/>
      <c r="C13" s="315"/>
      <c r="D13" s="316"/>
      <c r="E13" s="316"/>
      <c r="F13" s="265">
        <f>SUMIFS(F:F,$D:$D,"NYTT",$E:$E,"MÅ")</f>
        <v>207622</v>
      </c>
      <c r="G13" s="265">
        <f>SUMIFS(G:G,$D:$D,"NYTT",$E:$E,"MÅ")</f>
        <v>219685</v>
      </c>
      <c r="H13" s="265">
        <f>SUMIFS(H:H,$D:$D,"NYTT",$E:$E,"MÅ")</f>
        <v>214245</v>
      </c>
      <c r="I13" s="265">
        <f>SUMIFS(I:I,$D:$D,"NYTT",$E:$E,"MÅ")</f>
        <v>221935</v>
      </c>
      <c r="M13" s="91"/>
      <c r="N13" s="49"/>
      <c r="O13" s="49"/>
      <c r="P13" s="27" t="s">
        <v>16</v>
      </c>
      <c r="Q13" s="93" t="e">
        <f t="shared" ref="Q13:T17" si="1">Q4+U4+Y4+AC4+AG4+AK4+AO4+AS4</f>
        <v>#REF!</v>
      </c>
      <c r="R13" s="93" t="e">
        <f t="shared" si="1"/>
        <v>#REF!</v>
      </c>
      <c r="S13" s="93">
        <f t="shared" si="1"/>
        <v>0</v>
      </c>
      <c r="T13" s="93">
        <f t="shared" si="1"/>
        <v>0</v>
      </c>
    </row>
    <row r="14" spans="1:48" s="36" customFormat="1" x14ac:dyDescent="0.25">
      <c r="A14" s="305" t="s">
        <v>27</v>
      </c>
      <c r="B14" s="307"/>
      <c r="C14" s="307"/>
      <c r="D14" s="321"/>
      <c r="E14" s="321"/>
      <c r="F14" s="322">
        <f>F6+F8+F9+F12+F13</f>
        <v>18818</v>
      </c>
      <c r="G14" s="322">
        <f>G6+G8+G9+G12+G13</f>
        <v>-2025</v>
      </c>
      <c r="H14" s="322">
        <f>H6+H8+H9+H12+H13</f>
        <v>-6140.4166666666861</v>
      </c>
      <c r="I14" s="322">
        <f>I6+I8+I9+I12+I13</f>
        <v>-6140</v>
      </c>
      <c r="M14" s="91"/>
      <c r="N14" s="49"/>
      <c r="O14" s="49"/>
      <c r="P14" s="1" t="s">
        <v>17</v>
      </c>
      <c r="Q14" s="93" t="e">
        <f t="shared" si="1"/>
        <v>#REF!</v>
      </c>
      <c r="R14" s="93" t="e">
        <f t="shared" si="1"/>
        <v>#REF!</v>
      </c>
      <c r="S14" s="93">
        <f t="shared" si="1"/>
        <v>-32824</v>
      </c>
      <c r="T14" s="93">
        <f t="shared" si="1"/>
        <v>-32069</v>
      </c>
    </row>
    <row r="15" spans="1:48" s="36" customFormat="1" x14ac:dyDescent="0.25">
      <c r="A15" s="310"/>
      <c r="B15" s="300"/>
      <c r="C15" s="300"/>
      <c r="D15" s="302"/>
      <c r="E15" s="302"/>
      <c r="F15" s="311"/>
      <c r="G15" s="311"/>
      <c r="H15" s="311"/>
      <c r="I15" s="311"/>
      <c r="M15" s="91"/>
      <c r="N15" s="49"/>
      <c r="O15" s="49"/>
      <c r="P15" s="27" t="s">
        <v>19</v>
      </c>
      <c r="Q15" s="93" t="e">
        <f t="shared" si="1"/>
        <v>#REF!</v>
      </c>
      <c r="R15" s="93" t="e">
        <f t="shared" si="1"/>
        <v>#REF!</v>
      </c>
      <c r="S15" s="93">
        <f t="shared" si="1"/>
        <v>132417</v>
      </c>
      <c r="T15" s="93">
        <f t="shared" si="1"/>
        <v>134597</v>
      </c>
    </row>
    <row r="16" spans="1:48" s="36" customFormat="1" x14ac:dyDescent="0.25">
      <c r="A16" s="312" t="s">
        <v>28</v>
      </c>
      <c r="B16" s="205"/>
      <c r="C16" s="205"/>
      <c r="D16" s="313"/>
      <c r="E16" s="313"/>
      <c r="F16" s="37">
        <f>SUMIF($D:$D,"NYTT",F:F)-F17-F13-F12</f>
        <v>36073</v>
      </c>
      <c r="G16" s="37">
        <f>SUMIF($D:$D,"NYTT",G:G)-G17-G13-G12</f>
        <v>40205</v>
      </c>
      <c r="H16" s="37">
        <f>SUMIF($D:$D,"NYTT",H:H)-H17-H13-H12</f>
        <v>41205</v>
      </c>
      <c r="I16" s="37">
        <f>SUMIF($D:$D,"NYTT",I:I)-I17-I13-I12</f>
        <v>41205</v>
      </c>
      <c r="M16" s="91"/>
      <c r="N16" s="49"/>
      <c r="O16" s="49"/>
      <c r="P16" s="27" t="s">
        <v>20</v>
      </c>
      <c r="Q16" s="93" t="e">
        <f t="shared" si="1"/>
        <v>#REF!</v>
      </c>
      <c r="R16" s="93" t="e">
        <f t="shared" si="1"/>
        <v>#REF!</v>
      </c>
      <c r="S16" s="93">
        <f t="shared" si="1"/>
        <v>0</v>
      </c>
      <c r="T16" s="93">
        <f t="shared" si="1"/>
        <v>0</v>
      </c>
    </row>
    <row r="17" spans="1:49" s="36" customFormat="1" x14ac:dyDescent="0.25">
      <c r="A17" s="323" t="s">
        <v>29</v>
      </c>
      <c r="B17" s="205"/>
      <c r="C17" s="324"/>
      <c r="D17" s="313"/>
      <c r="E17" s="313"/>
      <c r="F17" s="325">
        <f>SUMIFS(F:F,$D:$D,"NYTT",$E:$E,"IKKE PRI")</f>
        <v>63205</v>
      </c>
      <c r="G17" s="325">
        <f>SUMIFS(G:G,$D:$D,"NYTT",$E:$E,"IKKE PRI")</f>
        <v>62905</v>
      </c>
      <c r="H17" s="325">
        <f>SUMIFS(H:H,$D:$D,"NYTT",$E:$E,"IKKE PRI")</f>
        <v>62905</v>
      </c>
      <c r="I17" s="325">
        <f>SUMIFS(I:I,$D:$D,"NYTT",$E:$E,"IKKE PRI")</f>
        <v>62805</v>
      </c>
      <c r="M17" s="91"/>
      <c r="N17" s="49"/>
      <c r="O17" s="49"/>
      <c r="P17" s="26" t="s">
        <v>22</v>
      </c>
      <c r="Q17" s="93" t="e">
        <f t="shared" si="1"/>
        <v>#REF!</v>
      </c>
      <c r="R17" s="93" t="e">
        <f t="shared" si="1"/>
        <v>#REF!</v>
      </c>
      <c r="S17" s="93">
        <f t="shared" si="1"/>
        <v>99593</v>
      </c>
      <c r="T17" s="93">
        <f t="shared" si="1"/>
        <v>102528</v>
      </c>
    </row>
    <row r="18" spans="1:49" s="36" customFormat="1" x14ac:dyDescent="0.25">
      <c r="A18" s="323"/>
      <c r="B18" s="205"/>
      <c r="C18" s="324"/>
      <c r="D18" s="313"/>
      <c r="E18" s="313"/>
      <c r="F18" s="290">
        <f>(F8+F9+F13+F16+F17+F12)-SUMIF($B:$B,"X",F:F)</f>
        <v>-600</v>
      </c>
      <c r="G18" s="290">
        <f>(G8+G9+G13+G16+G17+G12)-SUMIF($B:$B,"X",G:G)</f>
        <v>-2100</v>
      </c>
      <c r="H18" s="290">
        <f>(H8+H9+H13+H16+H17+H12)-SUMIF($B:$B,"X",H:H)</f>
        <v>-3600.0000000000582</v>
      </c>
      <c r="I18" s="290">
        <f>(I8+I9+I13+I16+I17+I12)-SUMIF($B:$B,"X",I:I)</f>
        <v>-3600</v>
      </c>
      <c r="M18" s="91"/>
      <c r="N18" s="49"/>
      <c r="O18" s="49"/>
      <c r="P18" s="26"/>
    </row>
    <row r="19" spans="1:49" s="36" customFormat="1" x14ac:dyDescent="0.25">
      <c r="A19" s="326"/>
      <c r="B19" s="327"/>
      <c r="C19" s="296"/>
      <c r="D19" s="328"/>
      <c r="E19" s="328"/>
      <c r="F19" s="329"/>
      <c r="G19" s="329"/>
      <c r="H19" s="329"/>
      <c r="I19" s="329"/>
      <c r="M19" s="91"/>
      <c r="N19" s="49"/>
      <c r="O19" s="49"/>
      <c r="P19" s="26"/>
    </row>
    <row r="20" spans="1:49" s="36" customFormat="1" x14ac:dyDescent="0.25">
      <c r="A20" s="330"/>
      <c r="B20" s="293"/>
      <c r="C20" s="331"/>
      <c r="D20" s="91"/>
      <c r="E20" s="91"/>
      <c r="F20" s="332">
        <f>F8+F9+F13+F12</f>
        <v>221451</v>
      </c>
      <c r="G20" s="332">
        <f>G8+G9+G13+G12</f>
        <v>258897</v>
      </c>
      <c r="H20" s="332">
        <f>H8+H9+H13+H12</f>
        <v>273979.58333333331</v>
      </c>
      <c r="I20" s="332">
        <f>I8+I9+I13+I12</f>
        <v>297038</v>
      </c>
      <c r="M20" s="91"/>
      <c r="N20" s="49"/>
      <c r="O20" s="49"/>
      <c r="P20" s="26"/>
    </row>
    <row r="21" spans="1:49" s="36" customFormat="1" x14ac:dyDescent="0.25">
      <c r="A21" s="330"/>
      <c r="B21" s="293"/>
      <c r="C21" s="331"/>
      <c r="D21" s="91"/>
      <c r="E21" s="91"/>
      <c r="F21" s="332"/>
      <c r="G21" s="332"/>
      <c r="H21" s="332"/>
      <c r="I21" s="332"/>
      <c r="M21" s="91"/>
      <c r="N21" s="49"/>
      <c r="O21" s="49"/>
      <c r="P21" s="26"/>
    </row>
    <row r="22" spans="1:49" s="36" customFormat="1" hidden="1" x14ac:dyDescent="0.25">
      <c r="A22" s="190" t="s">
        <v>30</v>
      </c>
      <c r="B22" s="333"/>
      <c r="C22" s="234"/>
      <c r="D22" s="235"/>
      <c r="E22" s="235"/>
      <c r="F22" s="191"/>
      <c r="G22" s="191"/>
      <c r="H22" s="191"/>
      <c r="I22" s="191"/>
      <c r="J22" s="26"/>
      <c r="K22" s="26"/>
      <c r="L22" s="26"/>
      <c r="M22" s="49"/>
      <c r="N22" s="49"/>
      <c r="O22" s="49"/>
      <c r="P22" s="26"/>
    </row>
    <row r="23" spans="1:49" s="123" customFormat="1" hidden="1" x14ac:dyDescent="0.25">
      <c r="A23" s="192" t="s">
        <v>31</v>
      </c>
      <c r="B23" s="236"/>
      <c r="C23" s="193"/>
      <c r="D23" s="237"/>
      <c r="E23" s="237"/>
      <c r="F23" s="194">
        <f>SUMIF($N:$N,"FOND",F:F)</f>
        <v>0</v>
      </c>
      <c r="G23" s="194">
        <f>SUMIF($N:$N,"FOND",G:G)</f>
        <v>0</v>
      </c>
      <c r="H23" s="194">
        <f>SUMIF($N:$N,"FOND",H:H)</f>
        <v>0</v>
      </c>
      <c r="I23" s="194">
        <f>SUMIF($N:$N,"FOND",I:I)</f>
        <v>0</v>
      </c>
      <c r="J23" s="238"/>
      <c r="K23" s="238"/>
      <c r="L23" s="238"/>
      <c r="M23" s="239"/>
      <c r="N23" s="239"/>
      <c r="O23" s="239"/>
      <c r="P23" s="238"/>
      <c r="AW23" s="36"/>
    </row>
    <row r="24" spans="1:49" s="36" customFormat="1" hidden="1" x14ac:dyDescent="0.25">
      <c r="A24" s="195" t="s">
        <v>32</v>
      </c>
      <c r="B24" s="333"/>
      <c r="C24" s="234"/>
      <c r="D24" s="235"/>
      <c r="E24" s="235"/>
      <c r="F24" s="196">
        <f>SUBTOTAL(9,F22:F23)</f>
        <v>0</v>
      </c>
      <c r="G24" s="196">
        <f>SUBTOTAL(9,G22:G23)</f>
        <v>0</v>
      </c>
      <c r="H24" s="196">
        <f>SUBTOTAL(9,H22:H23)</f>
        <v>0</v>
      </c>
      <c r="I24" s="196">
        <f>SUBTOTAL(9,I22:I23)</f>
        <v>0</v>
      </c>
      <c r="J24" s="26"/>
      <c r="K24" s="26"/>
      <c r="L24" s="26"/>
      <c r="M24" s="49"/>
      <c r="N24" s="49"/>
      <c r="O24" s="49"/>
      <c r="P24" s="26"/>
    </row>
    <row r="25" spans="1:49" s="36" customFormat="1" x14ac:dyDescent="0.25">
      <c r="A25" s="26"/>
      <c r="B25" s="9"/>
      <c r="C25" s="9"/>
      <c r="D25" s="240"/>
      <c r="E25" s="240"/>
      <c r="F25" s="334">
        <f>(F8+F9+F13+F16+F17+F12)-SUMIF($B:$B,"X",F:F)</f>
        <v>-600</v>
      </c>
      <c r="G25" s="334">
        <f>(G8+G9+G13+G16+G17+G12)-SUMIF($B:$B,"X",G:G)</f>
        <v>-2100</v>
      </c>
      <c r="H25" s="334">
        <f>(H8+H9+H13+H16+H17+H12)-SUMIF($B:$B,"X",H:H)</f>
        <v>-3600.0000000000582</v>
      </c>
      <c r="I25" s="334">
        <f>(I8+I9+I13+I16+I17+I12)-SUMIF($B:$B,"X",I:I)</f>
        <v>-3600</v>
      </c>
      <c r="J25" s="26"/>
      <c r="K25" s="26"/>
      <c r="L25" s="26"/>
      <c r="M25" s="49"/>
      <c r="N25" s="49"/>
      <c r="O25" s="49"/>
      <c r="P25" s="26"/>
    </row>
    <row r="26" spans="1:49" s="36" customFormat="1" x14ac:dyDescent="0.25">
      <c r="A26" s="4" t="s">
        <v>33</v>
      </c>
      <c r="B26" s="5" t="s">
        <v>34</v>
      </c>
      <c r="C26" s="3" t="s">
        <v>35</v>
      </c>
      <c r="D26" s="6" t="s">
        <v>36</v>
      </c>
      <c r="E26" s="44" t="s">
        <v>37</v>
      </c>
      <c r="F26" s="4">
        <v>2022</v>
      </c>
      <c r="G26" s="4">
        <v>2023</v>
      </c>
      <c r="H26" s="4">
        <v>2024</v>
      </c>
      <c r="I26" s="4">
        <v>2025</v>
      </c>
      <c r="J26" s="4" t="s">
        <v>38</v>
      </c>
      <c r="K26" s="26" t="s">
        <v>39</v>
      </c>
      <c r="L26" s="26" t="s">
        <v>40</v>
      </c>
      <c r="M26" s="49"/>
      <c r="N26" s="49"/>
      <c r="O26" s="49"/>
      <c r="P26" s="26"/>
    </row>
    <row r="27" spans="1:49" s="36" customFormat="1" x14ac:dyDescent="0.25">
      <c r="A27" s="232"/>
      <c r="B27" s="9"/>
      <c r="C27" s="15"/>
      <c r="D27" s="49"/>
      <c r="E27" s="84" t="s">
        <v>41</v>
      </c>
      <c r="F27" s="233">
        <v>-2691000</v>
      </c>
      <c r="G27" s="233">
        <v>-2721000</v>
      </c>
      <c r="H27" s="233">
        <v>-2752000</v>
      </c>
      <c r="I27" s="233"/>
      <c r="J27" s="37"/>
      <c r="K27" s="26"/>
      <c r="L27" s="26"/>
      <c r="M27" s="26"/>
      <c r="N27" s="26"/>
      <c r="O27" s="26"/>
      <c r="P27" s="26"/>
      <c r="R27" s="233"/>
      <c r="S27" s="233"/>
      <c r="T27" s="233"/>
    </row>
    <row r="28" spans="1:49" s="36" customFormat="1" x14ac:dyDescent="0.25">
      <c r="A28" s="13"/>
      <c r="B28" s="42"/>
      <c r="C28" s="14" t="s">
        <v>42</v>
      </c>
      <c r="D28" s="39"/>
      <c r="E28" s="85" t="s">
        <v>43</v>
      </c>
      <c r="F28" s="83">
        <v>-1958000</v>
      </c>
      <c r="G28" s="83">
        <v>-1989000</v>
      </c>
      <c r="H28" s="83">
        <v>-2013000</v>
      </c>
      <c r="I28" s="83"/>
      <c r="J28" s="37"/>
      <c r="K28" s="335"/>
      <c r="L28" s="335"/>
      <c r="M28" s="75"/>
      <c r="N28" s="241"/>
      <c r="O28" s="241"/>
      <c r="P28" s="241"/>
      <c r="Q28" s="241"/>
      <c r="R28" s="83"/>
      <c r="S28" s="83"/>
      <c r="T28" s="83"/>
    </row>
    <row r="29" spans="1:49" s="36" customFormat="1" x14ac:dyDescent="0.25">
      <c r="A29" s="76" t="s">
        <v>44</v>
      </c>
      <c r="B29" s="336" t="str">
        <f t="shared" ref="B29:B60" si="2">IF(L29,K29&amp;L29,"")</f>
        <v>I1</v>
      </c>
      <c r="C29" s="96" t="s">
        <v>45</v>
      </c>
      <c r="D29" s="77" t="s">
        <v>44</v>
      </c>
      <c r="E29" s="77" t="s">
        <v>46</v>
      </c>
      <c r="F29" s="88">
        <v>-2781000</v>
      </c>
      <c r="G29" s="88">
        <v>-2811000</v>
      </c>
      <c r="H29" s="88">
        <v>-2842000</v>
      </c>
      <c r="I29" s="88">
        <v>-2873000</v>
      </c>
      <c r="J29" s="290" t="s">
        <v>383</v>
      </c>
      <c r="K29" s="26" t="s">
        <v>48</v>
      </c>
      <c r="L29" s="26">
        <f t="shared" ref="L29:L61" si="3">L28+1</f>
        <v>1</v>
      </c>
      <c r="M29" s="197"/>
      <c r="N29" s="198"/>
      <c r="O29" s="198"/>
      <c r="P29" s="26"/>
      <c r="R29" s="88"/>
      <c r="S29" s="88"/>
      <c r="T29" s="88"/>
      <c r="U29" s="88"/>
      <c r="V29" s="93"/>
    </row>
    <row r="30" spans="1:49" s="36" customFormat="1" x14ac:dyDescent="0.25">
      <c r="A30" s="76" t="s">
        <v>44</v>
      </c>
      <c r="B30" s="336" t="str">
        <f t="shared" si="2"/>
        <v>I2</v>
      </c>
      <c r="C30" s="96" t="s">
        <v>49</v>
      </c>
      <c r="D30" s="77" t="s">
        <v>44</v>
      </c>
      <c r="E30" s="77" t="s">
        <v>46</v>
      </c>
      <c r="F30" s="88">
        <f>-2052000-20000</f>
        <v>-2072000</v>
      </c>
      <c r="G30" s="88">
        <f>-2083000-20000</f>
        <v>-2103000</v>
      </c>
      <c r="H30" s="88">
        <f>-2108000-20000</f>
        <v>-2128000</v>
      </c>
      <c r="I30" s="88">
        <f>-2131000-20000</f>
        <v>-2151000</v>
      </c>
      <c r="J30" s="290" t="s">
        <v>383</v>
      </c>
      <c r="K30" s="26" t="s">
        <v>48</v>
      </c>
      <c r="L30" s="26">
        <f t="shared" si="3"/>
        <v>2</v>
      </c>
      <c r="M30" s="197"/>
      <c r="N30" s="198"/>
      <c r="O30" s="198"/>
      <c r="P30" s="26"/>
      <c r="R30" s="88"/>
      <c r="S30" s="88"/>
      <c r="T30" s="88"/>
      <c r="U30" s="88"/>
      <c r="V30" s="93"/>
    </row>
    <row r="31" spans="1:49" s="36" customFormat="1" x14ac:dyDescent="0.25">
      <c r="A31" s="76" t="s">
        <v>44</v>
      </c>
      <c r="B31" s="336" t="str">
        <f t="shared" si="2"/>
        <v>I3</v>
      </c>
      <c r="C31" s="96" t="s">
        <v>50</v>
      </c>
      <c r="D31" s="77" t="s">
        <v>44</v>
      </c>
      <c r="E31" s="77" t="s">
        <v>46</v>
      </c>
      <c r="F31" s="88">
        <v>-53000</v>
      </c>
      <c r="G31" s="88">
        <v>-55000</v>
      </c>
      <c r="H31" s="88">
        <v>-55000</v>
      </c>
      <c r="I31" s="88">
        <v>-55000</v>
      </c>
      <c r="J31" s="290" t="s">
        <v>384</v>
      </c>
      <c r="K31" s="26" t="s">
        <v>48</v>
      </c>
      <c r="L31" s="26">
        <f t="shared" si="3"/>
        <v>3</v>
      </c>
      <c r="M31" s="197"/>
      <c r="N31" s="256">
        <f>1-N32</f>
        <v>0.13649999999999995</v>
      </c>
      <c r="O31" s="198"/>
      <c r="P31" s="26"/>
      <c r="R31" s="88"/>
      <c r="S31" s="88"/>
      <c r="T31" s="88"/>
      <c r="U31" s="88"/>
      <c r="V31" s="93"/>
    </row>
    <row r="32" spans="1:49" s="36" customFormat="1" x14ac:dyDescent="0.25">
      <c r="A32" s="76" t="s">
        <v>44</v>
      </c>
      <c r="B32" s="336" t="str">
        <f t="shared" si="2"/>
        <v>I4</v>
      </c>
      <c r="C32" s="96" t="s">
        <v>52</v>
      </c>
      <c r="D32" s="77" t="s">
        <v>44</v>
      </c>
      <c r="E32" s="77" t="s">
        <v>46</v>
      </c>
      <c r="F32" s="88">
        <v>-17000</v>
      </c>
      <c r="G32" s="88">
        <v>-15000</v>
      </c>
      <c r="H32" s="88">
        <v>-14000</v>
      </c>
      <c r="I32" s="88">
        <v>-16000</v>
      </c>
      <c r="J32" s="290" t="s">
        <v>385</v>
      </c>
      <c r="K32" s="26" t="s">
        <v>48</v>
      </c>
      <c r="L32" s="26">
        <f t="shared" si="3"/>
        <v>4</v>
      </c>
      <c r="M32" s="197"/>
      <c r="N32" s="256">
        <v>0.86350000000000005</v>
      </c>
      <c r="O32" s="198"/>
      <c r="P32" s="26"/>
      <c r="R32" s="248"/>
      <c r="S32" s="248"/>
      <c r="T32" s="248"/>
      <c r="U32" s="248"/>
      <c r="V32" s="337"/>
    </row>
    <row r="33" spans="1:22" s="36" customFormat="1" x14ac:dyDescent="0.25">
      <c r="A33" s="76" t="s">
        <v>44</v>
      </c>
      <c r="B33" s="336" t="str">
        <f t="shared" si="2"/>
        <v>I5</v>
      </c>
      <c r="C33" s="96" t="s">
        <v>54</v>
      </c>
      <c r="D33" s="77" t="s">
        <v>44</v>
      </c>
      <c r="E33" s="77" t="s">
        <v>46</v>
      </c>
      <c r="F33" s="88">
        <v>-10300</v>
      </c>
      <c r="G33" s="88">
        <v>-10300</v>
      </c>
      <c r="H33" s="88">
        <v>-10300</v>
      </c>
      <c r="I33" s="88">
        <v>-10300</v>
      </c>
      <c r="J33" s="290" t="s">
        <v>55</v>
      </c>
      <c r="K33" s="26" t="s">
        <v>48</v>
      </c>
      <c r="L33" s="26">
        <f t="shared" si="3"/>
        <v>5</v>
      </c>
      <c r="M33" s="197"/>
      <c r="N33" s="198"/>
      <c r="O33" s="198"/>
      <c r="P33" s="26"/>
      <c r="R33" s="338"/>
      <c r="S33" s="338"/>
      <c r="T33" s="338"/>
      <c r="U33" s="338"/>
      <c r="V33" s="337"/>
    </row>
    <row r="34" spans="1:22" s="36" customFormat="1" x14ac:dyDescent="0.25">
      <c r="A34" s="76" t="s">
        <v>44</v>
      </c>
      <c r="B34" s="336" t="str">
        <f t="shared" si="2"/>
        <v>I6</v>
      </c>
      <c r="C34" s="96" t="s">
        <v>56</v>
      </c>
      <c r="D34" s="77" t="s">
        <v>44</v>
      </c>
      <c r="E34" s="77" t="s">
        <v>46</v>
      </c>
      <c r="F34" s="88">
        <v>10300</v>
      </c>
      <c r="G34" s="88">
        <v>10300</v>
      </c>
      <c r="H34" s="88">
        <v>10300</v>
      </c>
      <c r="I34" s="88">
        <v>10300</v>
      </c>
      <c r="J34" s="290" t="s">
        <v>55</v>
      </c>
      <c r="K34" s="26" t="s">
        <v>48</v>
      </c>
      <c r="L34" s="26">
        <f t="shared" si="3"/>
        <v>6</v>
      </c>
      <c r="M34" s="197"/>
      <c r="N34" s="198">
        <f>G31+G34</f>
        <v>-44700</v>
      </c>
      <c r="O34" s="198">
        <f>H31+H34</f>
        <v>-44700</v>
      </c>
      <c r="P34" s="198">
        <f>I31+I34</f>
        <v>-44700</v>
      </c>
      <c r="Q34" s="198"/>
      <c r="R34" s="338"/>
      <c r="S34" s="338"/>
      <c r="T34" s="338"/>
      <c r="U34" s="338"/>
      <c r="V34" s="337"/>
    </row>
    <row r="35" spans="1:22" s="36" customFormat="1" x14ac:dyDescent="0.25">
      <c r="A35" s="76" t="s">
        <v>44</v>
      </c>
      <c r="B35" s="336" t="str">
        <f t="shared" si="2"/>
        <v>I7</v>
      </c>
      <c r="C35" s="96" t="s">
        <v>57</v>
      </c>
      <c r="D35" s="77" t="s">
        <v>44</v>
      </c>
      <c r="E35" s="77" t="s">
        <v>46</v>
      </c>
      <c r="F35" s="88">
        <v>-8700</v>
      </c>
      <c r="G35" s="88">
        <v>-8600</v>
      </c>
      <c r="H35" s="88">
        <v>-8700</v>
      </c>
      <c r="I35" s="88">
        <v>-8500</v>
      </c>
      <c r="J35" s="290" t="s">
        <v>386</v>
      </c>
      <c r="K35" s="26" t="s">
        <v>48</v>
      </c>
      <c r="L35" s="26">
        <f>L34+1</f>
        <v>7</v>
      </c>
      <c r="M35" s="197"/>
      <c r="N35" s="198"/>
      <c r="O35" s="198"/>
      <c r="P35" s="26"/>
      <c r="R35" s="338"/>
      <c r="S35" s="338"/>
      <c r="T35" s="338"/>
      <c r="U35" s="338"/>
      <c r="V35" s="337"/>
    </row>
    <row r="36" spans="1:22" s="36" customFormat="1" x14ac:dyDescent="0.25">
      <c r="A36" s="76" t="s">
        <v>44</v>
      </c>
      <c r="B36" s="336" t="str">
        <f t="shared" si="2"/>
        <v>I8</v>
      </c>
      <c r="C36" s="96" t="s">
        <v>59</v>
      </c>
      <c r="D36" s="77" t="s">
        <v>44</v>
      </c>
      <c r="E36" s="77" t="s">
        <v>46</v>
      </c>
      <c r="F36" s="88">
        <v>-39217</v>
      </c>
      <c r="G36" s="88">
        <v>-40722</v>
      </c>
      <c r="H36" s="88">
        <v>-42916</v>
      </c>
      <c r="I36" s="88">
        <v>-42916</v>
      </c>
      <c r="J36" s="250" t="s">
        <v>387</v>
      </c>
      <c r="K36" s="26" t="s">
        <v>48</v>
      </c>
      <c r="L36" s="26">
        <f t="shared" si="3"/>
        <v>8</v>
      </c>
      <c r="M36" s="197"/>
      <c r="N36" s="198"/>
      <c r="O36" s="198"/>
      <c r="P36" s="26"/>
      <c r="R36" s="338"/>
      <c r="S36" s="338"/>
      <c r="T36" s="338"/>
      <c r="U36" s="338"/>
      <c r="V36" s="337"/>
    </row>
    <row r="37" spans="1:22" s="36" customFormat="1" x14ac:dyDescent="0.25">
      <c r="A37" s="76" t="s">
        <v>44</v>
      </c>
      <c r="B37" s="336" t="str">
        <f t="shared" si="2"/>
        <v>I9</v>
      </c>
      <c r="C37" s="281" t="s">
        <v>61</v>
      </c>
      <c r="D37" s="282" t="s">
        <v>44</v>
      </c>
      <c r="E37" s="282" t="s">
        <v>46</v>
      </c>
      <c r="F37" s="283">
        <v>91000</v>
      </c>
      <c r="G37" s="283">
        <v>104000</v>
      </c>
      <c r="H37" s="283">
        <v>109000</v>
      </c>
      <c r="I37" s="283">
        <v>116000</v>
      </c>
      <c r="J37" s="290" t="s">
        <v>388</v>
      </c>
      <c r="K37" s="26" t="s">
        <v>48</v>
      </c>
      <c r="L37" s="26">
        <f t="shared" si="3"/>
        <v>9</v>
      </c>
      <c r="M37" s="197"/>
      <c r="N37" s="198"/>
      <c r="O37" s="198"/>
      <c r="P37" s="26"/>
      <c r="R37" s="338"/>
      <c r="S37" s="338"/>
      <c r="T37" s="338"/>
      <c r="U37" s="338"/>
      <c r="V37" s="337"/>
    </row>
    <row r="38" spans="1:22" s="36" customFormat="1" x14ac:dyDescent="0.25">
      <c r="A38" s="76" t="s">
        <v>44</v>
      </c>
      <c r="B38" s="336" t="str">
        <f t="shared" si="2"/>
        <v>I10</v>
      </c>
      <c r="C38" s="281" t="s">
        <v>62</v>
      </c>
      <c r="D38" s="282" t="s">
        <v>44</v>
      </c>
      <c r="E38" s="282" t="s">
        <v>46</v>
      </c>
      <c r="F38" s="283">
        <v>292000</v>
      </c>
      <c r="G38" s="283">
        <v>299000</v>
      </c>
      <c r="H38" s="283">
        <v>303000</v>
      </c>
      <c r="I38" s="283">
        <v>310000</v>
      </c>
      <c r="J38" s="290" t="s">
        <v>388</v>
      </c>
      <c r="K38" s="26" t="s">
        <v>48</v>
      </c>
      <c r="L38" s="26">
        <f t="shared" si="3"/>
        <v>10</v>
      </c>
      <c r="M38" s="197"/>
      <c r="N38" s="198"/>
      <c r="O38" s="198"/>
      <c r="P38" s="26"/>
      <c r="R38" s="338"/>
      <c r="S38" s="338"/>
      <c r="T38" s="338"/>
      <c r="U38" s="338"/>
      <c r="V38" s="337"/>
    </row>
    <row r="39" spans="1:22" s="36" customFormat="1" x14ac:dyDescent="0.25">
      <c r="A39" s="76" t="s">
        <v>44</v>
      </c>
      <c r="B39" s="336" t="str">
        <f t="shared" si="2"/>
        <v>I11</v>
      </c>
      <c r="C39" s="96" t="s">
        <v>63</v>
      </c>
      <c r="D39" s="77" t="s">
        <v>44</v>
      </c>
      <c r="E39" s="77" t="s">
        <v>46</v>
      </c>
      <c r="F39" s="88">
        <v>-14600</v>
      </c>
      <c r="G39" s="88">
        <v>-19100</v>
      </c>
      <c r="H39" s="88">
        <v>-21800</v>
      </c>
      <c r="I39" s="88">
        <v>-24800</v>
      </c>
      <c r="J39" s="290" t="s">
        <v>81</v>
      </c>
      <c r="K39" s="26" t="s">
        <v>48</v>
      </c>
      <c r="L39" s="26">
        <f t="shared" si="3"/>
        <v>11</v>
      </c>
      <c r="M39" s="197"/>
      <c r="N39" s="197"/>
      <c r="O39" s="197"/>
      <c r="P39" s="26"/>
    </row>
    <row r="40" spans="1:22" s="36" customFormat="1" x14ac:dyDescent="0.25">
      <c r="A40" s="76" t="s">
        <v>44</v>
      </c>
      <c r="B40" s="336" t="str">
        <f t="shared" si="2"/>
        <v>I12</v>
      </c>
      <c r="C40" s="96" t="s">
        <v>64</v>
      </c>
      <c r="D40" s="77" t="s">
        <v>44</v>
      </c>
      <c r="E40" s="77" t="s">
        <v>46</v>
      </c>
      <c r="F40" s="88">
        <v>-30800</v>
      </c>
      <c r="G40" s="88">
        <v>-40000</v>
      </c>
      <c r="H40" s="88">
        <v>-46000</v>
      </c>
      <c r="I40" s="88">
        <v>-52700</v>
      </c>
      <c r="J40" s="290" t="s">
        <v>81</v>
      </c>
      <c r="K40" s="26" t="s">
        <v>48</v>
      </c>
      <c r="L40" s="26">
        <f>L39+1</f>
        <v>12</v>
      </c>
      <c r="M40" s="197"/>
      <c r="N40" s="197"/>
      <c r="O40" s="197"/>
      <c r="P40" s="10"/>
      <c r="Q40" s="2"/>
      <c r="R40" s="2"/>
      <c r="S40" s="2"/>
      <c r="T40" s="93"/>
      <c r="U40" s="93"/>
    </row>
    <row r="41" spans="1:22" s="36" customFormat="1" x14ac:dyDescent="0.25">
      <c r="A41" s="76" t="s">
        <v>44</v>
      </c>
      <c r="B41" s="336" t="str">
        <f t="shared" si="2"/>
        <v>I13</v>
      </c>
      <c r="C41" s="96" t="s">
        <v>65</v>
      </c>
      <c r="D41" s="77" t="s">
        <v>44</v>
      </c>
      <c r="E41" s="77" t="s">
        <v>46</v>
      </c>
      <c r="F41" s="88">
        <v>30800</v>
      </c>
      <c r="G41" s="88">
        <v>40000</v>
      </c>
      <c r="H41" s="88">
        <v>46000</v>
      </c>
      <c r="I41" s="88">
        <v>52700</v>
      </c>
      <c r="J41" s="290" t="s">
        <v>81</v>
      </c>
      <c r="K41" s="26" t="s">
        <v>48</v>
      </c>
      <c r="L41" s="26">
        <f t="shared" si="3"/>
        <v>13</v>
      </c>
      <c r="M41" s="197"/>
      <c r="N41" s="197"/>
      <c r="O41" s="197"/>
      <c r="P41" s="198"/>
      <c r="Q41" s="2"/>
      <c r="R41" s="2"/>
      <c r="S41" s="2"/>
    </row>
    <row r="42" spans="1:22" s="36" customFormat="1" x14ac:dyDescent="0.25">
      <c r="A42" s="76" t="s">
        <v>44</v>
      </c>
      <c r="B42" s="336" t="str">
        <f t="shared" si="2"/>
        <v>I14</v>
      </c>
      <c r="C42" s="96" t="s">
        <v>66</v>
      </c>
      <c r="D42" s="77" t="s">
        <v>44</v>
      </c>
      <c r="E42" s="77" t="s">
        <v>46</v>
      </c>
      <c r="F42" s="88">
        <v>-9400</v>
      </c>
      <c r="G42" s="88">
        <v>-10200</v>
      </c>
      <c r="H42" s="88">
        <v>-10400</v>
      </c>
      <c r="I42" s="88">
        <v>-10500</v>
      </c>
      <c r="J42" s="290" t="s">
        <v>81</v>
      </c>
      <c r="K42" s="26" t="s">
        <v>48</v>
      </c>
      <c r="L42" s="26">
        <f t="shared" si="3"/>
        <v>14</v>
      </c>
      <c r="M42" s="197"/>
      <c r="N42" s="197"/>
      <c r="O42" s="197"/>
      <c r="P42" s="199"/>
      <c r="Q42" s="199"/>
      <c r="R42" s="199"/>
      <c r="S42" s="199"/>
    </row>
    <row r="43" spans="1:22" s="36" customFormat="1" x14ac:dyDescent="0.25">
      <c r="A43" s="76" t="s">
        <v>44</v>
      </c>
      <c r="B43" s="336" t="str">
        <f t="shared" si="2"/>
        <v>I15</v>
      </c>
      <c r="C43" s="96" t="s">
        <v>67</v>
      </c>
      <c r="D43" s="77" t="s">
        <v>44</v>
      </c>
      <c r="E43" s="77" t="s">
        <v>46</v>
      </c>
      <c r="F43" s="88">
        <v>-123000</v>
      </c>
      <c r="G43" s="88">
        <v>-127000</v>
      </c>
      <c r="H43" s="88">
        <v>-131000</v>
      </c>
      <c r="I43" s="88">
        <v>-135000</v>
      </c>
      <c r="J43" s="290" t="s">
        <v>68</v>
      </c>
      <c r="K43" s="26" t="s">
        <v>48</v>
      </c>
      <c r="L43" s="26">
        <f t="shared" si="3"/>
        <v>15</v>
      </c>
      <c r="M43" s="197"/>
      <c r="N43" s="197"/>
      <c r="O43" s="197"/>
      <c r="P43" s="199"/>
      <c r="Q43" s="199"/>
      <c r="R43" s="199"/>
      <c r="S43" s="199"/>
    </row>
    <row r="44" spans="1:22" s="36" customFormat="1" x14ac:dyDescent="0.25">
      <c r="A44" s="76" t="s">
        <v>44</v>
      </c>
      <c r="B44" s="336" t="str">
        <f t="shared" si="2"/>
        <v>I16</v>
      </c>
      <c r="C44" s="96" t="s">
        <v>69</v>
      </c>
      <c r="D44" s="77" t="s">
        <v>44</v>
      </c>
      <c r="E44" s="77" t="s">
        <v>46</v>
      </c>
      <c r="F44" s="88">
        <v>-1250</v>
      </c>
      <c r="G44" s="88">
        <v>-1339</v>
      </c>
      <c r="H44" s="88">
        <v>-1428</v>
      </c>
      <c r="I44" s="88">
        <v>-1428</v>
      </c>
      <c r="J44" s="290" t="s">
        <v>70</v>
      </c>
      <c r="K44" s="26" t="s">
        <v>48</v>
      </c>
      <c r="L44" s="26">
        <f t="shared" si="3"/>
        <v>16</v>
      </c>
      <c r="M44" s="197"/>
      <c r="N44" s="197"/>
      <c r="O44" s="197"/>
      <c r="P44" s="199"/>
      <c r="Q44" s="199"/>
      <c r="R44" s="199"/>
      <c r="S44" s="199"/>
    </row>
    <row r="45" spans="1:22" s="36" customFormat="1" x14ac:dyDescent="0.25">
      <c r="A45" s="76" t="s">
        <v>44</v>
      </c>
      <c r="B45" s="336" t="str">
        <f t="shared" si="2"/>
        <v>I17</v>
      </c>
      <c r="C45" s="96" t="s">
        <v>71</v>
      </c>
      <c r="D45" s="77" t="s">
        <v>44</v>
      </c>
      <c r="E45" s="77" t="s">
        <v>46</v>
      </c>
      <c r="F45" s="88">
        <v>-2000</v>
      </c>
      <c r="G45" s="88">
        <v>-2000</v>
      </c>
      <c r="H45" s="88">
        <v>-2000</v>
      </c>
      <c r="I45" s="88">
        <v>-2000</v>
      </c>
      <c r="J45" s="290" t="s">
        <v>70</v>
      </c>
      <c r="K45" s="26" t="s">
        <v>48</v>
      </c>
      <c r="L45" s="26">
        <f t="shared" si="3"/>
        <v>17</v>
      </c>
      <c r="M45" s="197"/>
      <c r="N45" s="197"/>
      <c r="O45" s="197"/>
      <c r="P45" s="199"/>
      <c r="Q45" s="199"/>
      <c r="R45" s="199"/>
      <c r="S45" s="199"/>
    </row>
    <row r="46" spans="1:22" s="36" customFormat="1" x14ac:dyDescent="0.25">
      <c r="A46" s="76" t="s">
        <v>44</v>
      </c>
      <c r="B46" s="336" t="str">
        <f t="shared" si="2"/>
        <v>I18</v>
      </c>
      <c r="C46" s="96" t="s">
        <v>72</v>
      </c>
      <c r="D46" s="77" t="s">
        <v>44</v>
      </c>
      <c r="E46" s="77" t="s">
        <v>46</v>
      </c>
      <c r="F46" s="88">
        <v>-3400</v>
      </c>
      <c r="G46" s="88">
        <v>-3600</v>
      </c>
      <c r="H46" s="88">
        <v>-3600</v>
      </c>
      <c r="I46" s="88">
        <v>-3600</v>
      </c>
      <c r="J46" s="290" t="s">
        <v>81</v>
      </c>
      <c r="K46" s="26" t="s">
        <v>48</v>
      </c>
      <c r="L46" s="26">
        <f>L45+1</f>
        <v>18</v>
      </c>
      <c r="M46" s="197"/>
      <c r="N46" s="197"/>
      <c r="O46" s="197"/>
      <c r="P46" s="197"/>
    </row>
    <row r="47" spans="1:22" s="36" customFormat="1" x14ac:dyDescent="0.25">
      <c r="A47" s="76" t="s">
        <v>44</v>
      </c>
      <c r="B47" s="336" t="str">
        <f t="shared" si="2"/>
        <v>I19</v>
      </c>
      <c r="C47" s="96" t="s">
        <v>73</v>
      </c>
      <c r="D47" s="77" t="s">
        <v>44</v>
      </c>
      <c r="E47" s="77" t="s">
        <v>46</v>
      </c>
      <c r="F47" s="88"/>
      <c r="G47" s="88"/>
      <c r="H47" s="88"/>
      <c r="I47" s="88"/>
      <c r="J47" s="290" t="s">
        <v>74</v>
      </c>
      <c r="K47" s="26" t="s">
        <v>48</v>
      </c>
      <c r="L47" s="26">
        <f t="shared" si="3"/>
        <v>19</v>
      </c>
      <c r="M47" s="197"/>
      <c r="N47" s="197"/>
      <c r="O47" s="197"/>
      <c r="P47" s="197"/>
    </row>
    <row r="48" spans="1:22" s="36" customFormat="1" x14ac:dyDescent="0.25">
      <c r="A48" s="76" t="s">
        <v>44</v>
      </c>
      <c r="B48" s="336" t="str">
        <f t="shared" si="2"/>
        <v>I20</v>
      </c>
      <c r="C48" s="96" t="s">
        <v>75</v>
      </c>
      <c r="D48" s="77" t="s">
        <v>44</v>
      </c>
      <c r="E48" s="77" t="s">
        <v>46</v>
      </c>
      <c r="F48" s="88">
        <v>-500</v>
      </c>
      <c r="G48" s="88">
        <v>-500</v>
      </c>
      <c r="H48" s="88">
        <v>-500</v>
      </c>
      <c r="I48" s="88">
        <v>-500</v>
      </c>
      <c r="J48" s="290" t="s">
        <v>321</v>
      </c>
      <c r="K48" s="26" t="s">
        <v>48</v>
      </c>
      <c r="L48" s="26">
        <f t="shared" si="3"/>
        <v>20</v>
      </c>
      <c r="M48" s="197"/>
      <c r="N48" s="197"/>
      <c r="O48" s="197"/>
      <c r="P48" s="197"/>
    </row>
    <row r="49" spans="1:49" s="36" customFormat="1" x14ac:dyDescent="0.25">
      <c r="A49" s="76" t="s">
        <v>44</v>
      </c>
      <c r="B49" s="336" t="str">
        <f t="shared" si="2"/>
        <v>I21</v>
      </c>
      <c r="C49" s="281" t="s">
        <v>77</v>
      </c>
      <c r="D49" s="282" t="s">
        <v>44</v>
      </c>
      <c r="E49" s="282" t="s">
        <v>46</v>
      </c>
      <c r="F49" s="283">
        <v>60000</v>
      </c>
      <c r="G49" s="283">
        <v>60000</v>
      </c>
      <c r="H49" s="283">
        <f>90000-690+5000</f>
        <v>94310</v>
      </c>
      <c r="I49" s="283">
        <f>90000+32319</f>
        <v>122319</v>
      </c>
      <c r="J49" s="290" t="s">
        <v>81</v>
      </c>
      <c r="K49" s="26" t="s">
        <v>48</v>
      </c>
      <c r="L49" s="26">
        <f t="shared" si="3"/>
        <v>21</v>
      </c>
      <c r="M49" s="36">
        <v>47663</v>
      </c>
      <c r="N49" s="36">
        <v>42964</v>
      </c>
      <c r="O49" s="36">
        <v>35638</v>
      </c>
      <c r="P49" s="36">
        <v>35638</v>
      </c>
    </row>
    <row r="50" spans="1:49" s="36" customFormat="1" x14ac:dyDescent="0.25">
      <c r="A50" s="76" t="s">
        <v>44</v>
      </c>
      <c r="B50" s="336" t="str">
        <f t="shared" si="2"/>
        <v>I22</v>
      </c>
      <c r="C50" s="96" t="s">
        <v>78</v>
      </c>
      <c r="D50" s="77" t="s">
        <v>44</v>
      </c>
      <c r="E50" s="77" t="s">
        <v>46</v>
      </c>
      <c r="F50" s="88">
        <v>-5500</v>
      </c>
      <c r="G50" s="88">
        <v>-5500</v>
      </c>
      <c r="H50" s="88"/>
      <c r="I50" s="88"/>
      <c r="J50" s="290" t="s">
        <v>323</v>
      </c>
      <c r="K50" s="26" t="s">
        <v>48</v>
      </c>
      <c r="L50" s="26">
        <f t="shared" si="3"/>
        <v>22</v>
      </c>
      <c r="M50" s="26"/>
      <c r="N50" s="26"/>
      <c r="O50" s="26"/>
      <c r="P50" s="26"/>
    </row>
    <row r="51" spans="1:49" s="36" customFormat="1" x14ac:dyDescent="0.25">
      <c r="A51" s="43" t="s">
        <v>44</v>
      </c>
      <c r="B51" s="336" t="str">
        <f t="shared" si="2"/>
        <v>I23</v>
      </c>
      <c r="C51" s="96" t="s">
        <v>80</v>
      </c>
      <c r="D51" s="77" t="s">
        <v>44</v>
      </c>
      <c r="E51" s="77" t="s">
        <v>46</v>
      </c>
      <c r="F51" s="88">
        <v>270000</v>
      </c>
      <c r="G51" s="88">
        <v>283000</v>
      </c>
      <c r="H51" s="88">
        <v>296000</v>
      </c>
      <c r="I51" s="88">
        <v>309000</v>
      </c>
      <c r="J51" s="290" t="s">
        <v>81</v>
      </c>
      <c r="K51" s="26" t="s">
        <v>48</v>
      </c>
      <c r="L51" s="26">
        <f t="shared" si="3"/>
        <v>23</v>
      </c>
      <c r="M51" s="26"/>
      <c r="N51" s="26"/>
      <c r="O51" s="26"/>
      <c r="P51" s="26"/>
    </row>
    <row r="52" spans="1:49" s="36" customFormat="1" x14ac:dyDescent="0.25">
      <c r="A52" s="43" t="s">
        <v>44</v>
      </c>
      <c r="B52" s="336" t="str">
        <f t="shared" si="2"/>
        <v>I24</v>
      </c>
      <c r="C52" s="96" t="s">
        <v>82</v>
      </c>
      <c r="D52" s="77" t="s">
        <v>44</v>
      </c>
      <c r="E52" s="77" t="s">
        <v>46</v>
      </c>
      <c r="F52" s="88">
        <v>-270000</v>
      </c>
      <c r="G52" s="88">
        <v>-283000</v>
      </c>
      <c r="H52" s="88">
        <v>-296000</v>
      </c>
      <c r="I52" s="88">
        <v>-309000</v>
      </c>
      <c r="J52" s="290" t="s">
        <v>81</v>
      </c>
      <c r="K52" s="26" t="s">
        <v>48</v>
      </c>
      <c r="L52" s="26">
        <f t="shared" si="3"/>
        <v>24</v>
      </c>
      <c r="M52" s="26"/>
      <c r="N52" s="26"/>
      <c r="O52" s="26"/>
      <c r="P52" s="26"/>
    </row>
    <row r="53" spans="1:49" s="36" customFormat="1" x14ac:dyDescent="0.25">
      <c r="A53" s="43" t="s">
        <v>44</v>
      </c>
      <c r="B53" s="336" t="str">
        <f t="shared" si="2"/>
        <v>I25</v>
      </c>
      <c r="C53" s="96" t="s">
        <v>83</v>
      </c>
      <c r="D53" s="77" t="s">
        <v>44</v>
      </c>
      <c r="E53" s="77" t="s">
        <v>46</v>
      </c>
      <c r="F53" s="88">
        <v>-19941</v>
      </c>
      <c r="G53" s="88">
        <v>-21381</v>
      </c>
      <c r="H53" s="88">
        <v>-21189</v>
      </c>
      <c r="I53" s="88">
        <v>-21619</v>
      </c>
      <c r="J53" s="290" t="s">
        <v>389</v>
      </c>
      <c r="K53" s="26" t="s">
        <v>48</v>
      </c>
      <c r="L53" s="26">
        <f t="shared" si="3"/>
        <v>25</v>
      </c>
      <c r="M53" s="26"/>
      <c r="N53" s="26"/>
      <c r="O53" s="26"/>
      <c r="P53" s="26"/>
    </row>
    <row r="54" spans="1:49" s="36" customFormat="1" x14ac:dyDescent="0.25">
      <c r="A54" s="43" t="s">
        <v>44</v>
      </c>
      <c r="B54" s="336" t="str">
        <f t="shared" si="2"/>
        <v>I26</v>
      </c>
      <c r="C54" s="96" t="s">
        <v>85</v>
      </c>
      <c r="D54" s="77" t="s">
        <v>44</v>
      </c>
      <c r="E54" s="77" t="s">
        <v>46</v>
      </c>
      <c r="F54" s="88">
        <v>-41629</v>
      </c>
      <c r="G54" s="88">
        <v>-46431</v>
      </c>
      <c r="H54" s="88">
        <v>-50107</v>
      </c>
      <c r="I54" s="88">
        <v>-50938</v>
      </c>
      <c r="J54" s="290" t="s">
        <v>389</v>
      </c>
      <c r="K54" s="26" t="s">
        <v>48</v>
      </c>
      <c r="L54" s="26">
        <f t="shared" si="3"/>
        <v>26</v>
      </c>
      <c r="M54" s="26"/>
      <c r="N54" s="26"/>
      <c r="O54" s="26"/>
      <c r="P54" s="26"/>
    </row>
    <row r="55" spans="1:49" s="36" customFormat="1" x14ac:dyDescent="0.25">
      <c r="A55" s="43" t="s">
        <v>44</v>
      </c>
      <c r="B55" s="336" t="str">
        <f t="shared" si="2"/>
        <v>I27</v>
      </c>
      <c r="C55" s="96" t="s">
        <v>86</v>
      </c>
      <c r="D55" s="77" t="s">
        <v>44</v>
      </c>
      <c r="E55" s="77" t="s">
        <v>46</v>
      </c>
      <c r="F55" s="88">
        <v>141</v>
      </c>
      <c r="G55" s="88">
        <v>88</v>
      </c>
      <c r="H55" s="88">
        <v>-153</v>
      </c>
      <c r="I55" s="88">
        <v>-1059</v>
      </c>
      <c r="J55" s="290" t="s">
        <v>389</v>
      </c>
      <c r="K55" s="26" t="s">
        <v>48</v>
      </c>
      <c r="L55" s="26">
        <f t="shared" si="3"/>
        <v>27</v>
      </c>
      <c r="M55" s="26"/>
      <c r="N55" s="26"/>
      <c r="O55" s="26"/>
      <c r="P55" s="26"/>
    </row>
    <row r="56" spans="1:49" s="36" customFormat="1" x14ac:dyDescent="0.25">
      <c r="A56" s="76" t="s">
        <v>44</v>
      </c>
      <c r="B56" s="336" t="str">
        <f t="shared" si="2"/>
        <v>I28</v>
      </c>
      <c r="C56" s="96"/>
      <c r="D56" s="77" t="s">
        <v>44</v>
      </c>
      <c r="E56" s="77" t="s">
        <v>46</v>
      </c>
      <c r="F56" s="88"/>
      <c r="G56" s="88"/>
      <c r="H56" s="88"/>
      <c r="I56" s="88"/>
      <c r="J56" s="290"/>
      <c r="K56" s="26" t="s">
        <v>48</v>
      </c>
      <c r="L56" s="26">
        <f t="shared" si="3"/>
        <v>28</v>
      </c>
      <c r="M56" s="26"/>
      <c r="N56" s="26"/>
      <c r="O56" s="26"/>
      <c r="P56" s="26"/>
    </row>
    <row r="57" spans="1:49" s="36" customFormat="1" x14ac:dyDescent="0.25">
      <c r="A57" s="76" t="s">
        <v>44</v>
      </c>
      <c r="B57" s="336" t="str">
        <f t="shared" si="2"/>
        <v>I29</v>
      </c>
      <c r="C57" s="96"/>
      <c r="D57" s="77" t="s">
        <v>44</v>
      </c>
      <c r="E57" s="77" t="s">
        <v>46</v>
      </c>
      <c r="F57" s="88"/>
      <c r="G57" s="88"/>
      <c r="H57" s="88"/>
      <c r="I57" s="88"/>
      <c r="J57" s="290"/>
      <c r="K57" s="26" t="s">
        <v>48</v>
      </c>
      <c r="L57" s="26">
        <f t="shared" si="3"/>
        <v>29</v>
      </c>
      <c r="M57" s="26"/>
      <c r="N57" s="26"/>
      <c r="O57" s="26"/>
      <c r="P57" s="26"/>
    </row>
    <row r="58" spans="1:49" s="36" customFormat="1" x14ac:dyDescent="0.25">
      <c r="A58" s="76" t="s">
        <v>44</v>
      </c>
      <c r="B58" s="336" t="str">
        <f t="shared" si="2"/>
        <v>I30</v>
      </c>
      <c r="C58" s="96"/>
      <c r="D58" s="77" t="s">
        <v>44</v>
      </c>
      <c r="E58" s="77" t="s">
        <v>46</v>
      </c>
      <c r="F58" s="88"/>
      <c r="G58" s="88"/>
      <c r="H58" s="88"/>
      <c r="I58" s="88"/>
      <c r="J58" s="290"/>
      <c r="K58" s="26" t="s">
        <v>48</v>
      </c>
      <c r="L58" s="26">
        <f t="shared" si="3"/>
        <v>30</v>
      </c>
      <c r="M58" s="26"/>
      <c r="N58" s="26"/>
      <c r="O58" s="26"/>
      <c r="P58" s="26"/>
      <c r="AW58" s="93"/>
    </row>
    <row r="59" spans="1:49" s="36" customFormat="1" x14ac:dyDescent="0.25">
      <c r="A59" s="76" t="s">
        <v>44</v>
      </c>
      <c r="B59" s="336" t="str">
        <f t="shared" si="2"/>
        <v>I31</v>
      </c>
      <c r="C59" s="96"/>
      <c r="D59" s="77" t="s">
        <v>44</v>
      </c>
      <c r="E59" s="77" t="s">
        <v>46</v>
      </c>
      <c r="F59" s="88"/>
      <c r="G59" s="88"/>
      <c r="H59" s="88"/>
      <c r="I59" s="88"/>
      <c r="J59" s="290"/>
      <c r="K59" s="26" t="s">
        <v>48</v>
      </c>
      <c r="L59" s="26">
        <f t="shared" si="3"/>
        <v>31</v>
      </c>
      <c r="M59" s="26"/>
      <c r="N59" s="26"/>
      <c r="O59" s="26"/>
      <c r="P59" s="26"/>
    </row>
    <row r="60" spans="1:49" s="36" customFormat="1" x14ac:dyDescent="0.25">
      <c r="A60" s="76" t="s">
        <v>44</v>
      </c>
      <c r="B60" s="336" t="str">
        <f t="shared" si="2"/>
        <v>I32</v>
      </c>
      <c r="C60" s="96"/>
      <c r="D60" s="77" t="s">
        <v>44</v>
      </c>
      <c r="E60" s="77" t="s">
        <v>46</v>
      </c>
      <c r="F60" s="88"/>
      <c r="G60" s="88"/>
      <c r="H60" s="88"/>
      <c r="I60" s="88"/>
      <c r="J60" s="290"/>
      <c r="K60" s="26" t="s">
        <v>48</v>
      </c>
      <c r="L60" s="26">
        <f t="shared" si="3"/>
        <v>32</v>
      </c>
      <c r="M60" s="26"/>
      <c r="N60" s="26"/>
      <c r="O60" s="26"/>
      <c r="P60" s="26"/>
    </row>
    <row r="61" spans="1:49" s="36" customFormat="1" x14ac:dyDescent="0.25">
      <c r="A61" s="242"/>
      <c r="B61" s="242"/>
      <c r="C61" s="243"/>
      <c r="D61" s="212"/>
      <c r="E61" s="109"/>
      <c r="F61" s="108"/>
      <c r="G61" s="108"/>
      <c r="H61" s="108"/>
      <c r="I61" s="108"/>
      <c r="J61" s="37"/>
      <c r="K61" s="26" t="s">
        <v>48</v>
      </c>
      <c r="L61" s="26">
        <f t="shared" si="3"/>
        <v>33</v>
      </c>
      <c r="M61" s="26"/>
      <c r="N61" s="26"/>
      <c r="O61" s="26"/>
      <c r="P61" s="26"/>
    </row>
    <row r="62" spans="1:49" s="36" customFormat="1" x14ac:dyDescent="0.25">
      <c r="A62" s="41"/>
      <c r="B62" s="41"/>
      <c r="C62" s="3" t="s">
        <v>87</v>
      </c>
      <c r="D62" s="61"/>
      <c r="E62" s="61"/>
      <c r="F62" s="7">
        <f>SUMIF($A:$A,"SENT.INNT",F:F)</f>
        <v>-4748996</v>
      </c>
      <c r="G62" s="7">
        <f>SUMIF($A:$A,"SENT.INNT",G:G)</f>
        <v>-4807285</v>
      </c>
      <c r="H62" s="7">
        <f>SUMIF($A:$A,"SENT.INNT",H:H)</f>
        <v>-4826483</v>
      </c>
      <c r="I62" s="7">
        <f>SUMIF($A:$A,"SENT.INNT",I:I)</f>
        <v>-4849541</v>
      </c>
      <c r="J62" s="37"/>
      <c r="K62" s="26"/>
      <c r="L62" s="26"/>
      <c r="M62" s="26"/>
      <c r="N62" s="26"/>
      <c r="O62" s="26"/>
      <c r="P62" s="26"/>
    </row>
    <row r="63" spans="1:49" s="36" customFormat="1" x14ac:dyDescent="0.25">
      <c r="A63" s="44"/>
      <c r="B63" s="44"/>
      <c r="C63" s="3" t="s">
        <v>88</v>
      </c>
      <c r="D63" s="50"/>
      <c r="E63" s="50"/>
      <c r="F63" s="7">
        <f>F4</f>
        <v>4546363</v>
      </c>
      <c r="G63" s="7">
        <f>G4</f>
        <v>4546363</v>
      </c>
      <c r="H63" s="7">
        <f>H4</f>
        <v>4546363</v>
      </c>
      <c r="I63" s="7">
        <f>I4</f>
        <v>4546363</v>
      </c>
      <c r="J63" s="37"/>
      <c r="K63" s="26"/>
      <c r="L63" s="26"/>
      <c r="M63" s="26"/>
      <c r="N63" s="26"/>
      <c r="O63" s="26"/>
      <c r="P63" s="26"/>
    </row>
    <row r="64" spans="1:49" s="36" customFormat="1" x14ac:dyDescent="0.25">
      <c r="A64" s="41"/>
      <c r="B64" s="41"/>
      <c r="C64" s="3" t="s">
        <v>89</v>
      </c>
      <c r="D64" s="50"/>
      <c r="E64" s="50"/>
      <c r="F64" s="7">
        <f>F62+F63</f>
        <v>-202633</v>
      </c>
      <c r="G64" s="7">
        <f>G62+G63</f>
        <v>-260922</v>
      </c>
      <c r="H64" s="7">
        <f>H62+H63</f>
        <v>-280120</v>
      </c>
      <c r="I64" s="7">
        <f>I62+I63</f>
        <v>-303178</v>
      </c>
      <c r="J64" s="37"/>
      <c r="K64" s="26"/>
      <c r="L64" s="26"/>
      <c r="M64" s="26"/>
      <c r="N64" s="26"/>
      <c r="O64" s="26"/>
      <c r="P64" s="26"/>
    </row>
    <row r="65" spans="1:20" s="36" customFormat="1" x14ac:dyDescent="0.25">
      <c r="A65" s="45"/>
      <c r="B65" s="45"/>
      <c r="C65" s="9"/>
      <c r="D65" s="47"/>
      <c r="E65" s="47"/>
      <c r="F65" s="10"/>
      <c r="G65" s="10"/>
      <c r="H65" s="10"/>
      <c r="I65" s="10"/>
      <c r="J65" s="37"/>
      <c r="K65" s="26"/>
      <c r="L65" s="26"/>
      <c r="M65" s="26"/>
      <c r="N65" s="26"/>
      <c r="O65" s="26"/>
      <c r="P65" s="26"/>
    </row>
    <row r="66" spans="1:20" s="1" customFormat="1" x14ac:dyDescent="0.25">
      <c r="A66" s="46"/>
      <c r="B66" s="46"/>
      <c r="C66" s="11" t="s">
        <v>90</v>
      </c>
      <c r="D66" s="48"/>
      <c r="E66" s="48"/>
      <c r="F66" s="12"/>
      <c r="G66" s="12"/>
      <c r="H66" s="12"/>
      <c r="I66" s="12"/>
      <c r="J66" s="37"/>
      <c r="K66" s="36"/>
      <c r="L66" s="36"/>
      <c r="M66" s="27"/>
      <c r="N66" s="27"/>
      <c r="O66" s="27"/>
      <c r="P66" s="27"/>
    </row>
    <row r="67" spans="1:20" s="36" customFormat="1" x14ac:dyDescent="0.25">
      <c r="A67" s="70"/>
      <c r="B67" s="339"/>
      <c r="C67" s="244" t="s">
        <v>91</v>
      </c>
      <c r="D67" s="81"/>
      <c r="E67" s="81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7"/>
      <c r="K67" s="335"/>
      <c r="L67" s="335"/>
      <c r="M67" s="97" t="s">
        <v>92</v>
      </c>
      <c r="N67" s="97" t="s">
        <v>93</v>
      </c>
      <c r="O67" s="97" t="s">
        <v>94</v>
      </c>
      <c r="P67" s="26"/>
    </row>
    <row r="68" spans="1:20" s="36" customFormat="1" x14ac:dyDescent="0.25">
      <c r="A68" s="76" t="s">
        <v>95</v>
      </c>
      <c r="B68" s="76" t="str">
        <f t="shared" ref="B68:B90" si="4">IF(L68,K68&amp;L68,"")</f>
        <v>OV1</v>
      </c>
      <c r="C68" s="243" t="s">
        <v>96</v>
      </c>
      <c r="D68" s="70" t="s">
        <v>97</v>
      </c>
      <c r="E68" s="77" t="s">
        <v>98</v>
      </c>
      <c r="F68" s="88">
        <v>6680</v>
      </c>
      <c r="G68" s="88">
        <v>13556</v>
      </c>
      <c r="H68" s="88">
        <v>13921</v>
      </c>
      <c r="I68" s="88">
        <v>13921</v>
      </c>
      <c r="J68" s="407" t="s">
        <v>390</v>
      </c>
      <c r="K68" s="26" t="s">
        <v>100</v>
      </c>
      <c r="L68" s="36">
        <v>1</v>
      </c>
      <c r="M68" s="97" t="str">
        <f t="shared" ref="M68" si="5">IF(E68="VEDTATT","VEDTATT",0)</f>
        <v>VEDTATT</v>
      </c>
      <c r="N68" s="97">
        <f>IF(E68="MÅ","Nye tiltak",0)</f>
        <v>0</v>
      </c>
      <c r="O68" s="97"/>
      <c r="P68" s="26"/>
      <c r="Q68" s="93"/>
      <c r="R68" s="93"/>
      <c r="S68" s="93"/>
      <c r="T68" s="93"/>
    </row>
    <row r="69" spans="1:20" s="36" customFormat="1" x14ac:dyDescent="0.25">
      <c r="A69" s="76" t="s">
        <v>95</v>
      </c>
      <c r="B69" s="76" t="str">
        <f t="shared" si="4"/>
        <v>OV2</v>
      </c>
      <c r="C69" s="243" t="s">
        <v>102</v>
      </c>
      <c r="D69" s="70" t="s">
        <v>97</v>
      </c>
      <c r="E69" s="77" t="s">
        <v>98</v>
      </c>
      <c r="F69" s="88">
        <v>1335</v>
      </c>
      <c r="G69" s="88">
        <v>2710</v>
      </c>
      <c r="H69" s="88">
        <v>2782</v>
      </c>
      <c r="I69" s="88">
        <v>2782</v>
      </c>
      <c r="J69" s="407" t="s">
        <v>390</v>
      </c>
      <c r="K69" s="26" t="s">
        <v>100</v>
      </c>
      <c r="L69" s="36">
        <f>L68+1</f>
        <v>2</v>
      </c>
      <c r="M69" s="97" t="str">
        <f>IF(E69="VEDTATT","VEDTATT",0)</f>
        <v>VEDTATT</v>
      </c>
      <c r="N69" s="97">
        <f>IF(E69="MÅ","Nye tiltak",0)</f>
        <v>0</v>
      </c>
      <c r="O69" s="97"/>
      <c r="P69" s="26"/>
      <c r="R69" s="93"/>
      <c r="S69" s="93"/>
      <c r="T69" s="93"/>
    </row>
    <row r="70" spans="1:20" s="36" customFormat="1" x14ac:dyDescent="0.25">
      <c r="A70" s="76" t="s">
        <v>95</v>
      </c>
      <c r="B70" s="76" t="str">
        <f t="shared" si="4"/>
        <v>OV3</v>
      </c>
      <c r="C70" s="243" t="s">
        <v>104</v>
      </c>
      <c r="D70" s="70" t="s">
        <v>105</v>
      </c>
      <c r="E70" s="77" t="s">
        <v>98</v>
      </c>
      <c r="F70" s="88"/>
      <c r="G70" s="88"/>
      <c r="H70" s="88">
        <v>-852</v>
      </c>
      <c r="I70" s="88">
        <v>-852</v>
      </c>
      <c r="J70" s="408"/>
      <c r="K70" s="26" t="s">
        <v>100</v>
      </c>
      <c r="L70" s="36">
        <f t="shared" ref="L70:L90" si="6">L69+1</f>
        <v>3</v>
      </c>
      <c r="M70" s="97" t="str">
        <f>IF(E70="VEDTATT","VEDTATT",0)</f>
        <v>VEDTATT</v>
      </c>
      <c r="N70" s="97">
        <f>IF(E70="MÅ","Nye tiltak",0)</f>
        <v>0</v>
      </c>
      <c r="O70" s="251"/>
      <c r="P70" s="26"/>
    </row>
    <row r="71" spans="1:20" s="36" customFormat="1" x14ac:dyDescent="0.2">
      <c r="A71" s="76" t="s">
        <v>95</v>
      </c>
      <c r="B71" s="76" t="str">
        <f t="shared" si="4"/>
        <v>OV4</v>
      </c>
      <c r="C71" s="243" t="s">
        <v>114</v>
      </c>
      <c r="D71" s="70" t="s">
        <v>97</v>
      </c>
      <c r="E71" s="77" t="s">
        <v>98</v>
      </c>
      <c r="F71" s="488">
        <v>20900</v>
      </c>
      <c r="G71" s="488">
        <v>26400</v>
      </c>
      <c r="H71" s="488">
        <v>33700</v>
      </c>
      <c r="I71" s="488">
        <v>33700</v>
      </c>
      <c r="J71" s="408"/>
      <c r="K71" s="26" t="s">
        <v>100</v>
      </c>
      <c r="L71" s="36">
        <f t="shared" si="6"/>
        <v>4</v>
      </c>
      <c r="M71" s="97"/>
      <c r="N71" s="97"/>
      <c r="O71" s="251"/>
      <c r="P71" s="26"/>
    </row>
    <row r="72" spans="1:20" s="36" customFormat="1" x14ac:dyDescent="0.25">
      <c r="A72" s="76" t="s">
        <v>95</v>
      </c>
      <c r="B72" s="76" t="str">
        <f t="shared" ref="B72" si="7">IF(L72,K72&amp;L72,"")</f>
        <v>OV5</v>
      </c>
      <c r="C72" s="243" t="s">
        <v>116</v>
      </c>
      <c r="D72" s="70" t="s">
        <v>97</v>
      </c>
      <c r="E72" s="77" t="s">
        <v>98</v>
      </c>
      <c r="F72" s="88"/>
      <c r="G72" s="88"/>
      <c r="H72" s="88"/>
      <c r="I72" s="88"/>
      <c r="J72" s="408"/>
      <c r="K72" s="26" t="s">
        <v>100</v>
      </c>
      <c r="L72" s="36">
        <f t="shared" si="6"/>
        <v>5</v>
      </c>
      <c r="M72" s="97"/>
      <c r="N72" s="97"/>
      <c r="O72" s="251"/>
      <c r="P72" s="26"/>
    </row>
    <row r="73" spans="1:20" s="36" customFormat="1" x14ac:dyDescent="0.2">
      <c r="A73" s="76" t="s">
        <v>95</v>
      </c>
      <c r="B73" s="76" t="str">
        <f t="shared" si="4"/>
        <v>OV6</v>
      </c>
      <c r="C73" s="243" t="s">
        <v>117</v>
      </c>
      <c r="D73" s="70" t="s">
        <v>97</v>
      </c>
      <c r="E73" s="77" t="s">
        <v>98</v>
      </c>
      <c r="F73" s="487">
        <v>520</v>
      </c>
      <c r="G73" s="487">
        <v>520</v>
      </c>
      <c r="H73" s="487">
        <v>520</v>
      </c>
      <c r="I73" s="487">
        <v>520</v>
      </c>
      <c r="J73" s="408"/>
      <c r="K73" s="26" t="s">
        <v>100</v>
      </c>
      <c r="L73" s="36">
        <f t="shared" si="6"/>
        <v>6</v>
      </c>
      <c r="M73" s="97"/>
      <c r="N73" s="97"/>
      <c r="O73" s="251"/>
      <c r="P73" s="26"/>
    </row>
    <row r="74" spans="1:20" s="36" customFormat="1" x14ac:dyDescent="0.25">
      <c r="A74" s="76" t="s">
        <v>95</v>
      </c>
      <c r="B74" s="76" t="str">
        <f t="shared" si="4"/>
        <v>OV7</v>
      </c>
      <c r="C74" s="243" t="s">
        <v>106</v>
      </c>
      <c r="D74" s="70" t="s">
        <v>105</v>
      </c>
      <c r="E74" s="77" t="s">
        <v>98</v>
      </c>
      <c r="F74" s="88"/>
      <c r="G74" s="88">
        <v>-2300</v>
      </c>
      <c r="H74" s="88">
        <v>-2300</v>
      </c>
      <c r="I74" s="88">
        <v>-2300</v>
      </c>
      <c r="J74" s="407"/>
      <c r="K74" s="26" t="s">
        <v>100</v>
      </c>
      <c r="L74" s="36">
        <f t="shared" si="6"/>
        <v>7</v>
      </c>
      <c r="M74" s="97"/>
      <c r="N74" s="97"/>
      <c r="O74" s="251"/>
      <c r="P74" s="26"/>
    </row>
    <row r="75" spans="1:20" s="36" customFormat="1" x14ac:dyDescent="0.25">
      <c r="A75" s="76" t="s">
        <v>95</v>
      </c>
      <c r="B75" s="76" t="str">
        <f t="shared" si="4"/>
        <v>OV8</v>
      </c>
      <c r="C75" s="243" t="s">
        <v>109</v>
      </c>
      <c r="D75" s="70" t="s">
        <v>97</v>
      </c>
      <c r="E75" s="77" t="s">
        <v>98</v>
      </c>
      <c r="F75" s="88">
        <v>143</v>
      </c>
      <c r="G75" s="88">
        <v>292</v>
      </c>
      <c r="H75" s="88">
        <v>300</v>
      </c>
      <c r="I75" s="88">
        <v>300</v>
      </c>
      <c r="J75" s="407" t="s">
        <v>390</v>
      </c>
      <c r="K75" s="26" t="s">
        <v>100</v>
      </c>
      <c r="L75" s="36">
        <f t="shared" si="6"/>
        <v>8</v>
      </c>
      <c r="M75" s="97" t="str">
        <f>IF(E75="VEDTATT","VEDTATT",0)</f>
        <v>VEDTATT</v>
      </c>
      <c r="N75" s="97">
        <f>IF(E75="MÅ","Nye tiltak",0)</f>
        <v>0</v>
      </c>
      <c r="O75" s="97"/>
      <c r="P75" s="26"/>
    </row>
    <row r="76" spans="1:20" x14ac:dyDescent="0.25">
      <c r="A76" s="76" t="s">
        <v>95</v>
      </c>
      <c r="B76" s="76" t="str">
        <f t="shared" si="4"/>
        <v>OV9</v>
      </c>
      <c r="C76" s="243" t="s">
        <v>391</v>
      </c>
      <c r="D76" s="70" t="s">
        <v>108</v>
      </c>
      <c r="E76" s="77"/>
      <c r="F76" s="388">
        <v>12258</v>
      </c>
      <c r="G76" s="388">
        <v>12258</v>
      </c>
      <c r="H76" s="108">
        <v>12258</v>
      </c>
      <c r="I76" s="108">
        <v>12258</v>
      </c>
      <c r="J76" s="92" t="s">
        <v>392</v>
      </c>
      <c r="K76" s="26" t="s">
        <v>100</v>
      </c>
      <c r="L76" s="36">
        <f t="shared" si="6"/>
        <v>9</v>
      </c>
    </row>
    <row r="77" spans="1:20" x14ac:dyDescent="0.25">
      <c r="A77" s="76" t="s">
        <v>95</v>
      </c>
      <c r="B77" s="76" t="str">
        <f t="shared" si="4"/>
        <v>OV10</v>
      </c>
      <c r="C77" s="436" t="s">
        <v>324</v>
      </c>
      <c r="D77" s="70" t="s">
        <v>108</v>
      </c>
      <c r="E77" s="228" t="s">
        <v>46</v>
      </c>
      <c r="F77" s="388">
        <v>2100</v>
      </c>
      <c r="G77" s="108">
        <v>2100</v>
      </c>
      <c r="H77" s="108">
        <v>2100</v>
      </c>
      <c r="I77" s="108">
        <v>2100</v>
      </c>
      <c r="J77" s="92" t="s">
        <v>325</v>
      </c>
      <c r="K77" s="26" t="s">
        <v>100</v>
      </c>
      <c r="L77" s="36">
        <f t="shared" si="6"/>
        <v>10</v>
      </c>
    </row>
    <row r="78" spans="1:20" x14ac:dyDescent="0.25">
      <c r="A78" s="76" t="s">
        <v>95</v>
      </c>
      <c r="B78" s="76" t="str">
        <f t="shared" si="4"/>
        <v>OV11</v>
      </c>
      <c r="C78" s="436" t="s">
        <v>326</v>
      </c>
      <c r="D78" s="70" t="s">
        <v>108</v>
      </c>
      <c r="E78" s="228"/>
      <c r="J78" s="92" t="s">
        <v>327</v>
      </c>
      <c r="K78" s="26" t="s">
        <v>100</v>
      </c>
      <c r="L78" s="36">
        <f t="shared" si="6"/>
        <v>11</v>
      </c>
    </row>
    <row r="79" spans="1:20" s="36" customFormat="1" x14ac:dyDescent="0.25">
      <c r="A79" s="76"/>
      <c r="B79" s="76" t="str">
        <f t="shared" si="4"/>
        <v>OV12</v>
      </c>
      <c r="C79" s="243"/>
      <c r="D79" s="77"/>
      <c r="E79" s="77"/>
      <c r="F79" s="88"/>
      <c r="G79" s="88"/>
      <c r="H79" s="88"/>
      <c r="I79" s="88"/>
      <c r="J79" s="407"/>
      <c r="K79" s="26" t="s">
        <v>100</v>
      </c>
      <c r="L79" s="36">
        <f t="shared" si="6"/>
        <v>12</v>
      </c>
      <c r="M79" s="97"/>
      <c r="N79" s="97"/>
      <c r="O79" s="251"/>
      <c r="P79" s="26"/>
    </row>
    <row r="80" spans="1:20" x14ac:dyDescent="0.25">
      <c r="B80" s="76" t="str">
        <f t="shared" si="4"/>
        <v>OV13</v>
      </c>
      <c r="J80" s="92"/>
      <c r="K80" s="26" t="s">
        <v>100</v>
      </c>
      <c r="L80" s="36">
        <f t="shared" si="6"/>
        <v>13</v>
      </c>
    </row>
    <row r="81" spans="1:16" s="36" customFormat="1" x14ac:dyDescent="0.25">
      <c r="A81" s="76"/>
      <c r="B81" s="76" t="str">
        <f t="shared" si="4"/>
        <v>OV14</v>
      </c>
      <c r="C81" s="243"/>
      <c r="D81" s="70"/>
      <c r="E81" s="77"/>
      <c r="F81" s="88"/>
      <c r="G81" s="88"/>
      <c r="H81" s="88"/>
      <c r="I81" s="88"/>
      <c r="J81" s="407"/>
      <c r="K81" s="26" t="s">
        <v>100</v>
      </c>
      <c r="L81" s="36">
        <f t="shared" si="6"/>
        <v>14</v>
      </c>
      <c r="M81" s="97"/>
      <c r="N81" s="97"/>
      <c r="O81" s="251"/>
      <c r="P81" s="26"/>
    </row>
    <row r="82" spans="1:16" s="36" customFormat="1" x14ac:dyDescent="0.25">
      <c r="A82" s="76"/>
      <c r="B82" s="76" t="str">
        <f t="shared" si="4"/>
        <v>OV15</v>
      </c>
      <c r="C82" s="243"/>
      <c r="D82" s="70"/>
      <c r="E82" s="77"/>
      <c r="F82" s="88"/>
      <c r="G82" s="88"/>
      <c r="H82" s="88"/>
      <c r="I82" s="88"/>
      <c r="J82" s="408"/>
      <c r="K82" s="26" t="s">
        <v>100</v>
      </c>
      <c r="L82" s="36">
        <f t="shared" si="6"/>
        <v>15</v>
      </c>
      <c r="M82" s="97">
        <f>IF(E82="VEDTATT","VEDTATT",0)</f>
        <v>0</v>
      </c>
      <c r="N82" s="97">
        <f>IF(E82="MÅ","Nye tiltak",0)</f>
        <v>0</v>
      </c>
      <c r="O82" s="251"/>
      <c r="P82" s="26"/>
    </row>
    <row r="83" spans="1:16" s="36" customFormat="1" x14ac:dyDescent="0.25">
      <c r="A83" s="76"/>
      <c r="B83" s="76" t="str">
        <f t="shared" si="4"/>
        <v>OV16</v>
      </c>
      <c r="C83" s="341"/>
      <c r="D83" s="286"/>
      <c r="E83" s="286"/>
      <c r="F83" s="249"/>
      <c r="G83" s="249"/>
      <c r="H83" s="249"/>
      <c r="I83" s="249"/>
      <c r="J83" s="408"/>
      <c r="K83" s="26" t="s">
        <v>100</v>
      </c>
      <c r="L83" s="36">
        <f t="shared" si="6"/>
        <v>16</v>
      </c>
      <c r="M83" s="97"/>
      <c r="N83" s="97"/>
      <c r="O83" s="251"/>
      <c r="P83" s="26"/>
    </row>
    <row r="84" spans="1:16" s="36" customFormat="1" x14ac:dyDescent="0.25">
      <c r="B84" s="76" t="str">
        <f t="shared" si="4"/>
        <v>OV17</v>
      </c>
      <c r="C84" s="80"/>
      <c r="D84" s="286"/>
      <c r="E84" s="286"/>
      <c r="F84" s="249"/>
      <c r="G84" s="249"/>
      <c r="H84" s="249"/>
      <c r="I84" s="249"/>
      <c r="J84" s="207"/>
      <c r="K84" s="26" t="s">
        <v>100</v>
      </c>
      <c r="L84" s="36">
        <f t="shared" si="6"/>
        <v>17</v>
      </c>
    </row>
    <row r="85" spans="1:16" s="36" customFormat="1" x14ac:dyDescent="0.25">
      <c r="A85" s="76"/>
      <c r="B85" s="76" t="str">
        <f t="shared" si="4"/>
        <v>OV18</v>
      </c>
      <c r="D85" s="245"/>
      <c r="E85" s="245"/>
      <c r="F85" s="72"/>
      <c r="G85" s="72"/>
      <c r="H85" s="72"/>
      <c r="I85" s="72"/>
      <c r="J85" s="207"/>
      <c r="K85" s="26" t="s">
        <v>100</v>
      </c>
      <c r="L85" s="36">
        <f t="shared" si="6"/>
        <v>18</v>
      </c>
      <c r="M85" s="97"/>
      <c r="N85" s="97"/>
      <c r="O85" s="97"/>
    </row>
    <row r="86" spans="1:16" x14ac:dyDescent="0.25">
      <c r="B86" s="76" t="str">
        <f t="shared" si="4"/>
        <v>OV19</v>
      </c>
      <c r="J86" s="92"/>
      <c r="K86" s="26" t="s">
        <v>100</v>
      </c>
      <c r="L86" s="36">
        <f t="shared" si="6"/>
        <v>19</v>
      </c>
    </row>
    <row r="87" spans="1:16" s="36" customFormat="1" x14ac:dyDescent="0.25">
      <c r="A87" s="242"/>
      <c r="B87" s="76" t="str">
        <f t="shared" si="4"/>
        <v>OV20</v>
      </c>
      <c r="C87" s="243"/>
      <c r="D87" s="70"/>
      <c r="E87" s="109"/>
      <c r="F87" s="108"/>
      <c r="G87" s="108"/>
      <c r="H87" s="108"/>
      <c r="I87" s="108"/>
      <c r="J87" s="407"/>
      <c r="K87" s="26" t="s">
        <v>100</v>
      </c>
      <c r="L87" s="36">
        <f t="shared" si="6"/>
        <v>20</v>
      </c>
      <c r="M87" s="97"/>
      <c r="N87" s="97"/>
      <c r="O87" s="97"/>
      <c r="P87" s="26"/>
    </row>
    <row r="88" spans="1:16" s="36" customFormat="1" x14ac:dyDescent="0.25">
      <c r="A88" s="242"/>
      <c r="B88" s="76" t="str">
        <f t="shared" si="4"/>
        <v>OV21</v>
      </c>
      <c r="C88" s="243"/>
      <c r="D88" s="70"/>
      <c r="E88" s="109"/>
      <c r="F88"/>
      <c r="G88"/>
      <c r="H88"/>
      <c r="I88"/>
      <c r="J88" s="207"/>
      <c r="K88" s="26" t="s">
        <v>100</v>
      </c>
      <c r="L88" s="36">
        <f t="shared" si="6"/>
        <v>21</v>
      </c>
      <c r="M88" s="97">
        <f>IF(E88="VEDTATT","VEDTATT",0)</f>
        <v>0</v>
      </c>
      <c r="N88" s="97">
        <f>IF(E88="MÅ","Nye tiltak",0)</f>
        <v>0</v>
      </c>
      <c r="O88" s="97"/>
      <c r="P88" s="26"/>
    </row>
    <row r="89" spans="1:16" s="36" customFormat="1" x14ac:dyDescent="0.25">
      <c r="A89" s="242"/>
      <c r="B89" s="76" t="str">
        <f t="shared" si="4"/>
        <v>OV22</v>
      </c>
      <c r="C89" s="243"/>
      <c r="D89" s="70"/>
      <c r="E89" s="109"/>
      <c r="F89"/>
      <c r="G89"/>
      <c r="H89"/>
      <c r="I89"/>
      <c r="J89" s="207"/>
      <c r="K89" s="26" t="s">
        <v>100</v>
      </c>
      <c r="L89" s="36">
        <f t="shared" si="6"/>
        <v>22</v>
      </c>
      <c r="M89" s="97">
        <f>IF(E89="VEDTATT","VEDTATT",0)</f>
        <v>0</v>
      </c>
      <c r="N89" s="97">
        <f>IF(E89="MÅ","Nye tiltak",0)</f>
        <v>0</v>
      </c>
      <c r="O89" s="97"/>
      <c r="P89" s="26"/>
    </row>
    <row r="90" spans="1:16" s="36" customFormat="1" x14ac:dyDescent="0.25">
      <c r="A90" s="242"/>
      <c r="B90" s="76" t="str">
        <f t="shared" si="4"/>
        <v>OV23</v>
      </c>
      <c r="C90" s="243"/>
      <c r="D90" s="212"/>
      <c r="E90" s="212"/>
      <c r="F90" s="108"/>
      <c r="G90" s="108"/>
      <c r="H90" s="108"/>
      <c r="I90" s="108"/>
      <c r="J90" s="407"/>
      <c r="K90" s="26" t="s">
        <v>100</v>
      </c>
      <c r="L90" s="36">
        <f t="shared" si="6"/>
        <v>23</v>
      </c>
      <c r="M90" s="97"/>
      <c r="N90" s="97"/>
      <c r="O90" s="97"/>
      <c r="P90" s="26"/>
    </row>
    <row r="91" spans="1:16" s="36" customFormat="1" x14ac:dyDescent="0.25">
      <c r="A91" s="46"/>
      <c r="B91" s="46"/>
      <c r="C91" s="11"/>
      <c r="D91" s="48"/>
      <c r="E91" s="48"/>
      <c r="F91" s="56"/>
      <c r="G91" s="56"/>
      <c r="H91" s="56"/>
      <c r="I91" s="56"/>
      <c r="J91" s="207"/>
      <c r="M91" s="97"/>
      <c r="N91" s="97"/>
      <c r="O91" s="97"/>
      <c r="P91" s="26"/>
    </row>
    <row r="92" spans="1:16" s="1" customFormat="1" x14ac:dyDescent="0.25">
      <c r="A92" s="42"/>
      <c r="B92" s="42"/>
      <c r="C92" s="14" t="s">
        <v>119</v>
      </c>
      <c r="D92" s="48"/>
      <c r="E92" s="48"/>
      <c r="F92" s="4">
        <f>F67</f>
        <v>2022</v>
      </c>
      <c r="G92" s="4">
        <f>F92+1</f>
        <v>2023</v>
      </c>
      <c r="H92" s="4">
        <f>G92+1</f>
        <v>2024</v>
      </c>
      <c r="I92" s="4">
        <f>H92+1</f>
        <v>2025</v>
      </c>
      <c r="J92" s="207"/>
      <c r="K92" s="335"/>
      <c r="L92" s="335"/>
      <c r="M92" s="97"/>
      <c r="N92" s="97"/>
      <c r="O92" s="97"/>
      <c r="P92" s="27"/>
    </row>
    <row r="93" spans="1:16" s="36" customFormat="1" x14ac:dyDescent="0.25">
      <c r="A93" s="76" t="s">
        <v>95</v>
      </c>
      <c r="B93" s="76" t="str">
        <f t="shared" ref="B93:B103" si="8">IF(L93,K93&amp;L93,"")</f>
        <v>OV24</v>
      </c>
      <c r="C93" s="243" t="s">
        <v>120</v>
      </c>
      <c r="D93" s="70" t="s">
        <v>105</v>
      </c>
      <c r="E93" s="77" t="s">
        <v>98</v>
      </c>
      <c r="F93" s="425"/>
      <c r="G93" s="425"/>
      <c r="H93" s="425">
        <f>I93/12*5</f>
        <v>6666.6666666666661</v>
      </c>
      <c r="I93" s="425">
        <v>16000</v>
      </c>
      <c r="J93" s="255" t="s">
        <v>393</v>
      </c>
      <c r="K93" s="26" t="s">
        <v>100</v>
      </c>
      <c r="L93" s="26">
        <f>L90+1</f>
        <v>24</v>
      </c>
      <c r="M93" s="97" t="str">
        <f>IF(E93="VEDTATT","VEDTATT",0)</f>
        <v>VEDTATT</v>
      </c>
      <c r="N93" s="97">
        <f>IF(E93="MÅ","Nye tiltak",0)</f>
        <v>0</v>
      </c>
      <c r="O93" s="97"/>
      <c r="P93" s="26"/>
    </row>
    <row r="94" spans="1:16" s="36" customFormat="1" x14ac:dyDescent="0.25">
      <c r="A94" s="76" t="s">
        <v>95</v>
      </c>
      <c r="B94" s="76" t="str">
        <f t="shared" si="8"/>
        <v>OV25</v>
      </c>
      <c r="C94" s="243" t="s">
        <v>122</v>
      </c>
      <c r="D94" s="70" t="s">
        <v>105</v>
      </c>
      <c r="E94" s="77" t="s">
        <v>98</v>
      </c>
      <c r="F94" s="425"/>
      <c r="G94" s="425"/>
      <c r="H94" s="425">
        <f>I94/12*5</f>
        <v>-1332.0833333333335</v>
      </c>
      <c r="I94" s="425">
        <v>-3197</v>
      </c>
      <c r="J94" s="255" t="s">
        <v>394</v>
      </c>
      <c r="K94" s="26" t="s">
        <v>100</v>
      </c>
      <c r="L94" s="26">
        <f t="shared" ref="L94:L102" si="9">L93+1</f>
        <v>25</v>
      </c>
      <c r="M94" s="97" t="str">
        <f>IF(E94="VEDTATT","VEDTATT",0)</f>
        <v>VEDTATT</v>
      </c>
      <c r="N94" s="97">
        <f>IF(E94="MÅ","Nye tiltak",0)</f>
        <v>0</v>
      </c>
      <c r="O94" s="97"/>
      <c r="P94" s="26"/>
    </row>
    <row r="95" spans="1:16" s="36" customFormat="1" x14ac:dyDescent="0.25">
      <c r="A95" s="76" t="s">
        <v>95</v>
      </c>
      <c r="B95" s="76" t="str">
        <f t="shared" si="8"/>
        <v>OV26</v>
      </c>
      <c r="C95" s="243" t="s">
        <v>124</v>
      </c>
      <c r="D95" s="70" t="s">
        <v>105</v>
      </c>
      <c r="E95" s="77" t="s">
        <v>98</v>
      </c>
      <c r="F95" s="425">
        <v>-5390</v>
      </c>
      <c r="G95" s="425">
        <v>-5390</v>
      </c>
      <c r="H95" s="425">
        <v>-5390</v>
      </c>
      <c r="I95" s="425">
        <v>-5390</v>
      </c>
      <c r="J95" s="340"/>
      <c r="K95" s="26" t="s">
        <v>100</v>
      </c>
      <c r="L95" s="26">
        <f t="shared" si="9"/>
        <v>26</v>
      </c>
      <c r="M95" s="97" t="str">
        <f>IF(E95="VEDTATT","VEDTATT",0)</f>
        <v>VEDTATT</v>
      </c>
      <c r="N95" s="97">
        <f>IF(E95="MÅ","Nye tiltak",0)</f>
        <v>0</v>
      </c>
      <c r="O95" s="97"/>
      <c r="P95" s="26"/>
    </row>
    <row r="96" spans="1:16" s="36" customFormat="1" x14ac:dyDescent="0.25">
      <c r="A96" s="76" t="s">
        <v>95</v>
      </c>
      <c r="B96" s="76" t="str">
        <f t="shared" si="8"/>
        <v>OV27</v>
      </c>
      <c r="C96" s="243" t="s">
        <v>328</v>
      </c>
      <c r="D96" s="70" t="s">
        <v>105</v>
      </c>
      <c r="E96" s="77" t="s">
        <v>98</v>
      </c>
      <c r="F96" s="88"/>
      <c r="G96" s="88"/>
      <c r="H96" s="88"/>
      <c r="I96" s="88"/>
      <c r="J96" s="207"/>
      <c r="K96" s="26" t="s">
        <v>100</v>
      </c>
      <c r="L96" s="26">
        <f t="shared" si="9"/>
        <v>27</v>
      </c>
      <c r="M96" s="97" t="str">
        <f>IF(E96="VEDTATT","VEDTATT",0)</f>
        <v>VEDTATT</v>
      </c>
      <c r="N96" s="97">
        <f>IF(E96="MÅ","Nye tiltak",0)</f>
        <v>0</v>
      </c>
      <c r="O96" s="97"/>
      <c r="P96" s="26"/>
    </row>
    <row r="97" spans="1:21" s="36" customFormat="1" x14ac:dyDescent="0.25">
      <c r="A97" s="76" t="s">
        <v>95</v>
      </c>
      <c r="B97" s="76" t="str">
        <f t="shared" si="8"/>
        <v>OV28</v>
      </c>
      <c r="C97" s="243" t="s">
        <v>125</v>
      </c>
      <c r="D97" s="77" t="s">
        <v>97</v>
      </c>
      <c r="E97" s="77" t="s">
        <v>98</v>
      </c>
      <c r="F97" s="418">
        <v>19000</v>
      </c>
      <c r="G97" s="418">
        <v>19000</v>
      </c>
      <c r="H97" s="418">
        <v>19000</v>
      </c>
      <c r="I97" s="418">
        <v>19000</v>
      </c>
      <c r="J97" s="255" t="s">
        <v>395</v>
      </c>
      <c r="K97" s="26" t="s">
        <v>100</v>
      </c>
      <c r="L97" s="26">
        <f t="shared" si="9"/>
        <v>28</v>
      </c>
      <c r="M97" s="97"/>
      <c r="N97" s="97"/>
      <c r="O97" s="97"/>
      <c r="P97" s="26"/>
    </row>
    <row r="98" spans="1:21" s="36" customFormat="1" x14ac:dyDescent="0.25">
      <c r="A98" s="76" t="s">
        <v>95</v>
      </c>
      <c r="B98" s="76" t="str">
        <f t="shared" si="8"/>
        <v>OV29</v>
      </c>
      <c r="C98" s="341"/>
      <c r="D98" s="286"/>
      <c r="E98" s="286"/>
      <c r="F98" s="249"/>
      <c r="G98" s="249"/>
      <c r="H98" s="249"/>
      <c r="I98" s="249"/>
      <c r="J98" s="340"/>
      <c r="K98" s="26" t="s">
        <v>100</v>
      </c>
      <c r="L98" s="26">
        <f t="shared" si="9"/>
        <v>29</v>
      </c>
      <c r="M98" s="97"/>
      <c r="N98" s="97"/>
      <c r="O98" s="97"/>
      <c r="P98" s="26"/>
    </row>
    <row r="99" spans="1:21" s="36" customFormat="1" x14ac:dyDescent="0.25">
      <c r="A99" s="76" t="s">
        <v>95</v>
      </c>
      <c r="B99" s="76" t="str">
        <f t="shared" si="8"/>
        <v>OV30</v>
      </c>
      <c r="C99" s="341"/>
      <c r="D99" s="286"/>
      <c r="E99" s="286"/>
      <c r="F99" s="249"/>
      <c r="G99" s="249"/>
      <c r="H99" s="249"/>
      <c r="I99" s="249"/>
      <c r="J99" s="340"/>
      <c r="K99" s="26" t="s">
        <v>100</v>
      </c>
      <c r="L99" s="26">
        <f t="shared" si="9"/>
        <v>30</v>
      </c>
      <c r="M99" s="97"/>
      <c r="N99" s="97"/>
      <c r="O99" s="97"/>
      <c r="P99" s="26"/>
    </row>
    <row r="100" spans="1:21" s="36" customFormat="1" x14ac:dyDescent="0.25">
      <c r="A100" s="76" t="s">
        <v>95</v>
      </c>
      <c r="B100" s="76" t="str">
        <f t="shared" si="8"/>
        <v>OV31</v>
      </c>
      <c r="C100" s="341"/>
      <c r="D100" s="286"/>
      <c r="E100" s="286"/>
      <c r="F100" s="249"/>
      <c r="G100" s="249"/>
      <c r="H100" s="249"/>
      <c r="I100" s="249"/>
      <c r="J100" s="340"/>
      <c r="K100" s="26" t="s">
        <v>100</v>
      </c>
      <c r="L100" s="26">
        <f t="shared" si="9"/>
        <v>31</v>
      </c>
      <c r="M100" s="97"/>
      <c r="N100" s="97"/>
      <c r="O100" s="97"/>
      <c r="P100" s="26"/>
    </row>
    <row r="101" spans="1:21" s="36" customFormat="1" x14ac:dyDescent="0.25">
      <c r="A101" s="76" t="s">
        <v>95</v>
      </c>
      <c r="B101" s="76" t="str">
        <f t="shared" si="8"/>
        <v>OV32</v>
      </c>
      <c r="C101" s="341"/>
      <c r="D101" s="286"/>
      <c r="E101" s="286"/>
      <c r="F101" s="249"/>
      <c r="G101" s="249"/>
      <c r="H101" s="249"/>
      <c r="I101" s="249"/>
      <c r="J101" s="340"/>
      <c r="K101" s="26" t="s">
        <v>100</v>
      </c>
      <c r="L101" s="26">
        <f t="shared" si="9"/>
        <v>32</v>
      </c>
      <c r="M101" s="97"/>
      <c r="N101" s="97"/>
      <c r="O101" s="97"/>
      <c r="P101" s="26"/>
    </row>
    <row r="102" spans="1:21" s="36" customFormat="1" x14ac:dyDescent="0.25">
      <c r="A102" s="76" t="s">
        <v>95</v>
      </c>
      <c r="B102" s="76" t="str">
        <f t="shared" si="8"/>
        <v>OV33</v>
      </c>
      <c r="C102" s="341"/>
      <c r="D102" s="348"/>
      <c r="E102" s="348"/>
      <c r="F102" s="249"/>
      <c r="G102" s="249"/>
      <c r="H102" s="249"/>
      <c r="I102" s="249"/>
      <c r="J102" s="91"/>
      <c r="K102" s="26" t="s">
        <v>100</v>
      </c>
      <c r="L102" s="26">
        <f t="shared" si="9"/>
        <v>33</v>
      </c>
      <c r="M102" s="97">
        <f>IF(E102="VEDTATT","VEDTATT",0)</f>
        <v>0</v>
      </c>
      <c r="N102" s="97">
        <f>IF(E102="MÅ","Nye tiltak",0)</f>
        <v>0</v>
      </c>
      <c r="O102" s="97"/>
      <c r="P102" s="26"/>
    </row>
    <row r="103" spans="1:21" s="36" customFormat="1" x14ac:dyDescent="0.25">
      <c r="A103" s="76"/>
      <c r="B103" s="76" t="str">
        <f t="shared" si="8"/>
        <v/>
      </c>
      <c r="C103" s="243"/>
      <c r="J103" s="91"/>
      <c r="K103" s="26" t="s">
        <v>100</v>
      </c>
      <c r="L103" s="26"/>
      <c r="M103" s="97">
        <f>IF(E103="VEDTATT","VEDTATT",0)</f>
        <v>0</v>
      </c>
      <c r="N103" s="97">
        <f>IF(E103="MÅ","Nye tiltak",0)</f>
        <v>0</v>
      </c>
      <c r="O103" s="97"/>
      <c r="P103" s="26"/>
    </row>
    <row r="104" spans="1:21" s="36" customFormat="1" x14ac:dyDescent="0.25">
      <c r="A104" s="76"/>
      <c r="B104" s="76"/>
      <c r="C104" s="80" t="s">
        <v>129</v>
      </c>
      <c r="D104" s="94"/>
      <c r="E104" s="69"/>
      <c r="F104" s="4">
        <f>F92</f>
        <v>2022</v>
      </c>
      <c r="G104" s="4">
        <f>F104+1</f>
        <v>2023</v>
      </c>
      <c r="H104" s="4">
        <f>G104+1</f>
        <v>2024</v>
      </c>
      <c r="I104" s="4">
        <f>H104+1</f>
        <v>2025</v>
      </c>
      <c r="J104" s="207"/>
      <c r="K104" s="335"/>
      <c r="L104" s="335"/>
      <c r="M104" s="97"/>
      <c r="N104" s="97"/>
      <c r="O104" s="97"/>
      <c r="P104" s="26"/>
      <c r="Q104" s="2"/>
      <c r="R104" s="2"/>
      <c r="S104" s="2"/>
      <c r="T104" s="2"/>
      <c r="U104" s="2"/>
    </row>
    <row r="105" spans="1:21" s="36" customFormat="1" x14ac:dyDescent="0.25">
      <c r="A105" s="76" t="s">
        <v>95</v>
      </c>
      <c r="B105" s="76" t="str">
        <f t="shared" ref="B105:B123" si="10">IF(L105,K105&amp;L105,"")</f>
        <v>OV34</v>
      </c>
      <c r="C105" s="243" t="s">
        <v>130</v>
      </c>
      <c r="D105" s="70" t="s">
        <v>105</v>
      </c>
      <c r="E105" s="109" t="s">
        <v>98</v>
      </c>
      <c r="F105" s="72">
        <v>0</v>
      </c>
      <c r="G105" s="72">
        <v>990</v>
      </c>
      <c r="H105" s="72">
        <v>990</v>
      </c>
      <c r="I105" s="72">
        <v>990</v>
      </c>
      <c r="J105" s="207"/>
      <c r="K105" s="26" t="s">
        <v>100</v>
      </c>
      <c r="L105" s="26">
        <f>L102+1</f>
        <v>34</v>
      </c>
      <c r="M105" s="97" t="str">
        <f>IF(E105="VEDTATT","VEDTATT",0)</f>
        <v>VEDTATT</v>
      </c>
      <c r="N105" s="97">
        <f>IF(E105="MÅ","Nye tiltak",0)</f>
        <v>0</v>
      </c>
      <c r="O105" s="97"/>
      <c r="P105" s="26"/>
    </row>
    <row r="106" spans="1:21" s="36" customFormat="1" x14ac:dyDescent="0.2">
      <c r="A106" s="76" t="s">
        <v>95</v>
      </c>
      <c r="B106" s="76" t="str">
        <f t="shared" si="10"/>
        <v>OV35</v>
      </c>
      <c r="C106" s="243" t="s">
        <v>148</v>
      </c>
      <c r="D106" s="70" t="s">
        <v>97</v>
      </c>
      <c r="E106" s="77" t="s">
        <v>98</v>
      </c>
      <c r="F106" s="488">
        <v>1357</v>
      </c>
      <c r="G106" s="488">
        <v>1357</v>
      </c>
      <c r="H106" s="488">
        <v>1357</v>
      </c>
      <c r="I106" s="488">
        <v>1357</v>
      </c>
      <c r="J106" s="408"/>
      <c r="K106" s="26" t="s">
        <v>100</v>
      </c>
      <c r="L106" s="26">
        <f t="shared" ref="L106:L124" si="11">L105+1</f>
        <v>35</v>
      </c>
      <c r="M106" s="97" t="str">
        <f>IF(E106="VEDTATT","VEDTATT",0)</f>
        <v>VEDTATT</v>
      </c>
      <c r="N106" s="97">
        <f>IF(E106="MÅ","Nye tiltak",0)</f>
        <v>0</v>
      </c>
      <c r="O106" s="97"/>
      <c r="P106" s="26"/>
    </row>
    <row r="107" spans="1:21" s="36" customFormat="1" x14ac:dyDescent="0.2">
      <c r="A107" s="76" t="s">
        <v>95</v>
      </c>
      <c r="B107" s="76" t="str">
        <f t="shared" si="10"/>
        <v>OV36</v>
      </c>
      <c r="C107" s="243" t="s">
        <v>150</v>
      </c>
      <c r="D107" s="70" t="s">
        <v>97</v>
      </c>
      <c r="E107" s="109" t="s">
        <v>98</v>
      </c>
      <c r="F107" s="490">
        <v>1160</v>
      </c>
      <c r="G107" s="490">
        <v>1160</v>
      </c>
      <c r="H107" s="490">
        <v>1160</v>
      </c>
      <c r="I107" s="490">
        <v>1160</v>
      </c>
      <c r="J107" s="408"/>
      <c r="K107" s="26" t="s">
        <v>100</v>
      </c>
      <c r="L107" s="26">
        <f t="shared" si="11"/>
        <v>36</v>
      </c>
      <c r="M107" s="97" t="str">
        <f>IF(E107="VEDTATT","VEDTATT",0)</f>
        <v>VEDTATT</v>
      </c>
      <c r="N107" s="97">
        <f>IF(E107="MÅ","Nye tiltak",0)</f>
        <v>0</v>
      </c>
      <c r="O107" s="97"/>
      <c r="P107" s="26"/>
    </row>
    <row r="108" spans="1:21" s="36" customFormat="1" x14ac:dyDescent="0.25">
      <c r="A108" s="76" t="s">
        <v>95</v>
      </c>
      <c r="B108" s="76" t="str">
        <f t="shared" si="10"/>
        <v>OV37</v>
      </c>
      <c r="C108" s="243" t="s">
        <v>330</v>
      </c>
      <c r="D108" s="70" t="s">
        <v>105</v>
      </c>
      <c r="E108" s="69" t="s">
        <v>98</v>
      </c>
      <c r="F108" s="189"/>
      <c r="G108" s="189">
        <v>-3040</v>
      </c>
      <c r="H108" s="189">
        <v>-3040</v>
      </c>
      <c r="I108" s="189">
        <v>-3040</v>
      </c>
      <c r="J108" s="207" t="s">
        <v>132</v>
      </c>
      <c r="K108" s="26" t="s">
        <v>100</v>
      </c>
      <c r="L108" s="26">
        <f t="shared" si="11"/>
        <v>37</v>
      </c>
      <c r="M108" s="97" t="str">
        <f>IF(E109="VEDTATT","VEDTATT",0)</f>
        <v>VEDTATT</v>
      </c>
      <c r="N108" s="97">
        <f>IF(E109="MÅ","Nye tiltak",0)</f>
        <v>0</v>
      </c>
      <c r="O108" s="97"/>
      <c r="P108" s="26"/>
    </row>
    <row r="109" spans="1:21" s="36" customFormat="1" x14ac:dyDescent="0.25">
      <c r="A109" s="76" t="s">
        <v>95</v>
      </c>
      <c r="B109" s="76" t="str">
        <f t="shared" si="10"/>
        <v>OV38</v>
      </c>
      <c r="C109" s="243" t="s">
        <v>133</v>
      </c>
      <c r="D109" s="70" t="s">
        <v>97</v>
      </c>
      <c r="E109" s="69" t="s">
        <v>98</v>
      </c>
      <c r="F109" s="189"/>
      <c r="G109" s="189"/>
      <c r="H109" s="189"/>
      <c r="I109" s="189"/>
      <c r="J109" s="207"/>
      <c r="K109" s="26" t="s">
        <v>100</v>
      </c>
      <c r="L109" s="26">
        <f t="shared" si="11"/>
        <v>38</v>
      </c>
      <c r="M109" s="97" t="str">
        <f>IF(E110="VEDTATT","VEDTATT",0)</f>
        <v>VEDTATT</v>
      </c>
      <c r="N109" s="97">
        <f>IF(E110="MÅ","Nye tiltak",0)</f>
        <v>0</v>
      </c>
      <c r="O109" s="97"/>
      <c r="P109" s="26"/>
    </row>
    <row r="110" spans="1:21" s="36" customFormat="1" x14ac:dyDescent="0.25">
      <c r="A110" s="76" t="s">
        <v>95</v>
      </c>
      <c r="B110" s="76" t="str">
        <f t="shared" si="10"/>
        <v>OV39</v>
      </c>
      <c r="C110" s="243" t="s">
        <v>134</v>
      </c>
      <c r="D110" s="392" t="s">
        <v>97</v>
      </c>
      <c r="E110" s="393" t="s">
        <v>98</v>
      </c>
      <c r="F110" s="395"/>
      <c r="G110" s="395"/>
      <c r="H110" s="395"/>
      <c r="I110" s="395"/>
      <c r="J110" s="207"/>
      <c r="K110" s="26" t="s">
        <v>100</v>
      </c>
      <c r="L110" s="26">
        <f t="shared" si="11"/>
        <v>39</v>
      </c>
      <c r="M110" s="97"/>
      <c r="N110" s="97"/>
      <c r="O110" s="97"/>
      <c r="P110" s="26"/>
    </row>
    <row r="111" spans="1:21" s="36" customFormat="1" x14ac:dyDescent="0.25">
      <c r="A111" s="76" t="s">
        <v>95</v>
      </c>
      <c r="B111" s="76" t="str">
        <f t="shared" si="10"/>
        <v>OV40</v>
      </c>
      <c r="C111" s="243" t="s">
        <v>396</v>
      </c>
      <c r="D111" s="392" t="s">
        <v>108</v>
      </c>
      <c r="E111" s="405">
        <v>4</v>
      </c>
      <c r="F111" s="395">
        <v>1500</v>
      </c>
      <c r="G111" s="395">
        <f t="shared" ref="G111:I113" si="12">F111</f>
        <v>1500</v>
      </c>
      <c r="H111" s="395">
        <f t="shared" si="12"/>
        <v>1500</v>
      </c>
      <c r="I111" s="395">
        <f t="shared" si="12"/>
        <v>1500</v>
      </c>
      <c r="J111" s="430" t="s">
        <v>397</v>
      </c>
      <c r="K111" s="26" t="s">
        <v>100</v>
      </c>
      <c r="L111" s="26">
        <f>L110+1</f>
        <v>40</v>
      </c>
      <c r="M111" s="97"/>
      <c r="N111" s="97"/>
      <c r="O111" s="97"/>
      <c r="P111" s="26"/>
    </row>
    <row r="112" spans="1:21" s="36" customFormat="1" x14ac:dyDescent="0.25">
      <c r="A112" s="76" t="s">
        <v>95</v>
      </c>
      <c r="B112" s="76" t="str">
        <f t="shared" si="10"/>
        <v>OV41</v>
      </c>
      <c r="C112" s="243" t="s">
        <v>398</v>
      </c>
      <c r="D112" s="392" t="s">
        <v>108</v>
      </c>
      <c r="E112" s="405">
        <v>5</v>
      </c>
      <c r="F112" s="395">
        <v>1500</v>
      </c>
      <c r="G112" s="395">
        <f t="shared" si="12"/>
        <v>1500</v>
      </c>
      <c r="H112" s="395">
        <f t="shared" si="12"/>
        <v>1500</v>
      </c>
      <c r="I112" s="395">
        <f t="shared" si="12"/>
        <v>1500</v>
      </c>
      <c r="J112" s="429"/>
      <c r="K112" s="26" t="s">
        <v>100</v>
      </c>
      <c r="L112" s="26">
        <f t="shared" si="11"/>
        <v>41</v>
      </c>
      <c r="M112" s="97"/>
      <c r="N112" s="97"/>
      <c r="O112" s="97"/>
      <c r="P112" s="26"/>
    </row>
    <row r="113" spans="1:16" s="36" customFormat="1" x14ac:dyDescent="0.25">
      <c r="A113" s="76" t="s">
        <v>95</v>
      </c>
      <c r="B113" s="76" t="str">
        <f t="shared" si="10"/>
        <v>OV42</v>
      </c>
      <c r="C113" s="243" t="s">
        <v>135</v>
      </c>
      <c r="D113" s="392" t="s">
        <v>108</v>
      </c>
      <c r="E113" s="405" t="s">
        <v>46</v>
      </c>
      <c r="F113" s="395">
        <v>1800</v>
      </c>
      <c r="G113" s="395">
        <f>F113</f>
        <v>1800</v>
      </c>
      <c r="H113" s="395">
        <f t="shared" si="12"/>
        <v>1800</v>
      </c>
      <c r="I113" s="395">
        <f t="shared" si="12"/>
        <v>1800</v>
      </c>
      <c r="J113" s="429"/>
      <c r="K113" s="26" t="s">
        <v>100</v>
      </c>
      <c r="L113" s="26">
        <f t="shared" si="11"/>
        <v>42</v>
      </c>
      <c r="M113" s="97"/>
      <c r="N113" s="97"/>
      <c r="O113" s="97"/>
      <c r="P113" s="26"/>
    </row>
    <row r="114" spans="1:16" s="36" customFormat="1" x14ac:dyDescent="0.25">
      <c r="A114" s="76" t="s">
        <v>95</v>
      </c>
      <c r="B114" s="76" t="str">
        <f t="shared" si="10"/>
        <v>OV43</v>
      </c>
      <c r="C114" s="243" t="s">
        <v>136</v>
      </c>
      <c r="D114" s="392" t="s">
        <v>108</v>
      </c>
      <c r="E114" s="405" t="s">
        <v>46</v>
      </c>
      <c r="F114" s="395">
        <v>8000</v>
      </c>
      <c r="G114" s="395">
        <f t="shared" ref="G114:I121" si="13">F114</f>
        <v>8000</v>
      </c>
      <c r="H114" s="395">
        <f t="shared" si="13"/>
        <v>8000</v>
      </c>
      <c r="I114" s="395">
        <f t="shared" si="13"/>
        <v>8000</v>
      </c>
      <c r="J114" s="429"/>
      <c r="K114" s="26" t="s">
        <v>100</v>
      </c>
      <c r="L114" s="26">
        <f t="shared" si="11"/>
        <v>43</v>
      </c>
      <c r="M114" s="97"/>
      <c r="N114" s="97"/>
      <c r="O114" s="97"/>
      <c r="P114" s="26"/>
    </row>
    <row r="115" spans="1:16" s="36" customFormat="1" x14ac:dyDescent="0.25">
      <c r="A115" s="76" t="s">
        <v>95</v>
      </c>
      <c r="B115" s="76" t="str">
        <f t="shared" si="10"/>
        <v>OV44</v>
      </c>
      <c r="C115" s="243" t="s">
        <v>137</v>
      </c>
      <c r="D115" s="392" t="s">
        <v>108</v>
      </c>
      <c r="E115" s="405" t="s">
        <v>46</v>
      </c>
      <c r="F115" s="435">
        <v>25000</v>
      </c>
      <c r="G115" s="435">
        <f t="shared" si="13"/>
        <v>25000</v>
      </c>
      <c r="H115" s="435">
        <f t="shared" si="13"/>
        <v>25000</v>
      </c>
      <c r="I115" s="435">
        <f t="shared" si="13"/>
        <v>25000</v>
      </c>
      <c r="J115" s="430"/>
      <c r="K115" s="26" t="s">
        <v>100</v>
      </c>
      <c r="L115" s="26">
        <f t="shared" si="11"/>
        <v>44</v>
      </c>
      <c r="M115" s="97"/>
      <c r="N115" s="97"/>
      <c r="O115" s="97"/>
      <c r="P115" s="26"/>
    </row>
    <row r="116" spans="1:16" s="36" customFormat="1" x14ac:dyDescent="0.25">
      <c r="A116" s="76" t="s">
        <v>95</v>
      </c>
      <c r="B116" s="76" t="str">
        <f t="shared" si="10"/>
        <v>OV45</v>
      </c>
      <c r="C116" s="243" t="s">
        <v>399</v>
      </c>
      <c r="D116" s="392" t="s">
        <v>108</v>
      </c>
      <c r="E116" s="405">
        <v>3</v>
      </c>
      <c r="F116" s="395">
        <v>2300</v>
      </c>
      <c r="G116" s="395">
        <f t="shared" si="13"/>
        <v>2300</v>
      </c>
      <c r="H116" s="395">
        <f t="shared" si="13"/>
        <v>2300</v>
      </c>
      <c r="I116" s="395">
        <f t="shared" si="13"/>
        <v>2300</v>
      </c>
      <c r="J116" s="430" t="s">
        <v>400</v>
      </c>
      <c r="K116" s="26" t="s">
        <v>100</v>
      </c>
      <c r="L116" s="26">
        <f t="shared" si="11"/>
        <v>45</v>
      </c>
      <c r="M116" s="97"/>
      <c r="N116" s="97"/>
      <c r="O116" s="97"/>
      <c r="P116" s="26"/>
    </row>
    <row r="117" spans="1:16" s="36" customFormat="1" x14ac:dyDescent="0.25">
      <c r="A117" s="76" t="s">
        <v>95</v>
      </c>
      <c r="B117" s="76" t="str">
        <f t="shared" si="10"/>
        <v>OV46</v>
      </c>
      <c r="C117" s="243" t="s">
        <v>401</v>
      </c>
      <c r="D117" s="392" t="s">
        <v>108</v>
      </c>
      <c r="E117" s="405">
        <v>2</v>
      </c>
      <c r="F117" s="395">
        <v>3800</v>
      </c>
      <c r="G117" s="395">
        <f t="shared" si="13"/>
        <v>3800</v>
      </c>
      <c r="H117" s="395">
        <f t="shared" si="13"/>
        <v>3800</v>
      </c>
      <c r="I117" s="395">
        <f t="shared" si="13"/>
        <v>3800</v>
      </c>
      <c r="J117" s="430" t="s">
        <v>402</v>
      </c>
      <c r="K117" s="26" t="s">
        <v>100</v>
      </c>
      <c r="L117" s="26">
        <f t="shared" si="11"/>
        <v>46</v>
      </c>
      <c r="M117" s="97"/>
      <c r="N117" s="97"/>
      <c r="O117" s="97"/>
      <c r="P117" s="26"/>
    </row>
    <row r="118" spans="1:16" s="36" customFormat="1" x14ac:dyDescent="0.25">
      <c r="A118" s="76" t="s">
        <v>95</v>
      </c>
      <c r="B118" s="76" t="str">
        <f t="shared" si="10"/>
        <v>OV47</v>
      </c>
      <c r="C118" s="243" t="s">
        <v>138</v>
      </c>
      <c r="D118" s="392" t="s">
        <v>108</v>
      </c>
      <c r="E118" s="405" t="s">
        <v>46</v>
      </c>
      <c r="F118" s="395">
        <v>1900</v>
      </c>
      <c r="G118" s="395">
        <f t="shared" si="13"/>
        <v>1900</v>
      </c>
      <c r="H118" s="395">
        <f t="shared" si="13"/>
        <v>1900</v>
      </c>
      <c r="I118" s="395">
        <f t="shared" si="13"/>
        <v>1900</v>
      </c>
      <c r="J118" s="430" t="s">
        <v>139</v>
      </c>
      <c r="K118" s="26" t="s">
        <v>100</v>
      </c>
      <c r="L118" s="26">
        <f t="shared" si="11"/>
        <v>47</v>
      </c>
      <c r="M118" s="97"/>
      <c r="N118" s="97"/>
      <c r="O118" s="97"/>
      <c r="P118" s="26"/>
    </row>
    <row r="119" spans="1:16" s="36" customFormat="1" ht="25.5" x14ac:dyDescent="0.25">
      <c r="A119" s="76" t="s">
        <v>95</v>
      </c>
      <c r="B119" s="76" t="str">
        <f t="shared" si="10"/>
        <v>OV48</v>
      </c>
      <c r="C119" s="243" t="s">
        <v>403</v>
      </c>
      <c r="D119" s="392" t="s">
        <v>108</v>
      </c>
      <c r="E119" s="405">
        <v>8</v>
      </c>
      <c r="F119" s="395"/>
      <c r="G119" s="395">
        <f t="shared" si="13"/>
        <v>0</v>
      </c>
      <c r="H119" s="395">
        <f t="shared" si="13"/>
        <v>0</v>
      </c>
      <c r="I119" s="395">
        <f t="shared" si="13"/>
        <v>0</v>
      </c>
      <c r="J119" s="429"/>
      <c r="K119" s="26" t="s">
        <v>100</v>
      </c>
      <c r="L119" s="26">
        <f t="shared" si="11"/>
        <v>48</v>
      </c>
      <c r="M119" s="97"/>
      <c r="N119" s="97"/>
      <c r="O119" s="97"/>
      <c r="P119" s="26"/>
    </row>
    <row r="120" spans="1:16" s="36" customFormat="1" x14ac:dyDescent="0.25">
      <c r="A120" s="76" t="s">
        <v>95</v>
      </c>
      <c r="B120" s="76" t="str">
        <f t="shared" si="10"/>
        <v>OV49</v>
      </c>
      <c r="C120" s="243" t="s">
        <v>331</v>
      </c>
      <c r="D120" s="392" t="s">
        <v>108</v>
      </c>
      <c r="E120" s="405" t="s">
        <v>46</v>
      </c>
      <c r="F120" s="395">
        <v>950</v>
      </c>
      <c r="G120" s="395">
        <v>950</v>
      </c>
      <c r="H120" s="395">
        <v>950</v>
      </c>
      <c r="I120" s="395">
        <v>950</v>
      </c>
      <c r="J120" s="482"/>
      <c r="K120" s="26" t="s">
        <v>100</v>
      </c>
      <c r="L120" s="26">
        <f t="shared" si="11"/>
        <v>49</v>
      </c>
      <c r="M120" s="97"/>
      <c r="N120" s="97"/>
      <c r="O120" s="97"/>
      <c r="P120" s="26"/>
    </row>
    <row r="121" spans="1:16" s="36" customFormat="1" x14ac:dyDescent="0.25">
      <c r="A121" s="76" t="s">
        <v>95</v>
      </c>
      <c r="B121" s="76" t="str">
        <f t="shared" si="10"/>
        <v>OV50</v>
      </c>
      <c r="C121" s="394" t="s">
        <v>140</v>
      </c>
      <c r="D121" s="392" t="s">
        <v>108</v>
      </c>
      <c r="E121" s="405" t="s">
        <v>46</v>
      </c>
      <c r="F121" s="395">
        <v>550</v>
      </c>
      <c r="G121" s="395">
        <f>F121</f>
        <v>550</v>
      </c>
      <c r="H121" s="395">
        <f t="shared" si="13"/>
        <v>550</v>
      </c>
      <c r="I121" s="395">
        <f t="shared" si="13"/>
        <v>550</v>
      </c>
      <c r="J121" s="255" t="s">
        <v>141</v>
      </c>
      <c r="K121" s="26" t="s">
        <v>100</v>
      </c>
      <c r="L121" s="26">
        <f t="shared" si="11"/>
        <v>50</v>
      </c>
      <c r="M121" s="97"/>
      <c r="N121" s="97"/>
      <c r="O121" s="97"/>
      <c r="P121" s="26"/>
    </row>
    <row r="122" spans="1:16" s="36" customFormat="1" x14ac:dyDescent="0.25">
      <c r="A122" s="76" t="s">
        <v>95</v>
      </c>
      <c r="B122" s="76" t="str">
        <f t="shared" si="10"/>
        <v>OV51</v>
      </c>
      <c r="C122" s="394" t="s">
        <v>404</v>
      </c>
      <c r="D122" s="109" t="s">
        <v>108</v>
      </c>
      <c r="E122" s="404">
        <v>1</v>
      </c>
      <c r="F122" s="388">
        <v>770</v>
      </c>
      <c r="G122" s="388">
        <v>770</v>
      </c>
      <c r="H122" s="388">
        <v>770</v>
      </c>
      <c r="I122" s="388">
        <v>770</v>
      </c>
      <c r="J122" s="409"/>
      <c r="K122" s="26" t="s">
        <v>100</v>
      </c>
      <c r="L122" s="26">
        <f t="shared" si="11"/>
        <v>51</v>
      </c>
      <c r="M122" s="97"/>
      <c r="N122" s="97"/>
      <c r="O122" s="97"/>
      <c r="P122" s="26"/>
    </row>
    <row r="123" spans="1:16" s="36" customFormat="1" ht="25.5" x14ac:dyDescent="0.25">
      <c r="A123" s="76" t="s">
        <v>95</v>
      </c>
      <c r="B123" s="76" t="str">
        <f t="shared" si="10"/>
        <v>OV52</v>
      </c>
      <c r="C123" s="394" t="s">
        <v>405</v>
      </c>
      <c r="D123" s="392" t="s">
        <v>108</v>
      </c>
      <c r="E123" s="404">
        <v>1</v>
      </c>
      <c r="F123" s="395">
        <v>2840</v>
      </c>
      <c r="G123" s="395">
        <v>3672</v>
      </c>
      <c r="H123" s="395">
        <v>3672</v>
      </c>
      <c r="I123" s="395">
        <v>3672</v>
      </c>
      <c r="J123" s="207" t="s">
        <v>406</v>
      </c>
      <c r="K123" s="26" t="s">
        <v>100</v>
      </c>
      <c r="L123" s="26">
        <f t="shared" si="11"/>
        <v>52</v>
      </c>
      <c r="M123" s="97"/>
      <c r="N123" s="97"/>
      <c r="O123" s="97"/>
      <c r="P123" s="26"/>
    </row>
    <row r="124" spans="1:16" s="36" customFormat="1" x14ac:dyDescent="0.25">
      <c r="A124" s="398" t="s">
        <v>95</v>
      </c>
      <c r="B124" s="76" t="s">
        <v>407</v>
      </c>
      <c r="C124" s="394" t="s">
        <v>142</v>
      </c>
      <c r="D124" s="392" t="s">
        <v>108</v>
      </c>
      <c r="E124" s="109" t="s">
        <v>46</v>
      </c>
      <c r="F124" s="395">
        <v>5500</v>
      </c>
      <c r="G124" s="395">
        <v>5500</v>
      </c>
      <c r="J124" s="207" t="s">
        <v>143</v>
      </c>
      <c r="K124" s="26" t="s">
        <v>100</v>
      </c>
      <c r="L124" s="26">
        <f t="shared" si="11"/>
        <v>53</v>
      </c>
      <c r="M124" s="97"/>
      <c r="N124" s="97"/>
      <c r="O124" s="97"/>
      <c r="P124" s="26"/>
    </row>
    <row r="125" spans="1:16" s="36" customFormat="1" x14ac:dyDescent="0.25">
      <c r="A125" s="398"/>
      <c r="B125" s="398"/>
      <c r="C125" s="394"/>
      <c r="J125" s="207"/>
      <c r="K125" s="26"/>
      <c r="L125" s="26"/>
      <c r="M125" s="97"/>
      <c r="N125" s="97"/>
      <c r="O125" s="97"/>
      <c r="P125" s="26"/>
    </row>
    <row r="126" spans="1:16" s="36" customFormat="1" x14ac:dyDescent="0.25">
      <c r="A126" s="398"/>
      <c r="B126" s="398"/>
      <c r="C126" s="394"/>
      <c r="J126" s="207"/>
      <c r="K126" s="26"/>
      <c r="L126" s="26"/>
      <c r="M126" s="97"/>
      <c r="N126" s="97"/>
      <c r="O126" s="97"/>
      <c r="P126" s="26"/>
    </row>
    <row r="127" spans="1:16" s="36" customFormat="1" x14ac:dyDescent="0.25">
      <c r="A127" s="398"/>
      <c r="B127" s="398"/>
      <c r="C127" s="394"/>
      <c r="J127" s="207"/>
      <c r="K127" s="26"/>
      <c r="L127" s="26"/>
      <c r="M127" s="97"/>
      <c r="N127" s="97"/>
      <c r="O127" s="97"/>
      <c r="P127" s="26"/>
    </row>
    <row r="128" spans="1:16" s="36" customFormat="1" x14ac:dyDescent="0.25">
      <c r="A128" s="398"/>
      <c r="B128" s="398"/>
      <c r="C128" s="394"/>
      <c r="J128" s="207"/>
      <c r="K128" s="26"/>
      <c r="L128" s="26"/>
      <c r="M128" s="97"/>
      <c r="N128" s="97"/>
      <c r="O128" s="97"/>
      <c r="P128" s="26"/>
    </row>
    <row r="129" spans="1:17" s="36" customFormat="1" x14ac:dyDescent="0.25">
      <c r="A129" s="41"/>
      <c r="B129" s="41" t="s">
        <v>152</v>
      </c>
      <c r="C129" s="3" t="s">
        <v>153</v>
      </c>
      <c r="D129" s="50"/>
      <c r="E129" s="50"/>
      <c r="F129" s="54">
        <f>SUMIF($A:$A,"OPP",F:F)</f>
        <v>116473</v>
      </c>
      <c r="G129" s="54">
        <f>SUMIF($A:$A,"OPP",G:G)</f>
        <v>126855</v>
      </c>
      <c r="H129" s="54">
        <f>SUMIF($A:$A,"OPP",H:H)</f>
        <v>133582.58333333334</v>
      </c>
      <c r="I129" s="54">
        <f>SUMIF($A:$A,"OPP",I:I)</f>
        <v>141051</v>
      </c>
      <c r="J129" s="207"/>
      <c r="K129" s="335"/>
      <c r="L129" s="335"/>
      <c r="M129" s="97"/>
      <c r="N129" s="97"/>
      <c r="O129" s="97"/>
      <c r="P129" s="26"/>
    </row>
    <row r="130" spans="1:17" s="36" customFormat="1" x14ac:dyDescent="0.25">
      <c r="A130" s="45"/>
      <c r="B130" s="45"/>
      <c r="C130" s="9"/>
      <c r="D130" s="47"/>
      <c r="E130" s="47"/>
      <c r="F130" s="55"/>
      <c r="G130" s="55"/>
      <c r="H130" s="55"/>
      <c r="I130" s="55"/>
      <c r="J130" s="207"/>
      <c r="K130" s="26"/>
      <c r="L130" s="26"/>
      <c r="M130" s="97"/>
      <c r="N130" s="97"/>
      <c r="O130" s="97"/>
      <c r="P130" s="26"/>
    </row>
    <row r="131" spans="1:17" s="36" customFormat="1" x14ac:dyDescent="0.25">
      <c r="A131" s="46"/>
      <c r="B131" s="46"/>
      <c r="C131" s="11" t="s">
        <v>154</v>
      </c>
      <c r="D131" s="48"/>
      <c r="E131" s="59"/>
      <c r="F131" s="56"/>
      <c r="G131" s="56"/>
      <c r="H131" s="56"/>
      <c r="I131" s="56"/>
      <c r="J131" s="207"/>
      <c r="M131" s="97"/>
      <c r="N131" s="97"/>
      <c r="O131" s="97"/>
      <c r="P131" s="26"/>
    </row>
    <row r="132" spans="1:17" s="36" customFormat="1" x14ac:dyDescent="0.25">
      <c r="A132" s="76"/>
      <c r="B132" s="76" t="str">
        <f t="shared" ref="B132:B141" si="14">IF(L132,K132&amp;L132,"")</f>
        <v/>
      </c>
      <c r="C132" s="80" t="s">
        <v>155</v>
      </c>
      <c r="D132" s="70"/>
      <c r="E132" s="69"/>
      <c r="F132" s="4">
        <f>F104</f>
        <v>2022</v>
      </c>
      <c r="G132" s="4">
        <f>F132+1</f>
        <v>2023</v>
      </c>
      <c r="H132" s="4">
        <f>G132+1</f>
        <v>2024</v>
      </c>
      <c r="I132" s="4">
        <f>H132+1</f>
        <v>2025</v>
      </c>
      <c r="J132" s="207"/>
      <c r="K132" s="335"/>
      <c r="L132" s="335"/>
      <c r="M132" s="97"/>
      <c r="N132" s="97"/>
      <c r="O132" s="97"/>
      <c r="P132" s="26"/>
    </row>
    <row r="133" spans="1:17" s="36" customFormat="1" x14ac:dyDescent="0.25">
      <c r="A133" s="76" t="s">
        <v>156</v>
      </c>
      <c r="B133" s="76" t="str">
        <f t="shared" si="14"/>
        <v>H1</v>
      </c>
      <c r="C133" s="243" t="s">
        <v>157</v>
      </c>
      <c r="D133" s="70" t="s">
        <v>105</v>
      </c>
      <c r="E133" s="69" t="s">
        <v>98</v>
      </c>
      <c r="F133" s="72">
        <v>5000</v>
      </c>
      <c r="G133" s="72">
        <v>5000</v>
      </c>
      <c r="H133" s="72">
        <v>5000</v>
      </c>
      <c r="I133" s="68">
        <v>5000</v>
      </c>
      <c r="J133" s="207"/>
      <c r="K133" s="26" t="s">
        <v>158</v>
      </c>
      <c r="L133" s="26">
        <v>1</v>
      </c>
      <c r="M133" s="97" t="str">
        <f>IF(E133="VEDTATT","VEDTATT",0)</f>
        <v>VEDTATT</v>
      </c>
      <c r="N133" s="97">
        <f>IF(E133="MÅ","Nye tiltak",0)</f>
        <v>0</v>
      </c>
      <c r="O133" s="97"/>
      <c r="P133" s="26"/>
    </row>
    <row r="134" spans="1:17" s="36" customFormat="1" x14ac:dyDescent="0.25">
      <c r="A134" s="76" t="s">
        <v>156</v>
      </c>
      <c r="B134" s="76" t="str">
        <f t="shared" si="14"/>
        <v>H2</v>
      </c>
      <c r="C134" s="243" t="s">
        <v>159</v>
      </c>
      <c r="D134" s="70" t="s">
        <v>105</v>
      </c>
      <c r="E134" s="69" t="s">
        <v>98</v>
      </c>
      <c r="F134" s="72"/>
      <c r="G134" s="72"/>
      <c r="H134" s="72">
        <v>1000</v>
      </c>
      <c r="I134" s="72">
        <v>1000</v>
      </c>
      <c r="J134" s="207"/>
      <c r="K134" s="26" t="s">
        <v>158</v>
      </c>
      <c r="L134" s="26">
        <f>L133+1</f>
        <v>2</v>
      </c>
      <c r="M134" s="97" t="str">
        <f>IF(E134="VEDTATT","VEDTATT",0)</f>
        <v>VEDTATT</v>
      </c>
      <c r="N134" s="97">
        <f>IF(E134="MÅ","Nye tiltak",0)</f>
        <v>0</v>
      </c>
      <c r="O134" s="97"/>
      <c r="P134" s="26"/>
    </row>
    <row r="135" spans="1:17" s="36" customFormat="1" x14ac:dyDescent="0.25">
      <c r="A135" s="76" t="s">
        <v>156</v>
      </c>
      <c r="B135" s="76" t="str">
        <f>IF(L135,K135&amp;L135,"")</f>
        <v>H3</v>
      </c>
      <c r="C135" s="243" t="s">
        <v>408</v>
      </c>
      <c r="D135" s="70" t="s">
        <v>108</v>
      </c>
      <c r="E135" s="229" t="s">
        <v>46</v>
      </c>
      <c r="F135" s="72">
        <v>1600</v>
      </c>
      <c r="G135" s="72">
        <v>1600</v>
      </c>
      <c r="H135" s="72">
        <v>1600</v>
      </c>
      <c r="I135" s="72">
        <v>1600</v>
      </c>
      <c r="J135" s="207">
        <v>7</v>
      </c>
      <c r="K135" s="26" t="s">
        <v>158</v>
      </c>
      <c r="L135" s="26">
        <f>L134+1</f>
        <v>3</v>
      </c>
      <c r="M135" s="97"/>
      <c r="N135" s="97"/>
      <c r="O135" s="97"/>
      <c r="P135" s="26"/>
    </row>
    <row r="136" spans="1:17" s="36" customFormat="1" x14ac:dyDescent="0.25">
      <c r="A136" s="76" t="s">
        <v>156</v>
      </c>
      <c r="B136" s="76" t="str">
        <f>IF(L136,K136&amp;L136,"")</f>
        <v>H4</v>
      </c>
      <c r="C136" s="243" t="s">
        <v>409</v>
      </c>
      <c r="D136" s="70" t="s">
        <v>108</v>
      </c>
      <c r="E136" s="229">
        <v>9</v>
      </c>
      <c r="F136" s="72">
        <f>2700+300</f>
        <v>3000</v>
      </c>
      <c r="G136" s="72">
        <f>3700+300</f>
        <v>4000</v>
      </c>
      <c r="H136" s="72">
        <f>4700+300</f>
        <v>5000</v>
      </c>
      <c r="I136" s="72">
        <f>H136</f>
        <v>5000</v>
      </c>
      <c r="J136" s="207">
        <v>8</v>
      </c>
      <c r="K136" s="26" t="s">
        <v>158</v>
      </c>
      <c r="L136" s="26">
        <f>L135+1</f>
        <v>4</v>
      </c>
      <c r="M136" s="97"/>
      <c r="N136" s="97"/>
      <c r="O136" s="97"/>
      <c r="P136" s="26"/>
    </row>
    <row r="137" spans="1:17" s="36" customFormat="1" x14ac:dyDescent="0.25">
      <c r="A137" s="76" t="s">
        <v>156</v>
      </c>
      <c r="B137" s="76" t="str">
        <f t="shared" si="14"/>
        <v>H5</v>
      </c>
      <c r="C137" s="243" t="s">
        <v>161</v>
      </c>
      <c r="D137" s="70" t="s">
        <v>105</v>
      </c>
      <c r="E137" s="69" t="s">
        <v>98</v>
      </c>
      <c r="F137" s="88">
        <v>900</v>
      </c>
      <c r="G137" s="88">
        <v>1800</v>
      </c>
      <c r="H137" s="88">
        <v>1800</v>
      </c>
      <c r="I137" s="88">
        <v>1800</v>
      </c>
      <c r="J137" s="408"/>
      <c r="K137" s="26" t="s">
        <v>158</v>
      </c>
      <c r="L137" s="26">
        <f>L136+1</f>
        <v>5</v>
      </c>
      <c r="M137" s="97" t="str">
        <f>IF(E137="VEDTATT","VEDTATT",0)</f>
        <v>VEDTATT</v>
      </c>
      <c r="N137" s="97">
        <f>IF(E137="MÅ","Nye tiltak",0)</f>
        <v>0</v>
      </c>
      <c r="O137" s="97"/>
      <c r="P137" s="26"/>
    </row>
    <row r="138" spans="1:17" s="36" customFormat="1" x14ac:dyDescent="0.25">
      <c r="A138" s="76"/>
      <c r="B138" s="76" t="str">
        <f t="shared" si="14"/>
        <v/>
      </c>
      <c r="C138" s="80" t="s">
        <v>162</v>
      </c>
      <c r="D138" s="70"/>
      <c r="E138" s="69"/>
      <c r="F138" s="4">
        <f>F132</f>
        <v>2022</v>
      </c>
      <c r="G138" s="4">
        <f>F138+1</f>
        <v>2023</v>
      </c>
      <c r="H138" s="4">
        <f>G138+1</f>
        <v>2024</v>
      </c>
      <c r="I138" s="4">
        <f>H138+1</f>
        <v>2025</v>
      </c>
      <c r="J138" s="207"/>
      <c r="K138" s="335"/>
      <c r="L138" s="335"/>
      <c r="M138" s="97"/>
      <c r="N138" s="97"/>
      <c r="O138" s="97"/>
      <c r="P138" s="26"/>
    </row>
    <row r="139" spans="1:17" s="36" customFormat="1" x14ac:dyDescent="0.25">
      <c r="A139" s="76" t="s">
        <v>156</v>
      </c>
      <c r="B139" s="76" t="str">
        <f t="shared" si="14"/>
        <v>H6</v>
      </c>
      <c r="C139" s="243" t="s">
        <v>163</v>
      </c>
      <c r="D139" s="70" t="s">
        <v>105</v>
      </c>
      <c r="E139" s="69" t="s">
        <v>98</v>
      </c>
      <c r="F139" s="68">
        <v>2500</v>
      </c>
      <c r="G139" s="68">
        <v>5000</v>
      </c>
      <c r="H139" s="68">
        <v>7500</v>
      </c>
      <c r="I139" s="68">
        <v>10000</v>
      </c>
      <c r="J139" s="207"/>
      <c r="K139" s="26" t="s">
        <v>158</v>
      </c>
      <c r="L139" s="26">
        <f>L137+1</f>
        <v>6</v>
      </c>
      <c r="M139" s="97" t="str">
        <f>IF(E139="VEDTATT","VEDTATT",0)</f>
        <v>VEDTATT</v>
      </c>
      <c r="N139" s="97">
        <f>IF(E139="MÅ","Nye tiltak",0)</f>
        <v>0</v>
      </c>
      <c r="O139" s="97"/>
      <c r="P139" s="26"/>
    </row>
    <row r="140" spans="1:17" s="36" customFormat="1" x14ac:dyDescent="0.25">
      <c r="A140" s="76" t="s">
        <v>156</v>
      </c>
      <c r="B140" s="76" t="str">
        <f t="shared" si="14"/>
        <v>H7</v>
      </c>
      <c r="C140" s="243" t="s">
        <v>164</v>
      </c>
      <c r="D140" s="70" t="s">
        <v>105</v>
      </c>
      <c r="E140" s="69" t="s">
        <v>98</v>
      </c>
      <c r="F140" s="215">
        <v>10000</v>
      </c>
      <c r="G140" s="215">
        <v>20000</v>
      </c>
      <c r="H140" s="215">
        <v>20000</v>
      </c>
      <c r="I140" s="215">
        <v>20000</v>
      </c>
      <c r="J140" s="207"/>
      <c r="K140" s="26" t="s">
        <v>158</v>
      </c>
      <c r="L140" s="26">
        <f>L139+1</f>
        <v>7</v>
      </c>
      <c r="M140" s="97"/>
      <c r="N140" s="97"/>
      <c r="O140" s="97"/>
      <c r="P140" s="26"/>
    </row>
    <row r="141" spans="1:17" s="36" customFormat="1" x14ac:dyDescent="0.25">
      <c r="A141" s="76" t="s">
        <v>156</v>
      </c>
      <c r="B141" s="76" t="str">
        <f t="shared" si="14"/>
        <v>H8</v>
      </c>
      <c r="C141" s="243" t="s">
        <v>410</v>
      </c>
      <c r="D141" s="70" t="s">
        <v>108</v>
      </c>
      <c r="E141" s="229" t="s">
        <v>46</v>
      </c>
      <c r="F141" s="215">
        <v>1400</v>
      </c>
      <c r="G141" s="215">
        <f>F141</f>
        <v>1400</v>
      </c>
      <c r="H141" s="215">
        <f t="shared" ref="H141:I141" si="15">G141</f>
        <v>1400</v>
      </c>
      <c r="I141" s="215">
        <f t="shared" si="15"/>
        <v>1400</v>
      </c>
      <c r="J141" s="207"/>
      <c r="K141" s="26" t="s">
        <v>158</v>
      </c>
      <c r="L141" s="26">
        <f>L140+1</f>
        <v>8</v>
      </c>
      <c r="M141" s="97">
        <f>IF(E141="VEDTATT","VEDTATT",0)</f>
        <v>0</v>
      </c>
      <c r="N141" s="97" t="str">
        <f>IF(E141="MÅ","Nye tiltak",0)</f>
        <v>Nye tiltak</v>
      </c>
      <c r="O141" s="97"/>
      <c r="P141" s="26"/>
    </row>
    <row r="142" spans="1:17" s="36" customFormat="1" x14ac:dyDescent="0.25">
      <c r="A142" s="339"/>
      <c r="B142" s="339"/>
      <c r="C142" s="80" t="s">
        <v>166</v>
      </c>
      <c r="D142" s="81"/>
      <c r="E142" s="69"/>
      <c r="F142" s="4">
        <f>F138</f>
        <v>2022</v>
      </c>
      <c r="G142" s="4">
        <f>F142+1</f>
        <v>2023</v>
      </c>
      <c r="H142" s="4">
        <f>G142+1</f>
        <v>2024</v>
      </c>
      <c r="I142" s="4">
        <f>H142+1</f>
        <v>2025</v>
      </c>
      <c r="J142" s="207"/>
      <c r="K142" s="335"/>
      <c r="L142" s="335"/>
      <c r="M142" s="97"/>
      <c r="N142" s="97"/>
      <c r="O142" s="97"/>
      <c r="P142" s="26"/>
    </row>
    <row r="143" spans="1:17" s="36" customFormat="1" x14ac:dyDescent="0.25">
      <c r="A143" s="76" t="s">
        <v>156</v>
      </c>
      <c r="B143" s="76" t="str">
        <f t="shared" ref="B143:B154" si="16">IF(L143,K143&amp;L143,"")</f>
        <v>H9</v>
      </c>
      <c r="C143" s="243" t="s">
        <v>167</v>
      </c>
      <c r="D143" s="70" t="s">
        <v>105</v>
      </c>
      <c r="E143" s="69" t="s">
        <v>98</v>
      </c>
      <c r="F143" s="68">
        <v>-300</v>
      </c>
      <c r="G143" s="68">
        <v>-900</v>
      </c>
      <c r="H143" s="68">
        <v>-1500</v>
      </c>
      <c r="I143" s="68">
        <v>-2100</v>
      </c>
      <c r="J143" s="207"/>
      <c r="K143" s="26" t="s">
        <v>158</v>
      </c>
      <c r="L143" s="26">
        <f>L141+1</f>
        <v>9</v>
      </c>
      <c r="M143" s="97" t="str">
        <f>IF(E143="VEDTATT","VEDTATT",0)</f>
        <v>VEDTATT</v>
      </c>
      <c r="N143" s="97">
        <f>IF(E143="MÅ","Nye tiltak",0)</f>
        <v>0</v>
      </c>
      <c r="O143" s="97"/>
      <c r="P143" s="26"/>
    </row>
    <row r="144" spans="1:17" s="36" customFormat="1" ht="30" customHeight="1" x14ac:dyDescent="0.25">
      <c r="A144" s="76" t="s">
        <v>156</v>
      </c>
      <c r="B144" s="76" t="str">
        <f t="shared" si="16"/>
        <v>H10</v>
      </c>
      <c r="C144" s="243" t="s">
        <v>333</v>
      </c>
      <c r="D144" s="70" t="s">
        <v>108</v>
      </c>
      <c r="E144" s="69" t="s">
        <v>46</v>
      </c>
      <c r="F144" s="68"/>
      <c r="G144" s="68"/>
      <c r="H144" s="68"/>
      <c r="I144" s="68"/>
      <c r="J144" s="207" t="s">
        <v>334</v>
      </c>
      <c r="K144" s="26" t="s">
        <v>158</v>
      </c>
      <c r="L144" s="26">
        <f t="shared" ref="L144:L147" si="17">L143+1</f>
        <v>10</v>
      </c>
      <c r="M144" s="97">
        <f>IF(E144="VEDTATT","VEDTATT",0)</f>
        <v>0</v>
      </c>
      <c r="N144" s="97" t="str">
        <f>IF(E144="MÅ","Nye tiltak",0)</f>
        <v>Nye tiltak</v>
      </c>
      <c r="O144" s="97"/>
      <c r="P144" s="26"/>
      <c r="Q144" s="293"/>
    </row>
    <row r="145" spans="1:17" s="36" customFormat="1" ht="30" customHeight="1" x14ac:dyDescent="0.25">
      <c r="A145" s="76" t="s">
        <v>156</v>
      </c>
      <c r="B145" s="76" t="str">
        <f>IF(L145,K145&amp;L145,"")</f>
        <v>H11</v>
      </c>
      <c r="C145" s="243" t="s">
        <v>172</v>
      </c>
      <c r="D145" s="70" t="s">
        <v>108</v>
      </c>
      <c r="E145" s="229">
        <v>8</v>
      </c>
      <c r="F145" s="68">
        <v>1000</v>
      </c>
      <c r="G145" s="68">
        <v>1000</v>
      </c>
      <c r="H145" s="68">
        <v>1000</v>
      </c>
      <c r="I145" s="68">
        <v>1000</v>
      </c>
      <c r="J145" s="207"/>
      <c r="K145" s="26" t="s">
        <v>158</v>
      </c>
      <c r="L145" s="26">
        <f>L144+1</f>
        <v>11</v>
      </c>
      <c r="M145" s="97"/>
      <c r="N145" s="97"/>
      <c r="O145" s="97"/>
      <c r="P145" s="26"/>
      <c r="Q145" s="293"/>
    </row>
    <row r="146" spans="1:17" s="36" customFormat="1" x14ac:dyDescent="0.25">
      <c r="A146" s="76" t="s">
        <v>156</v>
      </c>
      <c r="B146" s="76" t="str">
        <f t="shared" si="16"/>
        <v>H12</v>
      </c>
      <c r="C146" s="243" t="s">
        <v>168</v>
      </c>
      <c r="D146" s="70" t="s">
        <v>108</v>
      </c>
      <c r="E146" s="229" t="s">
        <v>46</v>
      </c>
      <c r="F146" s="68">
        <v>950</v>
      </c>
      <c r="G146" s="68">
        <v>950</v>
      </c>
      <c r="H146" s="68">
        <v>950</v>
      </c>
      <c r="I146" s="68">
        <v>950</v>
      </c>
      <c r="J146" s="408">
        <v>2</v>
      </c>
      <c r="K146" s="26" t="s">
        <v>158</v>
      </c>
      <c r="L146" s="26">
        <f>L145+1</f>
        <v>12</v>
      </c>
      <c r="M146" s="97"/>
      <c r="N146" s="97"/>
      <c r="O146" s="97"/>
      <c r="Q146" s="293"/>
    </row>
    <row r="147" spans="1:17" s="36" customFormat="1" x14ac:dyDescent="0.25">
      <c r="A147" s="76" t="s">
        <v>156</v>
      </c>
      <c r="B147" s="76" t="str">
        <f t="shared" si="16"/>
        <v>H13</v>
      </c>
      <c r="C147" s="243" t="s">
        <v>169</v>
      </c>
      <c r="D147" s="70" t="s">
        <v>105</v>
      </c>
      <c r="E147" s="69" t="s">
        <v>98</v>
      </c>
      <c r="F147" s="68">
        <f>-11400-15856</f>
        <v>-27256</v>
      </c>
      <c r="G147" s="68">
        <f>-11400-15856</f>
        <v>-27256</v>
      </c>
      <c r="H147" s="68">
        <f>G147</f>
        <v>-27256</v>
      </c>
      <c r="I147" s="68">
        <f>H147</f>
        <v>-27256</v>
      </c>
      <c r="J147" s="207"/>
      <c r="K147" s="26" t="s">
        <v>158</v>
      </c>
      <c r="L147" s="26">
        <f t="shared" si="17"/>
        <v>13</v>
      </c>
      <c r="M147" s="97" t="str">
        <f>IF(E147="VEDTATT","VEDTATT",0)</f>
        <v>VEDTATT</v>
      </c>
      <c r="N147" s="97">
        <f>IF(E147="MÅ","Nye tiltak",0)</f>
        <v>0</v>
      </c>
      <c r="O147" s="97"/>
      <c r="Q147" s="293"/>
    </row>
    <row r="148" spans="1:17" s="36" customFormat="1" x14ac:dyDescent="0.25">
      <c r="A148" s="76"/>
      <c r="B148" s="76" t="str">
        <f t="shared" si="16"/>
        <v/>
      </c>
      <c r="C148" s="80" t="s">
        <v>173</v>
      </c>
      <c r="D148" s="70"/>
      <c r="E148" s="69"/>
      <c r="F148" s="4">
        <f>F142</f>
        <v>2022</v>
      </c>
      <c r="G148" s="4">
        <f>F148+1</f>
        <v>2023</v>
      </c>
      <c r="H148" s="4">
        <f>G148+1</f>
        <v>2024</v>
      </c>
      <c r="I148" s="4">
        <f>H148+1</f>
        <v>2025</v>
      </c>
      <c r="J148" s="207"/>
      <c r="K148" s="4"/>
      <c r="L148" s="4"/>
      <c r="M148" s="97"/>
      <c r="N148" s="97"/>
      <c r="O148" s="97"/>
    </row>
    <row r="149" spans="1:17" s="36" customFormat="1" x14ac:dyDescent="0.25">
      <c r="A149" s="76" t="s">
        <v>156</v>
      </c>
      <c r="B149" s="76" t="str">
        <f t="shared" si="16"/>
        <v>H14</v>
      </c>
      <c r="C149" s="243" t="s">
        <v>174</v>
      </c>
      <c r="D149" s="70" t="s">
        <v>108</v>
      </c>
      <c r="E149" s="69" t="s">
        <v>46</v>
      </c>
      <c r="F149" s="68">
        <v>600</v>
      </c>
      <c r="G149" s="68">
        <v>600</v>
      </c>
      <c r="H149" s="68">
        <v>600</v>
      </c>
      <c r="I149" s="68">
        <v>600</v>
      </c>
      <c r="J149" s="207"/>
      <c r="K149" s="26" t="s">
        <v>158</v>
      </c>
      <c r="L149" s="26">
        <f>L147+1</f>
        <v>14</v>
      </c>
      <c r="M149" s="97"/>
      <c r="N149" s="97"/>
      <c r="O149" s="97"/>
      <c r="P149" s="26"/>
    </row>
    <row r="150" spans="1:17" s="36" customFormat="1" ht="25.5" x14ac:dyDescent="0.25">
      <c r="A150" s="76" t="s">
        <v>156</v>
      </c>
      <c r="B150" s="76" t="str">
        <f t="shared" si="16"/>
        <v>H15</v>
      </c>
      <c r="C150" s="243" t="s">
        <v>411</v>
      </c>
      <c r="D150" s="70" t="s">
        <v>97</v>
      </c>
      <c r="E150" s="69" t="s">
        <v>98</v>
      </c>
      <c r="F150" s="68">
        <v>0</v>
      </c>
      <c r="G150" s="68">
        <v>50</v>
      </c>
      <c r="H150" s="68">
        <v>150</v>
      </c>
      <c r="I150" s="68">
        <v>150</v>
      </c>
      <c r="J150" s="408" t="s">
        <v>412</v>
      </c>
      <c r="K150" s="26" t="s">
        <v>158</v>
      </c>
      <c r="L150" s="26">
        <f t="shared" ref="L150:L154" si="18">L149+1</f>
        <v>15</v>
      </c>
      <c r="M150" s="97" t="str">
        <f t="shared" ref="M150:M154" si="19">IF(E150="VEDTATT","VEDTATT",0)</f>
        <v>VEDTATT</v>
      </c>
      <c r="N150" s="97">
        <f t="shared" ref="N150:N154" si="20">IF(E150="MÅ","Nye tiltak",0)</f>
        <v>0</v>
      </c>
      <c r="O150" s="97"/>
      <c r="P150" s="26"/>
    </row>
    <row r="151" spans="1:17" s="36" customFormat="1" ht="25.5" x14ac:dyDescent="0.25">
      <c r="A151" s="76" t="s">
        <v>156</v>
      </c>
      <c r="B151" s="76" t="str">
        <f t="shared" si="16"/>
        <v>H16</v>
      </c>
      <c r="C151" s="243" t="s">
        <v>176</v>
      </c>
      <c r="D151" s="70" t="s">
        <v>97</v>
      </c>
      <c r="E151" s="69" t="s">
        <v>98</v>
      </c>
      <c r="F151" s="88">
        <v>0</v>
      </c>
      <c r="G151" s="88">
        <v>0</v>
      </c>
      <c r="H151" s="88">
        <v>1100</v>
      </c>
      <c r="I151" s="88">
        <v>1100</v>
      </c>
      <c r="J151" s="408"/>
      <c r="K151" s="26" t="s">
        <v>158</v>
      </c>
      <c r="L151" s="26">
        <f t="shared" si="18"/>
        <v>16</v>
      </c>
      <c r="M151" s="97" t="str">
        <f t="shared" si="19"/>
        <v>VEDTATT</v>
      </c>
      <c r="N151" s="97">
        <f t="shared" si="20"/>
        <v>0</v>
      </c>
      <c r="O151" s="97"/>
      <c r="P151" s="26"/>
    </row>
    <row r="152" spans="1:17" s="36" customFormat="1" x14ac:dyDescent="0.25">
      <c r="A152" s="76" t="s">
        <v>156</v>
      </c>
      <c r="B152" s="76" t="str">
        <f t="shared" si="16"/>
        <v>H17</v>
      </c>
      <c r="C152" s="243" t="s">
        <v>413</v>
      </c>
      <c r="D152" s="70" t="s">
        <v>108</v>
      </c>
      <c r="E152" s="229">
        <v>6</v>
      </c>
      <c r="F152" s="68">
        <v>600</v>
      </c>
      <c r="G152" s="68">
        <v>600</v>
      </c>
      <c r="H152" s="68">
        <v>600</v>
      </c>
      <c r="I152" s="68">
        <v>600</v>
      </c>
      <c r="J152" s="255">
        <v>4</v>
      </c>
      <c r="K152" s="26" t="s">
        <v>158</v>
      </c>
      <c r="L152" s="26">
        <f t="shared" si="18"/>
        <v>17</v>
      </c>
      <c r="M152" s="97">
        <f t="shared" si="19"/>
        <v>0</v>
      </c>
      <c r="N152" s="97">
        <f t="shared" si="20"/>
        <v>0</v>
      </c>
      <c r="O152" s="97"/>
      <c r="P152" s="26"/>
    </row>
    <row r="153" spans="1:17" s="36" customFormat="1" x14ac:dyDescent="0.2">
      <c r="A153" s="76" t="s">
        <v>156</v>
      </c>
      <c r="B153" s="76" t="str">
        <f t="shared" si="16"/>
        <v>H18</v>
      </c>
      <c r="C153" s="243" t="s">
        <v>414</v>
      </c>
      <c r="D153" s="77" t="s">
        <v>108</v>
      </c>
      <c r="E153" s="229">
        <v>10</v>
      </c>
      <c r="F153" s="389"/>
      <c r="G153" s="389">
        <v>700</v>
      </c>
      <c r="H153" s="389">
        <v>700</v>
      </c>
      <c r="I153" s="389">
        <v>700</v>
      </c>
      <c r="J153" s="427">
        <v>9</v>
      </c>
      <c r="K153" s="26" t="s">
        <v>158</v>
      </c>
      <c r="L153" s="26">
        <f t="shared" si="18"/>
        <v>18</v>
      </c>
      <c r="M153" s="97">
        <f t="shared" si="19"/>
        <v>0</v>
      </c>
      <c r="N153" s="97">
        <f t="shared" si="20"/>
        <v>0</v>
      </c>
      <c r="O153" s="97"/>
      <c r="P153" s="26"/>
    </row>
    <row r="154" spans="1:17" s="36" customFormat="1" ht="25.5" x14ac:dyDescent="0.25">
      <c r="A154" s="76" t="s">
        <v>156</v>
      </c>
      <c r="B154" s="76" t="str">
        <f t="shared" si="16"/>
        <v>H19</v>
      </c>
      <c r="C154" s="243" t="s">
        <v>335</v>
      </c>
      <c r="D154" s="77" t="s">
        <v>108</v>
      </c>
      <c r="E154" s="69"/>
      <c r="F154" s="280"/>
      <c r="G154" s="280"/>
      <c r="H154" s="280"/>
      <c r="I154" s="280"/>
      <c r="J154" s="207" t="s">
        <v>336</v>
      </c>
      <c r="K154" s="26" t="s">
        <v>158</v>
      </c>
      <c r="L154" s="26">
        <f t="shared" si="18"/>
        <v>19</v>
      </c>
      <c r="M154" s="97">
        <f t="shared" si="19"/>
        <v>0</v>
      </c>
      <c r="N154" s="97">
        <f t="shared" si="20"/>
        <v>0</v>
      </c>
      <c r="O154" s="97"/>
      <c r="P154" s="26"/>
    </row>
    <row r="155" spans="1:17" s="36" customFormat="1" x14ac:dyDescent="0.25">
      <c r="A155" s="76"/>
      <c r="B155" s="76"/>
      <c r="C155" s="80" t="s">
        <v>178</v>
      </c>
      <c r="D155" s="81"/>
      <c r="E155" s="69"/>
      <c r="F155" s="4">
        <f>F148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207"/>
      <c r="K155" s="335"/>
      <c r="L155" s="335"/>
      <c r="M155" s="97"/>
      <c r="N155" s="97"/>
      <c r="O155" s="97"/>
      <c r="P155" s="26"/>
    </row>
    <row r="156" spans="1:17" s="36" customFormat="1" x14ac:dyDescent="0.25">
      <c r="A156" s="76" t="s">
        <v>156</v>
      </c>
      <c r="B156" s="76" t="str">
        <f t="shared" ref="B156:B166" si="21">IF(L156,K156&amp;L156,"")</f>
        <v>H20</v>
      </c>
      <c r="C156" s="243" t="s">
        <v>415</v>
      </c>
      <c r="D156" s="70" t="s">
        <v>97</v>
      </c>
      <c r="E156" s="69" t="s">
        <v>98</v>
      </c>
      <c r="F156" s="285"/>
      <c r="G156" s="285">
        <v>-1100</v>
      </c>
      <c r="H156" s="285">
        <v>-2200</v>
      </c>
      <c r="I156" s="285">
        <v>-2200</v>
      </c>
      <c r="J156" s="408" t="s">
        <v>412</v>
      </c>
      <c r="K156" s="26" t="s">
        <v>158</v>
      </c>
      <c r="L156" s="26">
        <f>L154+1</f>
        <v>20</v>
      </c>
      <c r="M156" s="97" t="str">
        <f t="shared" ref="M156:M157" si="22">IF(E156="VEDTATT","VEDTATT",0)</f>
        <v>VEDTATT</v>
      </c>
      <c r="N156" s="97">
        <f t="shared" ref="N156:N157" si="23">IF(E156="MÅ","Nye tiltak",0)</f>
        <v>0</v>
      </c>
      <c r="O156" s="97"/>
      <c r="P156" s="26"/>
    </row>
    <row r="157" spans="1:17" s="36" customFormat="1" x14ac:dyDescent="0.25">
      <c r="A157" s="76" t="s">
        <v>156</v>
      </c>
      <c r="B157" s="76" t="str">
        <f t="shared" si="21"/>
        <v>H21</v>
      </c>
      <c r="C157" s="243" t="s">
        <v>416</v>
      </c>
      <c r="D157" s="70" t="s">
        <v>97</v>
      </c>
      <c r="E157" s="69" t="s">
        <v>98</v>
      </c>
      <c r="F157" s="68"/>
      <c r="G157" s="57">
        <v>728</v>
      </c>
      <c r="H157" s="57">
        <v>728</v>
      </c>
      <c r="I157" s="57">
        <v>728</v>
      </c>
      <c r="J157" s="408" t="s">
        <v>412</v>
      </c>
      <c r="K157" s="26" t="s">
        <v>158</v>
      </c>
      <c r="L157" s="26">
        <f t="shared" ref="L157:L161" si="24">L156+1</f>
        <v>21</v>
      </c>
      <c r="M157" s="97" t="str">
        <f t="shared" si="22"/>
        <v>VEDTATT</v>
      </c>
      <c r="N157" s="97">
        <f t="shared" si="23"/>
        <v>0</v>
      </c>
      <c r="O157" s="97"/>
      <c r="P157" s="26"/>
    </row>
    <row r="158" spans="1:17" s="36" customFormat="1" x14ac:dyDescent="0.25">
      <c r="A158" s="76" t="s">
        <v>156</v>
      </c>
      <c r="B158" s="76" t="str">
        <f t="shared" si="21"/>
        <v>H22</v>
      </c>
      <c r="C158" s="243" t="s">
        <v>180</v>
      </c>
      <c r="D158" s="70" t="s">
        <v>97</v>
      </c>
      <c r="E158" s="69" t="s">
        <v>98</v>
      </c>
      <c r="F158" s="428">
        <v>2000</v>
      </c>
      <c r="G158" s="428">
        <v>2000</v>
      </c>
      <c r="H158" s="428">
        <v>2000</v>
      </c>
      <c r="I158" s="428">
        <v>2000</v>
      </c>
      <c r="J158" s="408" t="s">
        <v>412</v>
      </c>
      <c r="K158" s="26" t="s">
        <v>158</v>
      </c>
      <c r="L158" s="26">
        <f t="shared" si="24"/>
        <v>22</v>
      </c>
      <c r="M158" s="97" t="str">
        <f>IF(E158="VEDTATT","VEDTATT",0)</f>
        <v>VEDTATT</v>
      </c>
      <c r="N158" s="97">
        <f>IF(E158="MÅ","Nye tiltak",0)</f>
        <v>0</v>
      </c>
      <c r="O158" s="97"/>
      <c r="P158" s="26"/>
    </row>
    <row r="159" spans="1:17" s="36" customFormat="1" x14ac:dyDescent="0.25">
      <c r="A159" s="76" t="s">
        <v>156</v>
      </c>
      <c r="B159" s="76" t="str">
        <f t="shared" si="21"/>
        <v>H23</v>
      </c>
      <c r="C159" s="243" t="s">
        <v>181</v>
      </c>
      <c r="D159" s="70" t="s">
        <v>97</v>
      </c>
      <c r="E159" s="69" t="s">
        <v>98</v>
      </c>
      <c r="F159" s="491">
        <v>5600</v>
      </c>
      <c r="G159" s="491">
        <v>9400</v>
      </c>
      <c r="H159" s="491">
        <v>11100</v>
      </c>
      <c r="I159" s="491">
        <v>11100</v>
      </c>
      <c r="J159" s="491" t="s">
        <v>412</v>
      </c>
      <c r="K159" s="26" t="s">
        <v>158</v>
      </c>
      <c r="L159" s="26">
        <f>L158+1</f>
        <v>23</v>
      </c>
      <c r="M159" s="97" t="str">
        <f>IF(E158="VEDTATT","VEDTATT",0)</f>
        <v>VEDTATT</v>
      </c>
      <c r="N159" s="97">
        <f>IF(E158="MÅ","Nye tiltak",0)</f>
        <v>0</v>
      </c>
      <c r="O159" s="97"/>
      <c r="P159" s="26"/>
    </row>
    <row r="160" spans="1:17" s="36" customFormat="1" x14ac:dyDescent="0.25">
      <c r="A160" s="76" t="s">
        <v>156</v>
      </c>
      <c r="B160" s="76" t="str">
        <f t="shared" si="21"/>
        <v>H24</v>
      </c>
      <c r="C160" s="243" t="s">
        <v>182</v>
      </c>
      <c r="D160" s="70" t="s">
        <v>97</v>
      </c>
      <c r="E160" s="69" t="s">
        <v>98</v>
      </c>
      <c r="F160" s="491">
        <v>300</v>
      </c>
      <c r="G160" s="491">
        <v>300</v>
      </c>
      <c r="H160" s="491">
        <v>1900</v>
      </c>
      <c r="I160" s="491">
        <v>1900</v>
      </c>
      <c r="J160" s="491" t="s">
        <v>412</v>
      </c>
      <c r="K160" s="26" t="s">
        <v>158</v>
      </c>
      <c r="L160" s="26">
        <f>L159+1</f>
        <v>24</v>
      </c>
      <c r="M160" s="97" t="str">
        <f>IF(E159="VEDTATT","VEDTATT",0)</f>
        <v>VEDTATT</v>
      </c>
      <c r="N160" s="97">
        <f>IF(E159="MÅ","Nye tiltak",0)</f>
        <v>0</v>
      </c>
      <c r="O160" s="97"/>
      <c r="P160" s="26"/>
    </row>
    <row r="161" spans="1:16" s="36" customFormat="1" x14ac:dyDescent="0.25">
      <c r="A161" s="76" t="s">
        <v>156</v>
      </c>
      <c r="B161" s="76" t="str">
        <f t="shared" si="21"/>
        <v>H25</v>
      </c>
      <c r="D161" s="70"/>
      <c r="J161" s="207"/>
      <c r="K161" s="26" t="s">
        <v>158</v>
      </c>
      <c r="L161" s="26">
        <f t="shared" si="24"/>
        <v>25</v>
      </c>
      <c r="M161" s="97" t="str">
        <f>IF(E160="VEDTATT","VEDTATT",0)</f>
        <v>VEDTATT</v>
      </c>
      <c r="N161" s="97">
        <f>IF(E160="MÅ","Nye tiltak",0)</f>
        <v>0</v>
      </c>
      <c r="O161" s="97"/>
      <c r="P161" s="26"/>
    </row>
    <row r="162" spans="1:16" s="36" customFormat="1" x14ac:dyDescent="0.25">
      <c r="A162" s="76"/>
      <c r="B162" s="76" t="str">
        <f t="shared" si="21"/>
        <v/>
      </c>
      <c r="C162" s="80" t="s">
        <v>184</v>
      </c>
      <c r="D162" s="81"/>
      <c r="E162" s="69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207"/>
      <c r="K162" s="335"/>
      <c r="L162" s="335"/>
      <c r="M162" s="97"/>
      <c r="N162" s="97"/>
      <c r="O162" s="97"/>
      <c r="P162" s="26"/>
    </row>
    <row r="163" spans="1:16" s="36" customFormat="1" x14ac:dyDescent="0.25">
      <c r="A163" s="76" t="s">
        <v>156</v>
      </c>
      <c r="B163" s="76" t="str">
        <f t="shared" si="21"/>
        <v>H26</v>
      </c>
      <c r="C163" s="243" t="s">
        <v>185</v>
      </c>
      <c r="D163" s="70" t="s">
        <v>105</v>
      </c>
      <c r="E163" s="69" t="s">
        <v>98</v>
      </c>
      <c r="F163" s="68">
        <v>0</v>
      </c>
      <c r="G163" s="68"/>
      <c r="H163" s="68">
        <v>6000</v>
      </c>
      <c r="I163" s="189">
        <v>12000</v>
      </c>
      <c r="J163" s="207" t="s">
        <v>186</v>
      </c>
      <c r="K163" s="26" t="s">
        <v>158</v>
      </c>
      <c r="L163" s="26">
        <f>L161+1</f>
        <v>26</v>
      </c>
      <c r="M163" s="97" t="str">
        <f>IF(E163="VEDTATT","VEDTATT",0)</f>
        <v>VEDTATT</v>
      </c>
      <c r="N163" s="97">
        <f>IF(E163="MÅ","Nye tiltak",0)</f>
        <v>0</v>
      </c>
      <c r="O163" s="97"/>
      <c r="P163" s="26"/>
    </row>
    <row r="164" spans="1:16" s="36" customFormat="1" x14ac:dyDescent="0.25">
      <c r="A164" s="76" t="s">
        <v>156</v>
      </c>
      <c r="B164" s="76" t="str">
        <f>IF(L164,K164&amp;L164,"")</f>
        <v>H27</v>
      </c>
      <c r="C164" s="243" t="s">
        <v>187</v>
      </c>
      <c r="D164" s="70" t="s">
        <v>105</v>
      </c>
      <c r="E164" s="69" t="s">
        <v>98</v>
      </c>
      <c r="F164" s="189">
        <v>0</v>
      </c>
      <c r="G164" s="189">
        <v>-2500</v>
      </c>
      <c r="H164" s="189">
        <f t="shared" ref="H164:I166" si="25">G164</f>
        <v>-2500</v>
      </c>
      <c r="I164" s="189">
        <f t="shared" si="25"/>
        <v>-2500</v>
      </c>
      <c r="J164" s="207"/>
      <c r="K164" s="26" t="s">
        <v>158</v>
      </c>
      <c r="L164" s="26">
        <f>L163+1</f>
        <v>27</v>
      </c>
      <c r="M164" s="97"/>
      <c r="N164" s="97"/>
      <c r="O164" s="97"/>
      <c r="P164" s="26"/>
    </row>
    <row r="165" spans="1:16" s="36" customFormat="1" x14ac:dyDescent="0.25">
      <c r="A165" s="76" t="s">
        <v>156</v>
      </c>
      <c r="B165" s="76" t="str">
        <f t="shared" si="21"/>
        <v>H28</v>
      </c>
      <c r="C165" s="243" t="s">
        <v>188</v>
      </c>
      <c r="D165" s="70" t="s">
        <v>108</v>
      </c>
      <c r="E165" s="229" t="s">
        <v>46</v>
      </c>
      <c r="F165" s="189">
        <v>4000</v>
      </c>
      <c r="G165" s="189">
        <f>F165</f>
        <v>4000</v>
      </c>
      <c r="H165" s="189">
        <f t="shared" si="25"/>
        <v>4000</v>
      </c>
      <c r="I165" s="189">
        <f t="shared" si="25"/>
        <v>4000</v>
      </c>
      <c r="J165" s="255"/>
      <c r="K165" s="26" t="s">
        <v>158</v>
      </c>
      <c r="L165" s="26">
        <f>L164+1</f>
        <v>28</v>
      </c>
      <c r="M165" s="97">
        <f>IF(E165="VEDTATT","VEDTATT",0)</f>
        <v>0</v>
      </c>
      <c r="N165" s="97" t="str">
        <f>IF(E165="MÅ","Nye tiltak",0)</f>
        <v>Nye tiltak</v>
      </c>
      <c r="O165" s="97"/>
      <c r="P165" s="26"/>
    </row>
    <row r="166" spans="1:16" s="36" customFormat="1" ht="15.75" customHeight="1" x14ac:dyDescent="0.25">
      <c r="A166" s="76" t="s">
        <v>156</v>
      </c>
      <c r="B166" s="76" t="str">
        <f t="shared" si="21"/>
        <v>H29</v>
      </c>
      <c r="C166" s="243" t="s">
        <v>417</v>
      </c>
      <c r="D166" s="70" t="s">
        <v>108</v>
      </c>
      <c r="E166" s="229">
        <v>5</v>
      </c>
      <c r="F166" s="215">
        <v>600</v>
      </c>
      <c r="G166" s="215">
        <f>F166</f>
        <v>600</v>
      </c>
      <c r="H166" s="215">
        <f t="shared" si="25"/>
        <v>600</v>
      </c>
      <c r="I166" s="215">
        <f t="shared" si="25"/>
        <v>600</v>
      </c>
      <c r="J166" s="426">
        <v>6</v>
      </c>
      <c r="K166" s="26" t="s">
        <v>158</v>
      </c>
      <c r="L166" s="26">
        <f>L165+1</f>
        <v>29</v>
      </c>
      <c r="M166" s="97">
        <f>IF(E166="VEDTATT","VEDTATT",0)</f>
        <v>0</v>
      </c>
      <c r="N166" s="97">
        <f>IF(E166="MÅ","Nye tiltak",0)</f>
        <v>0</v>
      </c>
      <c r="O166" s="97"/>
      <c r="P166" s="26"/>
    </row>
    <row r="167" spans="1:16" s="36" customFormat="1" x14ac:dyDescent="0.25">
      <c r="A167" s="242" t="s">
        <v>156</v>
      </c>
      <c r="B167" s="76" t="str">
        <f>IF(L167,K167&amp;L167,"")</f>
        <v>H30</v>
      </c>
      <c r="C167" s="243" t="s">
        <v>418</v>
      </c>
      <c r="D167" s="212" t="s">
        <v>108</v>
      </c>
      <c r="E167" s="404">
        <v>7</v>
      </c>
      <c r="F167" s="215">
        <v>150</v>
      </c>
      <c r="G167" s="215">
        <v>150</v>
      </c>
      <c r="H167" s="215">
        <v>150</v>
      </c>
      <c r="I167" s="215">
        <v>150</v>
      </c>
      <c r="J167" s="426">
        <v>3</v>
      </c>
      <c r="K167" s="26" t="s">
        <v>158</v>
      </c>
      <c r="L167" s="26">
        <f>L166+1</f>
        <v>30</v>
      </c>
      <c r="M167" s="97">
        <f>IF(E167="VEDTATT","VEDTATT",0)</f>
        <v>0</v>
      </c>
      <c r="N167" s="97">
        <f>IF(E167="MÅ","Nye tiltak",0)</f>
        <v>0</v>
      </c>
      <c r="O167" s="97"/>
      <c r="P167" s="26"/>
    </row>
    <row r="168" spans="1:16" s="36" customFormat="1" x14ac:dyDescent="0.25">
      <c r="A168" s="41"/>
      <c r="B168" s="41" t="s">
        <v>152</v>
      </c>
      <c r="C168" s="3" t="s">
        <v>189</v>
      </c>
      <c r="D168" s="50"/>
      <c r="E168" s="50"/>
      <c r="F168" s="54">
        <f>SUMIF($A:$A,"H&amp;V",F:F)</f>
        <v>12644</v>
      </c>
      <c r="G168" s="54">
        <f>SUMIF($A:$A,"H&amp;V",G:G)</f>
        <v>28122</v>
      </c>
      <c r="H168" s="54">
        <f>SUMIF($A:$A,"H&amp;V",H:H)</f>
        <v>41422</v>
      </c>
      <c r="I168" s="54">
        <f>SUMIF($A:$A,"H&amp;V",I:I)</f>
        <v>49322</v>
      </c>
      <c r="J168" s="207"/>
      <c r="K168" s="335"/>
      <c r="L168" s="335"/>
      <c r="M168" s="97"/>
      <c r="N168" s="97"/>
      <c r="O168" s="97"/>
    </row>
    <row r="169" spans="1:16" s="36" customFormat="1" x14ac:dyDescent="0.25">
      <c r="A169" s="45"/>
      <c r="B169" s="45"/>
      <c r="C169" s="9"/>
      <c r="D169" s="47"/>
      <c r="E169" s="47"/>
      <c r="F169" s="55"/>
      <c r="G169" s="55"/>
      <c r="H169" s="55"/>
      <c r="I169" s="55"/>
      <c r="J169" s="207"/>
      <c r="K169" s="26"/>
      <c r="L169" s="26"/>
      <c r="M169" s="97"/>
      <c r="N169" s="97"/>
      <c r="O169" s="97"/>
    </row>
    <row r="170" spans="1:16" s="36" customFormat="1" x14ac:dyDescent="0.25">
      <c r="A170" s="46"/>
      <c r="B170" s="46"/>
      <c r="C170" s="11" t="s">
        <v>190</v>
      </c>
      <c r="D170" s="48"/>
      <c r="E170" s="59"/>
      <c r="F170" s="56"/>
      <c r="G170" s="56"/>
      <c r="H170" s="56"/>
      <c r="I170" s="56"/>
      <c r="J170" s="207"/>
      <c r="M170" s="97"/>
      <c r="N170" s="97"/>
      <c r="O170" s="97"/>
    </row>
    <row r="171" spans="1:16" s="36" customFormat="1" x14ac:dyDescent="0.25">
      <c r="A171" s="339"/>
      <c r="B171" s="339"/>
      <c r="C171" s="80" t="s">
        <v>191</v>
      </c>
      <c r="D171" s="81"/>
      <c r="E171" s="69"/>
      <c r="F171" s="4">
        <f>F162</f>
        <v>2022</v>
      </c>
      <c r="G171" s="4">
        <f>F171+1</f>
        <v>2023</v>
      </c>
      <c r="H171" s="4">
        <f>G171+1</f>
        <v>2024</v>
      </c>
      <c r="I171" s="4">
        <f>H171+1</f>
        <v>2025</v>
      </c>
      <c r="J171" s="410"/>
      <c r="K171" s="335"/>
      <c r="L171" s="335"/>
      <c r="M171" s="97"/>
      <c r="N171" s="97"/>
      <c r="O171" s="97"/>
    </row>
    <row r="172" spans="1:16" s="36" customFormat="1" x14ac:dyDescent="0.25">
      <c r="A172" s="76" t="s">
        <v>192</v>
      </c>
      <c r="B172" s="76" t="str">
        <f t="shared" ref="B172:B176" si="26">IF(L172,K172&amp;L172,"")</f>
        <v>K1</v>
      </c>
      <c r="C172" s="210" t="s">
        <v>193</v>
      </c>
      <c r="D172" s="77" t="s">
        <v>105</v>
      </c>
      <c r="E172" s="69" t="s">
        <v>98</v>
      </c>
      <c r="F172" s="189">
        <v>-400</v>
      </c>
      <c r="G172" s="189">
        <v>-500</v>
      </c>
      <c r="H172" s="189">
        <v>-600</v>
      </c>
      <c r="I172" s="189">
        <v>-600</v>
      </c>
      <c r="J172" s="207"/>
      <c r="K172" s="26" t="s">
        <v>194</v>
      </c>
      <c r="L172" s="26">
        <v>1</v>
      </c>
      <c r="M172" s="97" t="str">
        <f>IF(E172="VEDTATT","VEDTATT",0)</f>
        <v>VEDTATT</v>
      </c>
      <c r="N172" s="97">
        <f>IF(E172="MÅ","Nye tiltak",0)</f>
        <v>0</v>
      </c>
      <c r="O172" s="97"/>
    </row>
    <row r="173" spans="1:16" s="36" customFormat="1" x14ac:dyDescent="0.25">
      <c r="A173" s="76" t="s">
        <v>192</v>
      </c>
      <c r="B173" s="76" t="str">
        <f>IF(L173,K173&amp;L173,"")</f>
        <v>K2</v>
      </c>
      <c r="C173" s="210" t="s">
        <v>419</v>
      </c>
      <c r="D173" s="77" t="s">
        <v>108</v>
      </c>
      <c r="E173" s="229" t="s">
        <v>342</v>
      </c>
      <c r="F173" s="422">
        <v>400</v>
      </c>
      <c r="G173" s="422">
        <v>100</v>
      </c>
      <c r="H173" s="422">
        <v>100</v>
      </c>
      <c r="I173" s="422"/>
      <c r="J173" s="207"/>
      <c r="K173" s="26" t="s">
        <v>194</v>
      </c>
      <c r="L173" s="26">
        <f>L172+1</f>
        <v>2</v>
      </c>
      <c r="M173" s="97"/>
      <c r="N173" s="97"/>
      <c r="O173" s="97"/>
    </row>
    <row r="174" spans="1:16" s="36" customFormat="1" x14ac:dyDescent="0.25">
      <c r="A174" s="76" t="s">
        <v>192</v>
      </c>
      <c r="B174" s="76" t="str">
        <f t="shared" si="26"/>
        <v>K3</v>
      </c>
      <c r="C174" s="342" t="s">
        <v>420</v>
      </c>
      <c r="D174" s="77" t="s">
        <v>108</v>
      </c>
      <c r="E174" s="229" t="s">
        <v>46</v>
      </c>
      <c r="F174" s="67">
        <v>300</v>
      </c>
      <c r="G174" s="67">
        <v>400</v>
      </c>
      <c r="H174" s="67">
        <v>500</v>
      </c>
      <c r="I174" s="67">
        <v>600</v>
      </c>
      <c r="J174" s="207"/>
      <c r="K174" s="26" t="s">
        <v>194</v>
      </c>
      <c r="L174" s="26">
        <f t="shared" ref="L174:L187" si="27">L173+1</f>
        <v>3</v>
      </c>
      <c r="M174" s="97"/>
      <c r="N174" s="97"/>
      <c r="O174" s="97"/>
    </row>
    <row r="175" spans="1:16" s="36" customFormat="1" ht="25.5" x14ac:dyDescent="0.25">
      <c r="A175" s="76" t="s">
        <v>192</v>
      </c>
      <c r="B175" s="76" t="str">
        <f t="shared" ref="B175" si="28">IF(L175,K175&amp;L175,"")</f>
        <v>K4</v>
      </c>
      <c r="C175" s="342" t="s">
        <v>421</v>
      </c>
      <c r="D175" s="77" t="s">
        <v>108</v>
      </c>
      <c r="E175" s="229" t="s">
        <v>46</v>
      </c>
      <c r="F175" s="67">
        <v>-300</v>
      </c>
      <c r="G175" s="67"/>
      <c r="H175" s="67"/>
      <c r="I175" s="67"/>
      <c r="J175" s="207"/>
      <c r="K175" s="26" t="s">
        <v>194</v>
      </c>
      <c r="L175" s="26">
        <f t="shared" si="27"/>
        <v>4</v>
      </c>
      <c r="M175" s="97"/>
      <c r="N175" s="97"/>
      <c r="O175" s="97"/>
    </row>
    <row r="176" spans="1:16" s="36" customFormat="1" x14ac:dyDescent="0.25">
      <c r="A176" s="76" t="s">
        <v>192</v>
      </c>
      <c r="B176" s="76" t="str">
        <f t="shared" si="26"/>
        <v>K5</v>
      </c>
      <c r="C176" s="342" t="s">
        <v>422</v>
      </c>
      <c r="D176" s="77" t="s">
        <v>108</v>
      </c>
      <c r="E176" s="229" t="s">
        <v>46</v>
      </c>
      <c r="F176" s="67">
        <v>138</v>
      </c>
      <c r="G176" s="67">
        <v>138</v>
      </c>
      <c r="H176" s="67">
        <v>138</v>
      </c>
      <c r="I176" s="67">
        <v>138</v>
      </c>
      <c r="J176" s="207"/>
      <c r="K176" s="26" t="s">
        <v>194</v>
      </c>
      <c r="L176" s="26">
        <f t="shared" si="27"/>
        <v>5</v>
      </c>
      <c r="M176" s="97">
        <f t="shared" ref="M176:M185" si="29">IF(E176="VEDTATT","VEDTATT",0)</f>
        <v>0</v>
      </c>
      <c r="N176" s="97" t="str">
        <f t="shared" ref="N176:N185" si="30">IF(E176="MÅ","Nye tiltak",0)</f>
        <v>Nye tiltak</v>
      </c>
      <c r="O176" s="97"/>
    </row>
    <row r="177" spans="1:15" s="36" customFormat="1" x14ac:dyDescent="0.25">
      <c r="A177" s="76" t="s">
        <v>192</v>
      </c>
      <c r="B177" s="76" t="str">
        <f t="shared" ref="B177:B180" si="31">IF(L177,K177&amp;L177,"")</f>
        <v>K6</v>
      </c>
      <c r="C177" s="342" t="s">
        <v>423</v>
      </c>
      <c r="D177" s="77" t="s">
        <v>108</v>
      </c>
      <c r="E177" s="229" t="s">
        <v>46</v>
      </c>
      <c r="F177" s="67">
        <v>-138</v>
      </c>
      <c r="G177" s="67"/>
      <c r="H177" s="67"/>
      <c r="I177" s="67"/>
      <c r="J177" s="207"/>
      <c r="K177" s="26" t="s">
        <v>194</v>
      </c>
      <c r="L177" s="26">
        <f t="shared" si="27"/>
        <v>6</v>
      </c>
      <c r="M177" s="97"/>
      <c r="N177" s="97"/>
      <c r="O177" s="97"/>
    </row>
    <row r="178" spans="1:15" s="36" customFormat="1" ht="30.75" customHeight="1" x14ac:dyDescent="0.25">
      <c r="A178" s="76" t="s">
        <v>192</v>
      </c>
      <c r="B178" s="76" t="str">
        <f t="shared" si="31"/>
        <v>K7</v>
      </c>
      <c r="C178" s="342" t="s">
        <v>424</v>
      </c>
      <c r="D178" s="77" t="s">
        <v>108</v>
      </c>
      <c r="E178" s="229" t="s">
        <v>46</v>
      </c>
      <c r="F178" s="67">
        <v>235</v>
      </c>
      <c r="G178" s="67">
        <v>235</v>
      </c>
      <c r="H178" s="67">
        <v>235</v>
      </c>
      <c r="I178" s="67">
        <v>235</v>
      </c>
      <c r="J178" s="207"/>
      <c r="K178" s="26" t="s">
        <v>194</v>
      </c>
      <c r="L178" s="26">
        <f t="shared" si="27"/>
        <v>7</v>
      </c>
      <c r="M178" s="97">
        <f t="shared" si="29"/>
        <v>0</v>
      </c>
      <c r="N178" s="97" t="str">
        <f t="shared" si="30"/>
        <v>Nye tiltak</v>
      </c>
      <c r="O178" s="97"/>
    </row>
    <row r="179" spans="1:15" s="36" customFormat="1" ht="30.75" customHeight="1" x14ac:dyDescent="0.25">
      <c r="A179" s="76" t="s">
        <v>192</v>
      </c>
      <c r="B179" s="76" t="str">
        <f t="shared" si="31"/>
        <v>K8</v>
      </c>
      <c r="C179" s="342" t="s">
        <v>425</v>
      </c>
      <c r="D179" s="77" t="s">
        <v>108</v>
      </c>
      <c r="E179" s="229" t="s">
        <v>46</v>
      </c>
      <c r="F179" s="67">
        <v>-235</v>
      </c>
      <c r="G179" s="67"/>
      <c r="H179" s="67"/>
      <c r="I179" s="67"/>
      <c r="J179" s="207"/>
      <c r="K179" s="26" t="s">
        <v>194</v>
      </c>
      <c r="L179" s="26">
        <f t="shared" si="27"/>
        <v>8</v>
      </c>
      <c r="M179" s="97"/>
      <c r="N179" s="97"/>
      <c r="O179" s="97"/>
    </row>
    <row r="180" spans="1:15" s="36" customFormat="1" x14ac:dyDescent="0.25">
      <c r="A180" s="76" t="s">
        <v>192</v>
      </c>
      <c r="B180" s="76" t="str">
        <f t="shared" si="31"/>
        <v>K9</v>
      </c>
      <c r="C180" s="210" t="s">
        <v>426</v>
      </c>
      <c r="D180" s="77" t="s">
        <v>108</v>
      </c>
      <c r="E180" s="229" t="s">
        <v>342</v>
      </c>
      <c r="F180" s="422">
        <v>200</v>
      </c>
      <c r="G180" s="422">
        <v>200</v>
      </c>
      <c r="H180" s="422">
        <v>200</v>
      </c>
      <c r="I180" s="422">
        <v>200</v>
      </c>
      <c r="J180" s="255"/>
      <c r="K180" s="26" t="s">
        <v>194</v>
      </c>
      <c r="L180" s="26">
        <f t="shared" si="27"/>
        <v>9</v>
      </c>
      <c r="M180" s="97">
        <f t="shared" si="29"/>
        <v>0</v>
      </c>
      <c r="N180" s="97">
        <f t="shared" si="30"/>
        <v>0</v>
      </c>
      <c r="O180" s="97"/>
    </row>
    <row r="181" spans="1:15" s="36" customFormat="1" x14ac:dyDescent="0.25">
      <c r="A181" s="76" t="s">
        <v>192</v>
      </c>
      <c r="B181" s="76" t="str">
        <f t="shared" ref="B181:B187" si="32">IF(L181,K181&amp;L181,"")</f>
        <v>K10</v>
      </c>
      <c r="C181" s="210" t="s">
        <v>427</v>
      </c>
      <c r="D181" s="77" t="s">
        <v>108</v>
      </c>
      <c r="E181" s="229" t="s">
        <v>342</v>
      </c>
      <c r="F181" s="422">
        <v>375</v>
      </c>
      <c r="G181" s="422">
        <v>375</v>
      </c>
      <c r="H181" s="422">
        <v>375</v>
      </c>
      <c r="I181" s="422">
        <v>375</v>
      </c>
      <c r="J181" s="207"/>
      <c r="K181" s="26" t="s">
        <v>194</v>
      </c>
      <c r="L181" s="26">
        <f t="shared" si="27"/>
        <v>10</v>
      </c>
      <c r="M181" s="97">
        <f t="shared" si="29"/>
        <v>0</v>
      </c>
      <c r="N181" s="97">
        <f t="shared" si="30"/>
        <v>0</v>
      </c>
      <c r="O181" s="97"/>
    </row>
    <row r="182" spans="1:15" s="36" customFormat="1" x14ac:dyDescent="0.25">
      <c r="A182" s="76" t="s">
        <v>192</v>
      </c>
      <c r="B182" s="76" t="str">
        <f t="shared" si="32"/>
        <v>K11</v>
      </c>
      <c r="C182" s="289"/>
      <c r="D182" s="77"/>
      <c r="E182" s="421"/>
      <c r="F182" s="422"/>
      <c r="G182" s="422"/>
      <c r="H182" s="422"/>
      <c r="I182" s="422"/>
      <c r="J182" s="207"/>
      <c r="K182" s="26" t="s">
        <v>194</v>
      </c>
      <c r="L182" s="26">
        <f t="shared" si="27"/>
        <v>11</v>
      </c>
      <c r="M182" s="97">
        <f t="shared" si="29"/>
        <v>0</v>
      </c>
      <c r="N182" s="97">
        <f t="shared" si="30"/>
        <v>0</v>
      </c>
      <c r="O182" s="97"/>
    </row>
    <row r="183" spans="1:15" s="36" customFormat="1" x14ac:dyDescent="0.25">
      <c r="A183" s="76" t="s">
        <v>192</v>
      </c>
      <c r="B183" s="76" t="str">
        <f t="shared" si="32"/>
        <v>K12</v>
      </c>
      <c r="C183" s="385" t="s">
        <v>198</v>
      </c>
      <c r="D183" s="77"/>
      <c r="E183" s="69"/>
      <c r="F183" s="189"/>
      <c r="G183" s="189"/>
      <c r="H183" s="189"/>
      <c r="I183" s="189"/>
      <c r="J183" s="207"/>
      <c r="K183" s="26" t="s">
        <v>194</v>
      </c>
      <c r="L183" s="26">
        <f t="shared" si="27"/>
        <v>12</v>
      </c>
      <c r="M183" s="97">
        <f t="shared" si="29"/>
        <v>0</v>
      </c>
      <c r="N183" s="97">
        <f t="shared" si="30"/>
        <v>0</v>
      </c>
      <c r="O183" s="97"/>
    </row>
    <row r="184" spans="1:15" s="36" customFormat="1" x14ac:dyDescent="0.25">
      <c r="A184" s="76" t="s">
        <v>192</v>
      </c>
      <c r="B184" s="76" t="str">
        <f t="shared" si="32"/>
        <v>K13</v>
      </c>
      <c r="C184" s="211" t="s">
        <v>199</v>
      </c>
      <c r="D184" s="70" t="s">
        <v>105</v>
      </c>
      <c r="E184" s="69" t="s">
        <v>98</v>
      </c>
      <c r="F184" s="68">
        <v>0</v>
      </c>
      <c r="G184" s="68">
        <v>50</v>
      </c>
      <c r="H184" s="68">
        <v>50</v>
      </c>
      <c r="I184" s="68">
        <v>50</v>
      </c>
      <c r="J184" s="411"/>
      <c r="K184" s="26" t="s">
        <v>194</v>
      </c>
      <c r="L184" s="26">
        <f t="shared" si="27"/>
        <v>13</v>
      </c>
      <c r="M184" s="97" t="str">
        <f t="shared" si="29"/>
        <v>VEDTATT</v>
      </c>
      <c r="N184" s="97">
        <f t="shared" si="30"/>
        <v>0</v>
      </c>
      <c r="O184" s="97"/>
    </row>
    <row r="185" spans="1:15" s="36" customFormat="1" x14ac:dyDescent="0.25">
      <c r="A185" s="76" t="s">
        <v>192</v>
      </c>
      <c r="B185" s="76" t="str">
        <f t="shared" si="32"/>
        <v>K14</v>
      </c>
      <c r="C185" s="211" t="s">
        <v>201</v>
      </c>
      <c r="D185" s="70" t="s">
        <v>105</v>
      </c>
      <c r="E185" s="69" t="s">
        <v>98</v>
      </c>
      <c r="F185" s="88">
        <v>360</v>
      </c>
      <c r="G185" s="88">
        <v>360</v>
      </c>
      <c r="H185" s="88">
        <v>360</v>
      </c>
      <c r="I185" s="88">
        <v>360</v>
      </c>
      <c r="J185" s="481" t="s">
        <v>428</v>
      </c>
      <c r="K185" s="26" t="s">
        <v>194</v>
      </c>
      <c r="L185" s="26">
        <f t="shared" si="27"/>
        <v>14</v>
      </c>
      <c r="M185" s="97" t="str">
        <f t="shared" si="29"/>
        <v>VEDTATT</v>
      </c>
      <c r="N185" s="97">
        <f t="shared" si="30"/>
        <v>0</v>
      </c>
      <c r="O185" s="97"/>
    </row>
    <row r="186" spans="1:15" s="36" customFormat="1" x14ac:dyDescent="0.25">
      <c r="A186" s="76" t="s">
        <v>192</v>
      </c>
      <c r="B186" s="76" t="str">
        <f t="shared" si="32"/>
        <v>K15</v>
      </c>
      <c r="C186" s="211" t="s">
        <v>201</v>
      </c>
      <c r="D186" s="70" t="s">
        <v>105</v>
      </c>
      <c r="E186" s="69" t="s">
        <v>98</v>
      </c>
      <c r="F186" s="88">
        <v>0</v>
      </c>
      <c r="G186" s="88">
        <v>0</v>
      </c>
      <c r="H186" s="88">
        <v>0</v>
      </c>
      <c r="I186" s="88">
        <v>0</v>
      </c>
      <c r="J186" s="481"/>
      <c r="K186" s="26" t="s">
        <v>194</v>
      </c>
      <c r="L186" s="26">
        <f t="shared" si="27"/>
        <v>15</v>
      </c>
      <c r="M186" s="97"/>
      <c r="N186" s="97"/>
      <c r="O186" s="97"/>
    </row>
    <row r="187" spans="1:15" s="36" customFormat="1" x14ac:dyDescent="0.25">
      <c r="A187" s="76" t="s">
        <v>192</v>
      </c>
      <c r="B187" s="76" t="str">
        <f t="shared" si="32"/>
        <v>K16</v>
      </c>
      <c r="C187" s="211" t="s">
        <v>201</v>
      </c>
      <c r="D187" s="70" t="s">
        <v>429</v>
      </c>
      <c r="E187" s="69" t="s">
        <v>46</v>
      </c>
      <c r="F187" s="88">
        <v>0</v>
      </c>
      <c r="G187" s="88">
        <v>1500</v>
      </c>
      <c r="H187" s="88">
        <v>3000</v>
      </c>
      <c r="I187" s="88">
        <v>3000</v>
      </c>
      <c r="J187" s="481" t="s">
        <v>428</v>
      </c>
      <c r="K187" s="26" t="s">
        <v>194</v>
      </c>
      <c r="L187" s="26">
        <f t="shared" si="27"/>
        <v>16</v>
      </c>
      <c r="M187" s="97"/>
      <c r="N187" s="97"/>
      <c r="O187" s="97"/>
    </row>
    <row r="188" spans="1:15" s="36" customFormat="1" x14ac:dyDescent="0.25">
      <c r="A188" s="76"/>
      <c r="B188" s="76"/>
      <c r="C188" s="80"/>
      <c r="D188" s="70"/>
      <c r="E188" s="69"/>
      <c r="F188" s="68"/>
      <c r="G188" s="68"/>
      <c r="H188" s="68"/>
      <c r="I188" s="68"/>
      <c r="J188" s="207"/>
      <c r="K188" s="26" t="s">
        <v>194</v>
      </c>
      <c r="L188" s="26">
        <f>L186+1</f>
        <v>16</v>
      </c>
      <c r="M188" s="97"/>
      <c r="N188" s="97"/>
      <c r="O188" s="97"/>
    </row>
    <row r="189" spans="1:15" s="36" customFormat="1" x14ac:dyDescent="0.25">
      <c r="A189" s="41"/>
      <c r="B189" s="41" t="s">
        <v>152</v>
      </c>
      <c r="C189" s="3" t="s">
        <v>203</v>
      </c>
      <c r="D189" s="50"/>
      <c r="E189" s="50"/>
      <c r="F189" s="54">
        <f>SUMIF($A:$A,"KuN",F:F)</f>
        <v>935</v>
      </c>
      <c r="G189" s="54">
        <f>SUMIF($A:$A,"KuN",G:G)</f>
        <v>2858</v>
      </c>
      <c r="H189" s="54">
        <f>SUMIF($A:$A,"KuN",H:H)</f>
        <v>4358</v>
      </c>
      <c r="I189" s="54">
        <f>SUMIF($A:$A,"KuN",I:I)</f>
        <v>4358</v>
      </c>
      <c r="J189" s="412"/>
      <c r="K189" s="335"/>
      <c r="L189" s="335"/>
      <c r="M189" s="97"/>
      <c r="N189" s="97"/>
      <c r="O189" s="97"/>
    </row>
    <row r="190" spans="1:15" s="36" customFormat="1" x14ac:dyDescent="0.25">
      <c r="A190" s="45"/>
      <c r="B190" s="45"/>
      <c r="C190" s="9"/>
      <c r="D190" s="47"/>
      <c r="E190" s="47"/>
      <c r="F190" s="55"/>
      <c r="G190" s="55"/>
      <c r="H190" s="55"/>
      <c r="I190" s="55"/>
      <c r="J190" s="412"/>
      <c r="K190" s="26"/>
      <c r="L190" s="26"/>
      <c r="M190" s="97"/>
      <c r="N190" s="97"/>
      <c r="O190" s="97"/>
    </row>
    <row r="191" spans="1:15" s="36" customFormat="1" x14ac:dyDescent="0.25">
      <c r="A191" s="46"/>
      <c r="B191" s="46"/>
      <c r="C191" s="246" t="s">
        <v>204</v>
      </c>
      <c r="D191" s="81"/>
      <c r="E191" s="69"/>
      <c r="F191" s="4">
        <f>F171</f>
        <v>2022</v>
      </c>
      <c r="G191" s="4">
        <f>F191+1</f>
        <v>2023</v>
      </c>
      <c r="H191" s="4">
        <f>G191+1</f>
        <v>2024</v>
      </c>
      <c r="I191" s="4">
        <f>H191+1</f>
        <v>2025</v>
      </c>
      <c r="J191" s="412"/>
      <c r="K191" s="335"/>
      <c r="L191" s="335"/>
      <c r="M191" s="97"/>
      <c r="N191" s="97"/>
      <c r="O191" s="97"/>
    </row>
    <row r="192" spans="1:15" s="36" customFormat="1" x14ac:dyDescent="0.25">
      <c r="A192" s="76"/>
      <c r="B192" s="76"/>
      <c r="C192" s="342"/>
      <c r="D192" s="70"/>
      <c r="E192" s="69"/>
      <c r="F192" s="215"/>
      <c r="G192" s="215"/>
      <c r="H192" s="215"/>
      <c r="I192" s="215"/>
      <c r="J192" s="412"/>
      <c r="K192" s="26"/>
      <c r="L192" s="26"/>
      <c r="M192" s="97"/>
      <c r="N192" s="97"/>
      <c r="O192" s="97"/>
    </row>
    <row r="193" spans="1:15" s="36" customFormat="1" x14ac:dyDescent="0.25">
      <c r="A193" s="76"/>
      <c r="B193" s="76"/>
      <c r="C193" s="341"/>
      <c r="D193" s="286"/>
      <c r="E193" s="287"/>
      <c r="F193" s="343"/>
      <c r="G193" s="343"/>
      <c r="H193" s="343"/>
      <c r="I193" s="343"/>
      <c r="J193" s="412"/>
      <c r="K193" s="26"/>
      <c r="L193" s="26"/>
      <c r="M193" s="97"/>
      <c r="N193" s="97"/>
      <c r="O193" s="97"/>
    </row>
    <row r="194" spans="1:15" s="36" customFormat="1" x14ac:dyDescent="0.25">
      <c r="A194" s="76" t="s">
        <v>206</v>
      </c>
      <c r="B194" s="76" t="str">
        <f t="shared" ref="B194:B252" si="33">IF(L194,K194&amp;L194,"")</f>
        <v/>
      </c>
      <c r="C194" s="341"/>
      <c r="D194" s="286"/>
      <c r="E194" s="287"/>
      <c r="F194" s="343"/>
      <c r="G194" s="343"/>
      <c r="H194" s="343"/>
      <c r="I194" s="343"/>
      <c r="J194" s="412"/>
      <c r="K194" s="26" t="s">
        <v>208</v>
      </c>
      <c r="L194" s="26"/>
      <c r="M194" s="97"/>
      <c r="N194" s="97"/>
      <c r="O194" s="97"/>
    </row>
    <row r="195" spans="1:15" s="36" customFormat="1" x14ac:dyDescent="0.25">
      <c r="A195" s="46"/>
      <c r="B195" s="76" t="str">
        <f t="shared" si="33"/>
        <v/>
      </c>
      <c r="C195" s="206" t="s">
        <v>205</v>
      </c>
      <c r="D195" s="81"/>
      <c r="E195" s="69"/>
      <c r="F195" s="4">
        <f>F191</f>
        <v>2022</v>
      </c>
      <c r="G195" s="4">
        <f>F195+1</f>
        <v>2023</v>
      </c>
      <c r="H195" s="4">
        <f>G195+1</f>
        <v>2024</v>
      </c>
      <c r="I195" s="4">
        <f>H195+1</f>
        <v>2025</v>
      </c>
      <c r="J195" s="412"/>
      <c r="K195" s="335"/>
      <c r="L195" s="335"/>
      <c r="M195" s="97"/>
      <c r="N195" s="97"/>
      <c r="O195" s="97"/>
    </row>
    <row r="196" spans="1:15" s="36" customFormat="1" x14ac:dyDescent="0.25">
      <c r="A196" s="76" t="s">
        <v>206</v>
      </c>
      <c r="B196" s="76" t="str">
        <f t="shared" si="33"/>
        <v>T1</v>
      </c>
      <c r="C196" s="397" t="s">
        <v>207</v>
      </c>
      <c r="D196" s="70" t="s">
        <v>108</v>
      </c>
      <c r="E196" s="403" t="s">
        <v>46</v>
      </c>
      <c r="F196" s="371">
        <v>500</v>
      </c>
      <c r="G196" s="371">
        <v>500</v>
      </c>
      <c r="H196" s="371">
        <v>500</v>
      </c>
      <c r="I196" s="399">
        <v>500</v>
      </c>
      <c r="J196" s="91" t="s">
        <v>143</v>
      </c>
      <c r="K196" s="26" t="s">
        <v>208</v>
      </c>
      <c r="L196" s="26">
        <f>L193+1</f>
        <v>1</v>
      </c>
      <c r="M196" s="97"/>
      <c r="N196" s="97"/>
      <c r="O196" s="97"/>
    </row>
    <row r="197" spans="1:15" s="36" customFormat="1" x14ac:dyDescent="0.25">
      <c r="A197" s="76" t="s">
        <v>206</v>
      </c>
      <c r="B197" s="76" t="str">
        <f t="shared" si="33"/>
        <v>T2</v>
      </c>
      <c r="C197" s="397" t="s">
        <v>209</v>
      </c>
      <c r="D197" s="70" t="s">
        <v>108</v>
      </c>
      <c r="E197" s="229" t="s">
        <v>46</v>
      </c>
      <c r="F197" s="371">
        <v>700</v>
      </c>
      <c r="G197" s="371">
        <v>700</v>
      </c>
      <c r="H197" s="371">
        <v>700</v>
      </c>
      <c r="I197" s="399">
        <v>700</v>
      </c>
      <c r="J197" s="91" t="s">
        <v>210</v>
      </c>
      <c r="K197" s="26" t="s">
        <v>208</v>
      </c>
      <c r="L197" s="26">
        <f t="shared" ref="L197:L200" si="34">L196+1</f>
        <v>2</v>
      </c>
      <c r="M197" s="97"/>
      <c r="N197" s="97"/>
      <c r="O197" s="97"/>
    </row>
    <row r="198" spans="1:15" s="36" customFormat="1" x14ac:dyDescent="0.25">
      <c r="A198" s="76" t="s">
        <v>206</v>
      </c>
      <c r="B198" s="76" t="str">
        <f t="shared" si="33"/>
        <v>T3</v>
      </c>
      <c r="C198" s="420" t="s">
        <v>211</v>
      </c>
      <c r="D198" s="70" t="s">
        <v>108</v>
      </c>
      <c r="E198" s="229" t="s">
        <v>46</v>
      </c>
      <c r="F198" s="399">
        <f>6500-5000</f>
        <v>1500</v>
      </c>
      <c r="G198" s="399">
        <f>8000-5000</f>
        <v>3000</v>
      </c>
      <c r="H198" s="399">
        <f>9000-5000</f>
        <v>4000</v>
      </c>
      <c r="I198" s="399">
        <f>9000-5000</f>
        <v>4000</v>
      </c>
      <c r="J198" s="91" t="s">
        <v>212</v>
      </c>
      <c r="K198" s="26" t="s">
        <v>208</v>
      </c>
      <c r="L198" s="26">
        <f t="shared" si="34"/>
        <v>3</v>
      </c>
      <c r="M198" s="97"/>
      <c r="N198" s="97"/>
      <c r="O198" s="97"/>
    </row>
    <row r="199" spans="1:15" s="36" customFormat="1" x14ac:dyDescent="0.25">
      <c r="A199" s="76" t="s">
        <v>206</v>
      </c>
      <c r="B199" s="76" t="str">
        <f t="shared" si="33"/>
        <v>T4</v>
      </c>
      <c r="C199" s="397" t="s">
        <v>213</v>
      </c>
      <c r="D199" s="70" t="s">
        <v>108</v>
      </c>
      <c r="E199" s="229" t="s">
        <v>46</v>
      </c>
      <c r="F199" s="399">
        <v>250</v>
      </c>
      <c r="G199" s="399">
        <v>300</v>
      </c>
      <c r="H199" s="399">
        <v>350</v>
      </c>
      <c r="I199" s="399">
        <v>400</v>
      </c>
      <c r="J199" s="91" t="s">
        <v>214</v>
      </c>
      <c r="K199" s="26" t="s">
        <v>208</v>
      </c>
      <c r="L199" s="26">
        <f t="shared" si="34"/>
        <v>4</v>
      </c>
      <c r="M199" s="97"/>
      <c r="N199" s="97"/>
      <c r="O199" s="97"/>
    </row>
    <row r="200" spans="1:15" s="36" customFormat="1" x14ac:dyDescent="0.25">
      <c r="A200" s="76" t="s">
        <v>206</v>
      </c>
      <c r="B200" s="76" t="str">
        <f t="shared" si="33"/>
        <v>T5</v>
      </c>
      <c r="C200" s="397" t="s">
        <v>430</v>
      </c>
      <c r="D200" s="70" t="s">
        <v>108</v>
      </c>
      <c r="E200" s="229">
        <v>1</v>
      </c>
      <c r="F200" s="399">
        <v>2500</v>
      </c>
      <c r="G200" s="399">
        <v>2500</v>
      </c>
      <c r="H200" s="399">
        <v>2500</v>
      </c>
      <c r="I200" s="399">
        <v>2500</v>
      </c>
      <c r="J200" s="91"/>
      <c r="K200" s="26" t="s">
        <v>208</v>
      </c>
      <c r="L200" s="26">
        <f t="shared" si="34"/>
        <v>5</v>
      </c>
      <c r="M200" s="97"/>
      <c r="N200" s="97"/>
      <c r="O200" s="97"/>
    </row>
    <row r="201" spans="1:15" s="36" customFormat="1" ht="56.25" x14ac:dyDescent="0.25">
      <c r="A201" s="76" t="s">
        <v>206</v>
      </c>
      <c r="B201" s="76"/>
      <c r="C201" s="397" t="s">
        <v>431</v>
      </c>
      <c r="D201" s="70" t="s">
        <v>108</v>
      </c>
      <c r="E201" s="229" t="s">
        <v>46</v>
      </c>
      <c r="F201" s="399">
        <v>500</v>
      </c>
      <c r="G201" s="399">
        <v>500</v>
      </c>
      <c r="H201" s="399">
        <v>500</v>
      </c>
      <c r="I201" s="399">
        <v>500</v>
      </c>
      <c r="J201" s="437" t="s">
        <v>216</v>
      </c>
      <c r="K201" s="26"/>
      <c r="L201" s="26"/>
      <c r="M201" s="97"/>
      <c r="N201" s="97"/>
      <c r="O201" s="97"/>
    </row>
    <row r="202" spans="1:15" s="36" customFormat="1" x14ac:dyDescent="0.25">
      <c r="A202" s="76"/>
      <c r="B202" s="76" t="str">
        <f t="shared" si="33"/>
        <v/>
      </c>
      <c r="C202" s="210"/>
      <c r="D202" s="70"/>
      <c r="E202" s="69"/>
      <c r="F202" s="215"/>
      <c r="G202" s="215"/>
      <c r="H202" s="215"/>
      <c r="I202" s="215"/>
      <c r="J202" s="91"/>
      <c r="K202" s="26"/>
      <c r="L202" s="26"/>
      <c r="M202" s="97"/>
      <c r="N202" s="97"/>
      <c r="O202" s="97"/>
    </row>
    <row r="203" spans="1:15" s="36" customFormat="1" x14ac:dyDescent="0.25">
      <c r="A203" s="76"/>
      <c r="B203" s="76" t="str">
        <f t="shared" si="33"/>
        <v/>
      </c>
      <c r="C203" s="206" t="s">
        <v>217</v>
      </c>
      <c r="D203" s="70"/>
      <c r="E203" s="69"/>
      <c r="F203" s="4">
        <f>F195</f>
        <v>2022</v>
      </c>
      <c r="G203" s="4">
        <f>F203+1</f>
        <v>2023</v>
      </c>
      <c r="H203" s="4">
        <f>G203+1</f>
        <v>2024</v>
      </c>
      <c r="I203" s="4">
        <f>H203+1</f>
        <v>2025</v>
      </c>
      <c r="J203" s="412"/>
      <c r="K203" s="335"/>
      <c r="L203" s="335"/>
      <c r="M203" s="97"/>
      <c r="N203" s="97"/>
      <c r="O203" s="97"/>
    </row>
    <row r="204" spans="1:15" s="36" customFormat="1" x14ac:dyDescent="0.25">
      <c r="A204" s="76" t="s">
        <v>206</v>
      </c>
      <c r="B204" s="76" t="str">
        <f t="shared" si="33"/>
        <v>T6</v>
      </c>
      <c r="C204" s="342" t="s">
        <v>218</v>
      </c>
      <c r="D204" s="70" t="s">
        <v>105</v>
      </c>
      <c r="E204" s="69" t="s">
        <v>98</v>
      </c>
      <c r="F204" s="215"/>
      <c r="G204" s="215">
        <v>-450</v>
      </c>
      <c r="H204" s="215">
        <v>-450</v>
      </c>
      <c r="I204" s="215">
        <v>-450</v>
      </c>
      <c r="J204" s="412" t="s">
        <v>219</v>
      </c>
      <c r="K204" s="26" t="s">
        <v>208</v>
      </c>
      <c r="L204" s="26">
        <f>L200+1</f>
        <v>6</v>
      </c>
      <c r="M204" s="97" t="str">
        <f>IF(E204="VEDTATT","VEDTATT",0)</f>
        <v>VEDTATT</v>
      </c>
      <c r="N204" s="97">
        <f>IF(E204="MÅ","Nye tiltak",0)</f>
        <v>0</v>
      </c>
      <c r="O204" s="97"/>
    </row>
    <row r="205" spans="1:15" s="36" customFormat="1" x14ac:dyDescent="0.25">
      <c r="A205" s="76"/>
      <c r="B205" s="76" t="str">
        <f t="shared" si="33"/>
        <v/>
      </c>
      <c r="C205" s="342"/>
      <c r="D205" s="70"/>
      <c r="E205" s="69"/>
      <c r="F205" s="215"/>
      <c r="G205" s="215"/>
      <c r="H205" s="215"/>
      <c r="I205" s="215"/>
      <c r="J205" s="412"/>
      <c r="K205" s="26"/>
      <c r="L205" s="26"/>
      <c r="M205" s="97"/>
      <c r="N205" s="97"/>
      <c r="O205" s="97"/>
    </row>
    <row r="206" spans="1:15" s="36" customFormat="1" x14ac:dyDescent="0.25">
      <c r="A206" s="76"/>
      <c r="B206" s="76" t="str">
        <f t="shared" si="33"/>
        <v/>
      </c>
      <c r="C206" s="206" t="s">
        <v>220</v>
      </c>
      <c r="D206" s="70"/>
      <c r="E206" s="69"/>
      <c r="F206" s="4">
        <f>F203</f>
        <v>2022</v>
      </c>
      <c r="G206" s="4">
        <f>F206+1</f>
        <v>2023</v>
      </c>
      <c r="H206" s="4">
        <f>G206+1</f>
        <v>2024</v>
      </c>
      <c r="I206" s="4">
        <f>H206+1</f>
        <v>2025</v>
      </c>
      <c r="J206" s="412"/>
      <c r="K206" s="335"/>
      <c r="L206" s="335"/>
      <c r="M206" s="97"/>
      <c r="N206" s="97"/>
      <c r="O206" s="97"/>
    </row>
    <row r="207" spans="1:15" s="36" customFormat="1" x14ac:dyDescent="0.25">
      <c r="A207" s="43" t="s">
        <v>206</v>
      </c>
      <c r="B207" s="76" t="str">
        <f t="shared" si="33"/>
        <v>T7</v>
      </c>
      <c r="C207" s="210" t="s">
        <v>221</v>
      </c>
      <c r="D207" s="70" t="s">
        <v>105</v>
      </c>
      <c r="E207" s="69" t="s">
        <v>98</v>
      </c>
      <c r="F207" s="215">
        <v>0</v>
      </c>
      <c r="G207" s="215">
        <v>-350</v>
      </c>
      <c r="H207" s="215">
        <v>-350</v>
      </c>
      <c r="I207" s="215">
        <v>-350</v>
      </c>
      <c r="J207" s="412"/>
      <c r="K207" s="26" t="s">
        <v>208</v>
      </c>
      <c r="L207" s="26">
        <f>+L204+1</f>
        <v>7</v>
      </c>
      <c r="M207" s="97" t="str">
        <f t="shared" ref="M207:M237" si="35">IF(E207="VEDTATT","VEDTATT",0)</f>
        <v>VEDTATT</v>
      </c>
      <c r="N207" s="97"/>
      <c r="O207" s="97"/>
    </row>
    <row r="208" spans="1:15" s="36" customFormat="1" x14ac:dyDescent="0.25">
      <c r="A208" s="43" t="s">
        <v>206</v>
      </c>
      <c r="B208" s="76" t="str">
        <f t="shared" si="33"/>
        <v>T8</v>
      </c>
      <c r="C208" s="210" t="s">
        <v>345</v>
      </c>
      <c r="D208" s="70" t="s">
        <v>105</v>
      </c>
      <c r="E208" s="69" t="s">
        <v>98</v>
      </c>
      <c r="F208" s="215">
        <v>0</v>
      </c>
      <c r="G208" s="215">
        <v>2500</v>
      </c>
      <c r="H208" s="215">
        <v>2500</v>
      </c>
      <c r="I208" s="215">
        <v>2500</v>
      </c>
      <c r="J208" s="412"/>
      <c r="K208" s="26" t="s">
        <v>208</v>
      </c>
      <c r="L208" s="26">
        <f>+L207+1</f>
        <v>8</v>
      </c>
      <c r="M208" s="97" t="str">
        <f t="shared" si="35"/>
        <v>VEDTATT</v>
      </c>
      <c r="N208" s="97"/>
      <c r="O208" s="97"/>
    </row>
    <row r="209" spans="1:15" s="36" customFormat="1" x14ac:dyDescent="0.25">
      <c r="A209" s="43" t="s">
        <v>206</v>
      </c>
      <c r="B209" s="76" t="str">
        <f t="shared" si="33"/>
        <v>T9</v>
      </c>
      <c r="C209" s="210" t="s">
        <v>223</v>
      </c>
      <c r="D209" s="70" t="s">
        <v>105</v>
      </c>
      <c r="E209" s="69" t="s">
        <v>98</v>
      </c>
      <c r="F209" s="215">
        <v>0</v>
      </c>
      <c r="G209" s="215">
        <v>-350</v>
      </c>
      <c r="H209" s="215">
        <v>-350</v>
      </c>
      <c r="I209" s="215">
        <v>-350</v>
      </c>
      <c r="J209" s="412"/>
      <c r="K209" s="26" t="s">
        <v>208</v>
      </c>
      <c r="L209" s="26">
        <f t="shared" ref="L209:L216" si="36">+L208+1</f>
        <v>9</v>
      </c>
      <c r="M209" s="97" t="str">
        <f t="shared" si="35"/>
        <v>VEDTATT</v>
      </c>
      <c r="N209" s="97">
        <f t="shared" ref="N209:N237" si="37">IF(E209="MÅ","Nye tiltak",0)</f>
        <v>0</v>
      </c>
      <c r="O209" s="97"/>
    </row>
    <row r="210" spans="1:15" s="36" customFormat="1" x14ac:dyDescent="0.25">
      <c r="A210" s="43" t="s">
        <v>206</v>
      </c>
      <c r="B210" s="76" t="str">
        <f t="shared" si="33"/>
        <v>T10</v>
      </c>
      <c r="C210" s="210" t="s">
        <v>235</v>
      </c>
      <c r="D210" s="70" t="s">
        <v>97</v>
      </c>
      <c r="E210" s="69" t="s">
        <v>98</v>
      </c>
      <c r="F210" s="88">
        <v>2000</v>
      </c>
      <c r="G210" s="88">
        <v>2000</v>
      </c>
      <c r="H210" s="88">
        <v>2000</v>
      </c>
      <c r="I210" s="88">
        <v>2000</v>
      </c>
      <c r="J210" s="408" t="s">
        <v>432</v>
      </c>
      <c r="K210" s="26" t="s">
        <v>208</v>
      </c>
      <c r="L210" s="26">
        <f t="shared" si="36"/>
        <v>10</v>
      </c>
      <c r="M210" s="97" t="str">
        <f t="shared" si="35"/>
        <v>VEDTATT</v>
      </c>
      <c r="N210" s="97">
        <f t="shared" si="37"/>
        <v>0</v>
      </c>
      <c r="O210" s="97"/>
    </row>
    <row r="211" spans="1:15" s="36" customFormat="1" x14ac:dyDescent="0.25">
      <c r="A211" s="43" t="s">
        <v>206</v>
      </c>
      <c r="B211" s="76" t="str">
        <f t="shared" si="33"/>
        <v>T11</v>
      </c>
      <c r="C211" s="406" t="s">
        <v>224</v>
      </c>
      <c r="D211" s="70" t="s">
        <v>108</v>
      </c>
      <c r="E211" s="229" t="s">
        <v>46</v>
      </c>
      <c r="F211" s="400">
        <v>10</v>
      </c>
      <c r="G211" s="400">
        <v>20</v>
      </c>
      <c r="H211" s="400">
        <v>30</v>
      </c>
      <c r="I211" s="400">
        <v>40</v>
      </c>
      <c r="J211" s="207" t="s">
        <v>225</v>
      </c>
      <c r="K211" s="26" t="s">
        <v>208</v>
      </c>
      <c r="L211" s="26">
        <f t="shared" si="36"/>
        <v>11</v>
      </c>
      <c r="M211" s="97">
        <f t="shared" si="35"/>
        <v>0</v>
      </c>
      <c r="N211" s="97" t="str">
        <f t="shared" si="37"/>
        <v>Nye tiltak</v>
      </c>
      <c r="O211" s="97"/>
    </row>
    <row r="212" spans="1:15" s="36" customFormat="1" x14ac:dyDescent="0.25">
      <c r="A212" s="43" t="s">
        <v>206</v>
      </c>
      <c r="B212" s="76" t="str">
        <f t="shared" si="33"/>
        <v>T12</v>
      </c>
      <c r="C212" s="210" t="s">
        <v>433</v>
      </c>
      <c r="D212" s="70" t="s">
        <v>108</v>
      </c>
      <c r="E212" s="229">
        <v>2</v>
      </c>
      <c r="F212" s="400">
        <v>200</v>
      </c>
      <c r="G212" s="400">
        <v>500</v>
      </c>
      <c r="H212" s="400">
        <v>500</v>
      </c>
      <c r="I212" s="400">
        <v>500</v>
      </c>
      <c r="J212" s="207"/>
      <c r="K212" s="26" t="s">
        <v>208</v>
      </c>
      <c r="L212" s="26">
        <f t="shared" si="36"/>
        <v>12</v>
      </c>
      <c r="M212" s="97">
        <f t="shared" si="35"/>
        <v>0</v>
      </c>
      <c r="N212" s="97">
        <f t="shared" si="37"/>
        <v>0</v>
      </c>
      <c r="O212" s="97"/>
    </row>
    <row r="213" spans="1:15" s="36" customFormat="1" x14ac:dyDescent="0.25">
      <c r="A213" s="43" t="s">
        <v>206</v>
      </c>
      <c r="B213" s="76" t="str">
        <f t="shared" si="33"/>
        <v>T13</v>
      </c>
      <c r="C213" s="210" t="s">
        <v>346</v>
      </c>
      <c r="D213" s="70" t="s">
        <v>108</v>
      </c>
      <c r="E213" s="403" t="s">
        <v>46</v>
      </c>
      <c r="F213" s="400">
        <v>1300</v>
      </c>
      <c r="G213" s="400">
        <v>1300</v>
      </c>
      <c r="H213" s="400">
        <v>1300</v>
      </c>
      <c r="I213" s="400">
        <v>1300</v>
      </c>
      <c r="J213" s="91" t="s">
        <v>143</v>
      </c>
      <c r="K213" s="26" t="s">
        <v>208</v>
      </c>
      <c r="L213" s="26">
        <f t="shared" si="36"/>
        <v>13</v>
      </c>
      <c r="M213" s="97">
        <f t="shared" si="35"/>
        <v>0</v>
      </c>
      <c r="N213" s="97" t="str">
        <f t="shared" si="37"/>
        <v>Nye tiltak</v>
      </c>
      <c r="O213" s="97"/>
    </row>
    <row r="214" spans="1:15" s="36" customFormat="1" x14ac:dyDescent="0.25">
      <c r="A214" s="43" t="s">
        <v>206</v>
      </c>
      <c r="B214" s="76" t="str">
        <f t="shared" si="33"/>
        <v>T14</v>
      </c>
      <c r="C214" s="406" t="s">
        <v>227</v>
      </c>
      <c r="D214" s="402" t="s">
        <v>108</v>
      </c>
      <c r="E214" s="403" t="s">
        <v>46</v>
      </c>
      <c r="F214" s="400">
        <v>400</v>
      </c>
      <c r="G214" s="400">
        <v>400</v>
      </c>
      <c r="H214" s="400">
        <v>400</v>
      </c>
      <c r="I214" s="400">
        <v>400</v>
      </c>
      <c r="J214" s="91" t="s">
        <v>143</v>
      </c>
      <c r="K214" s="26" t="s">
        <v>208</v>
      </c>
      <c r="L214" s="26">
        <f t="shared" si="36"/>
        <v>14</v>
      </c>
      <c r="M214" s="97">
        <f t="shared" si="35"/>
        <v>0</v>
      </c>
      <c r="N214" s="97" t="str">
        <f t="shared" si="37"/>
        <v>Nye tiltak</v>
      </c>
      <c r="O214" s="97"/>
    </row>
    <row r="215" spans="1:15" s="36" customFormat="1" x14ac:dyDescent="0.25">
      <c r="A215" s="43" t="s">
        <v>206</v>
      </c>
      <c r="B215" s="76" t="str">
        <f t="shared" si="33"/>
        <v>T15</v>
      </c>
      <c r="C215" s="406" t="s">
        <v>347</v>
      </c>
      <c r="D215" s="70" t="s">
        <v>108</v>
      </c>
      <c r="E215" s="403" t="s">
        <v>46</v>
      </c>
      <c r="F215" s="400">
        <v>585</v>
      </c>
      <c r="G215" s="400">
        <v>585</v>
      </c>
      <c r="H215" s="400">
        <v>585</v>
      </c>
      <c r="I215" s="400">
        <v>585</v>
      </c>
      <c r="J215" s="91" t="s">
        <v>143</v>
      </c>
      <c r="K215" s="26" t="s">
        <v>208</v>
      </c>
      <c r="L215" s="26">
        <f>+L214+1</f>
        <v>15</v>
      </c>
      <c r="M215" s="97">
        <f t="shared" si="35"/>
        <v>0</v>
      </c>
      <c r="N215" s="97" t="str">
        <f t="shared" si="37"/>
        <v>Nye tiltak</v>
      </c>
      <c r="O215" s="97"/>
    </row>
    <row r="216" spans="1:15" s="36" customFormat="1" ht="45" x14ac:dyDescent="0.25">
      <c r="A216" s="43" t="s">
        <v>206</v>
      </c>
      <c r="B216" s="76" t="str">
        <f t="shared" si="33"/>
        <v>T16</v>
      </c>
      <c r="C216" s="476" t="s">
        <v>229</v>
      </c>
      <c r="D216" s="402" t="s">
        <v>108</v>
      </c>
      <c r="E216" s="229" t="s">
        <v>46</v>
      </c>
      <c r="F216" s="477">
        <v>700</v>
      </c>
      <c r="G216" s="477">
        <v>700</v>
      </c>
      <c r="H216" s="477">
        <v>700</v>
      </c>
      <c r="I216" s="477">
        <v>700</v>
      </c>
      <c r="J216" s="411" t="s">
        <v>230</v>
      </c>
      <c r="K216" s="26" t="s">
        <v>208</v>
      </c>
      <c r="L216" s="26">
        <f t="shared" si="36"/>
        <v>16</v>
      </c>
      <c r="M216" s="97">
        <f t="shared" si="35"/>
        <v>0</v>
      </c>
      <c r="N216" s="97" t="str">
        <f t="shared" si="37"/>
        <v>Nye tiltak</v>
      </c>
      <c r="O216" s="97"/>
    </row>
    <row r="217" spans="1:15" s="36" customFormat="1" x14ac:dyDescent="0.25">
      <c r="A217" s="43"/>
      <c r="B217" s="76"/>
      <c r="C217" s="210"/>
      <c r="D217" s="70"/>
      <c r="E217" s="403"/>
      <c r="F217" s="388"/>
      <c r="G217" s="388"/>
      <c r="H217" s="388"/>
      <c r="I217" s="388"/>
      <c r="J217" s="207"/>
      <c r="K217" s="26"/>
      <c r="L217" s="26"/>
      <c r="M217" s="97">
        <f t="shared" si="35"/>
        <v>0</v>
      </c>
      <c r="N217" s="97">
        <f t="shared" si="37"/>
        <v>0</v>
      </c>
      <c r="O217" s="97"/>
    </row>
    <row r="218" spans="1:15" s="36" customFormat="1" x14ac:dyDescent="0.25">
      <c r="A218" s="43"/>
      <c r="B218" s="76" t="str">
        <f t="shared" si="33"/>
        <v/>
      </c>
      <c r="C218" s="206" t="s">
        <v>434</v>
      </c>
      <c r="D218" s="70"/>
      <c r="E218" s="403"/>
      <c r="F218" s="4">
        <f>F206</f>
        <v>2022</v>
      </c>
      <c r="G218" s="4">
        <f>F218+1</f>
        <v>2023</v>
      </c>
      <c r="H218" s="4">
        <f>G218+1</f>
        <v>2024</v>
      </c>
      <c r="I218" s="4">
        <f>H218+1</f>
        <v>2025</v>
      </c>
      <c r="J218" s="412"/>
      <c r="K218" s="335"/>
      <c r="L218" s="335"/>
      <c r="M218" s="97">
        <f t="shared" si="35"/>
        <v>0</v>
      </c>
      <c r="N218" s="97">
        <f t="shared" si="37"/>
        <v>0</v>
      </c>
      <c r="O218" s="97"/>
    </row>
    <row r="219" spans="1:15" s="36" customFormat="1" x14ac:dyDescent="0.2">
      <c r="A219" s="43" t="s">
        <v>206</v>
      </c>
      <c r="B219" s="76" t="str">
        <f>IF(L219,K219&amp;L219,"")</f>
        <v>T17</v>
      </c>
      <c r="C219" s="382"/>
      <c r="D219" s="70"/>
      <c r="E219" s="403"/>
      <c r="F219" s="215"/>
      <c r="G219" s="215"/>
      <c r="H219" s="215"/>
      <c r="I219" s="215"/>
      <c r="J219" s="412"/>
      <c r="K219" s="26" t="s">
        <v>208</v>
      </c>
      <c r="L219" s="26">
        <f>L216+1</f>
        <v>17</v>
      </c>
      <c r="M219" s="97">
        <f t="shared" si="35"/>
        <v>0</v>
      </c>
      <c r="N219" s="97">
        <f t="shared" si="37"/>
        <v>0</v>
      </c>
      <c r="O219" s="97"/>
    </row>
    <row r="220" spans="1:15" s="36" customFormat="1" x14ac:dyDescent="0.2">
      <c r="A220" s="43" t="s">
        <v>206</v>
      </c>
      <c r="B220" s="76" t="str">
        <f t="shared" si="33"/>
        <v>T18</v>
      </c>
      <c r="C220" s="382"/>
      <c r="D220" s="70"/>
      <c r="E220" s="403"/>
      <c r="F220" s="215"/>
      <c r="G220" s="215"/>
      <c r="H220" s="215"/>
      <c r="I220" s="215"/>
      <c r="J220" s="412"/>
      <c r="K220" s="26" t="s">
        <v>208</v>
      </c>
      <c r="L220" s="26">
        <f>L219+1</f>
        <v>18</v>
      </c>
      <c r="M220" s="97">
        <f t="shared" si="35"/>
        <v>0</v>
      </c>
      <c r="N220" s="97">
        <f t="shared" si="37"/>
        <v>0</v>
      </c>
      <c r="O220" s="97"/>
    </row>
    <row r="221" spans="1:15" s="36" customFormat="1" x14ac:dyDescent="0.25">
      <c r="A221" s="43"/>
      <c r="B221" s="76" t="str">
        <f t="shared" si="33"/>
        <v/>
      </c>
      <c r="C221" s="206"/>
      <c r="D221" s="70"/>
      <c r="E221" s="403"/>
      <c r="F221" s="215"/>
      <c r="G221" s="215"/>
      <c r="H221" s="215"/>
      <c r="I221" s="215"/>
      <c r="J221" s="412"/>
      <c r="K221" s="26"/>
      <c r="L221" s="26"/>
      <c r="M221" s="97">
        <f t="shared" si="35"/>
        <v>0</v>
      </c>
      <c r="N221" s="97">
        <f t="shared" si="37"/>
        <v>0</v>
      </c>
      <c r="O221" s="97"/>
    </row>
    <row r="222" spans="1:15" s="36" customFormat="1" x14ac:dyDescent="0.25">
      <c r="A222" s="43"/>
      <c r="B222" s="76" t="str">
        <f t="shared" si="33"/>
        <v/>
      </c>
      <c r="C222" s="206" t="s">
        <v>435</v>
      </c>
      <c r="D222" s="70"/>
      <c r="E222" s="403"/>
      <c r="F222" s="4">
        <f>F218</f>
        <v>2022</v>
      </c>
      <c r="G222" s="4">
        <f>F222+1</f>
        <v>2023</v>
      </c>
      <c r="H222" s="4">
        <f>G222+1</f>
        <v>2024</v>
      </c>
      <c r="I222" s="4">
        <f>H222+1</f>
        <v>2025</v>
      </c>
      <c r="J222" s="412"/>
      <c r="K222" s="335"/>
      <c r="L222" s="335"/>
      <c r="M222" s="97">
        <f t="shared" si="35"/>
        <v>0</v>
      </c>
      <c r="N222" s="97">
        <f t="shared" si="37"/>
        <v>0</v>
      </c>
      <c r="O222" s="97"/>
    </row>
    <row r="223" spans="1:15" s="36" customFormat="1" x14ac:dyDescent="0.2">
      <c r="A223" s="43" t="s">
        <v>206</v>
      </c>
      <c r="B223" s="76" t="str">
        <f t="shared" si="33"/>
        <v>T19</v>
      </c>
      <c r="C223" s="382"/>
      <c r="D223" s="70"/>
      <c r="E223" s="403"/>
      <c r="F223" s="215"/>
      <c r="G223" s="215"/>
      <c r="H223" s="215"/>
      <c r="I223" s="215"/>
      <c r="J223" s="412"/>
      <c r="K223" s="26" t="s">
        <v>208</v>
      </c>
      <c r="L223" s="26">
        <f>L220+1</f>
        <v>19</v>
      </c>
      <c r="M223" s="97">
        <f t="shared" si="35"/>
        <v>0</v>
      </c>
      <c r="N223" s="97">
        <f t="shared" si="37"/>
        <v>0</v>
      </c>
      <c r="O223" s="97"/>
    </row>
    <row r="224" spans="1:15" s="36" customFormat="1" x14ac:dyDescent="0.2">
      <c r="A224" s="43" t="s">
        <v>206</v>
      </c>
      <c r="B224" s="76" t="str">
        <f t="shared" si="33"/>
        <v>T20</v>
      </c>
      <c r="C224" s="382"/>
      <c r="D224" s="70"/>
      <c r="E224" s="403"/>
      <c r="F224" s="215"/>
      <c r="G224" s="215"/>
      <c r="H224" s="215"/>
      <c r="I224" s="215"/>
      <c r="J224" s="412"/>
      <c r="K224" s="26" t="s">
        <v>208</v>
      </c>
      <c r="L224" s="26">
        <f>L223+1</f>
        <v>20</v>
      </c>
      <c r="M224" s="97">
        <f t="shared" si="35"/>
        <v>0</v>
      </c>
      <c r="N224" s="97">
        <f t="shared" si="37"/>
        <v>0</v>
      </c>
      <c r="O224" s="97"/>
    </row>
    <row r="225" spans="1:16" s="36" customFormat="1" x14ac:dyDescent="0.2">
      <c r="A225" s="43"/>
      <c r="B225" s="76" t="str">
        <f t="shared" si="33"/>
        <v/>
      </c>
      <c r="C225" s="382"/>
      <c r="D225" s="70"/>
      <c r="E225" s="403"/>
      <c r="F225" s="215"/>
      <c r="G225" s="215"/>
      <c r="H225" s="215"/>
      <c r="I225" s="215"/>
      <c r="J225" s="412"/>
      <c r="K225" s="26"/>
      <c r="L225" s="26"/>
      <c r="M225" s="97">
        <f t="shared" si="35"/>
        <v>0</v>
      </c>
      <c r="N225" s="97">
        <f t="shared" si="37"/>
        <v>0</v>
      </c>
      <c r="O225" s="97"/>
    </row>
    <row r="226" spans="1:16" s="36" customFormat="1" x14ac:dyDescent="0.25">
      <c r="A226" s="43"/>
      <c r="B226" s="76" t="str">
        <f t="shared" si="33"/>
        <v/>
      </c>
      <c r="C226" s="206" t="s">
        <v>436</v>
      </c>
      <c r="D226" s="70"/>
      <c r="E226" s="403"/>
      <c r="F226" s="4">
        <f>F218</f>
        <v>2022</v>
      </c>
      <c r="G226" s="4">
        <f>F226+1</f>
        <v>2023</v>
      </c>
      <c r="H226" s="4">
        <f>G226+1</f>
        <v>2024</v>
      </c>
      <c r="I226" s="4">
        <f>H226+1</f>
        <v>2025</v>
      </c>
      <c r="J226" s="412"/>
      <c r="K226" s="335"/>
      <c r="L226" s="335"/>
      <c r="M226" s="97">
        <f t="shared" si="35"/>
        <v>0</v>
      </c>
      <c r="N226" s="97">
        <f t="shared" si="37"/>
        <v>0</v>
      </c>
      <c r="O226" s="97"/>
    </row>
    <row r="227" spans="1:16" s="36" customFormat="1" x14ac:dyDescent="0.2">
      <c r="A227" s="43" t="s">
        <v>206</v>
      </c>
      <c r="B227" s="76" t="str">
        <f t="shared" si="33"/>
        <v>T21</v>
      </c>
      <c r="C227" s="382"/>
      <c r="D227" s="70"/>
      <c r="E227" s="403"/>
      <c r="F227" s="68"/>
      <c r="G227" s="68"/>
      <c r="H227" s="68"/>
      <c r="I227" s="215"/>
      <c r="J227" s="412"/>
      <c r="K227" s="26" t="s">
        <v>208</v>
      </c>
      <c r="L227" s="26">
        <f>L224+1</f>
        <v>21</v>
      </c>
      <c r="M227" s="97">
        <f t="shared" si="35"/>
        <v>0</v>
      </c>
      <c r="N227" s="97">
        <f t="shared" si="37"/>
        <v>0</v>
      </c>
      <c r="O227" s="97"/>
    </row>
    <row r="228" spans="1:16" s="36" customFormat="1" x14ac:dyDescent="0.25">
      <c r="A228" s="43" t="s">
        <v>206</v>
      </c>
      <c r="B228" s="76" t="str">
        <f t="shared" si="33"/>
        <v>T22</v>
      </c>
      <c r="C228" s="211"/>
      <c r="D228" s="70"/>
      <c r="E228" s="403"/>
      <c r="F228" s="68"/>
      <c r="G228" s="68"/>
      <c r="H228" s="68"/>
      <c r="I228" s="215"/>
      <c r="J228" s="412"/>
      <c r="K228" s="26" t="s">
        <v>208</v>
      </c>
      <c r="L228" s="26">
        <f>L227+1</f>
        <v>22</v>
      </c>
      <c r="M228" s="97">
        <f t="shared" si="35"/>
        <v>0</v>
      </c>
      <c r="N228" s="97">
        <f t="shared" si="37"/>
        <v>0</v>
      </c>
      <c r="O228" s="97"/>
    </row>
    <row r="229" spans="1:16" s="36" customFormat="1" x14ac:dyDescent="0.25">
      <c r="A229" s="43"/>
      <c r="B229" s="76" t="str">
        <f t="shared" si="33"/>
        <v/>
      </c>
      <c r="C229" s="210"/>
      <c r="D229" s="70"/>
      <c r="E229" s="403"/>
      <c r="F229" s="215"/>
      <c r="G229" s="215"/>
      <c r="H229" s="215"/>
      <c r="I229" s="215"/>
      <c r="J229" s="412"/>
      <c r="K229" s="26"/>
      <c r="L229" s="26"/>
      <c r="M229" s="97">
        <f t="shared" si="35"/>
        <v>0</v>
      </c>
      <c r="N229" s="97">
        <f t="shared" si="37"/>
        <v>0</v>
      </c>
      <c r="O229" s="97"/>
    </row>
    <row r="230" spans="1:16" s="36" customFormat="1" x14ac:dyDescent="0.25">
      <c r="A230" s="43"/>
      <c r="B230" s="76" t="str">
        <f t="shared" si="33"/>
        <v/>
      </c>
      <c r="C230" s="206" t="s">
        <v>437</v>
      </c>
      <c r="D230" s="70"/>
      <c r="E230" s="403"/>
      <c r="F230" s="4">
        <f>F226</f>
        <v>2022</v>
      </c>
      <c r="G230" s="4">
        <f>F230+1</f>
        <v>2023</v>
      </c>
      <c r="H230" s="4">
        <f>G230+1</f>
        <v>2024</v>
      </c>
      <c r="I230" s="4">
        <f>H230+1</f>
        <v>2025</v>
      </c>
      <c r="J230" s="412"/>
      <c r="K230" s="26"/>
      <c r="L230" s="26"/>
      <c r="M230" s="97">
        <f t="shared" si="35"/>
        <v>0</v>
      </c>
      <c r="N230" s="97">
        <f t="shared" si="37"/>
        <v>0</v>
      </c>
      <c r="O230" s="97"/>
    </row>
    <row r="231" spans="1:16" s="36" customFormat="1" x14ac:dyDescent="0.2">
      <c r="A231" s="43" t="s">
        <v>206</v>
      </c>
      <c r="B231" s="76" t="str">
        <f t="shared" si="33"/>
        <v>T23</v>
      </c>
      <c r="C231" s="383"/>
      <c r="D231" s="70"/>
      <c r="E231" s="403"/>
      <c r="F231" s="215"/>
      <c r="G231" s="215"/>
      <c r="H231" s="215"/>
      <c r="I231" s="215"/>
      <c r="J231" s="412"/>
      <c r="K231" s="26" t="s">
        <v>208</v>
      </c>
      <c r="L231" s="26">
        <f>L228+1</f>
        <v>23</v>
      </c>
      <c r="M231" s="97">
        <f t="shared" si="35"/>
        <v>0</v>
      </c>
      <c r="N231" s="97">
        <f t="shared" si="37"/>
        <v>0</v>
      </c>
      <c r="O231" s="97"/>
    </row>
    <row r="232" spans="1:16" s="36" customFormat="1" x14ac:dyDescent="0.2">
      <c r="A232" s="43"/>
      <c r="B232" s="76" t="str">
        <f t="shared" si="33"/>
        <v/>
      </c>
      <c r="C232" s="383"/>
      <c r="D232" s="70"/>
      <c r="E232" s="403"/>
      <c r="F232" s="215"/>
      <c r="G232" s="215"/>
      <c r="H232" s="215"/>
      <c r="I232" s="215"/>
      <c r="J232" s="412"/>
      <c r="K232" s="26"/>
      <c r="L232" s="26"/>
      <c r="M232" s="97">
        <f t="shared" si="35"/>
        <v>0</v>
      </c>
      <c r="N232" s="97">
        <f t="shared" si="37"/>
        <v>0</v>
      </c>
      <c r="O232" s="97"/>
    </row>
    <row r="233" spans="1:16" s="36" customFormat="1" x14ac:dyDescent="0.25">
      <c r="A233" s="43"/>
      <c r="B233" s="76" t="str">
        <f t="shared" si="33"/>
        <v/>
      </c>
      <c r="C233" s="206" t="s">
        <v>236</v>
      </c>
      <c r="D233" s="70"/>
      <c r="E233" s="403"/>
      <c r="F233" s="215"/>
      <c r="G233" s="215"/>
      <c r="H233" s="215"/>
      <c r="I233" s="215"/>
      <c r="J233" s="412"/>
      <c r="K233" s="26"/>
      <c r="L233" s="26"/>
      <c r="M233" s="97">
        <f t="shared" si="35"/>
        <v>0</v>
      </c>
      <c r="N233" s="97">
        <f t="shared" si="37"/>
        <v>0</v>
      </c>
      <c r="O233" s="97"/>
    </row>
    <row r="234" spans="1:16" s="36" customFormat="1" x14ac:dyDescent="0.25">
      <c r="A234" s="43" t="s">
        <v>206</v>
      </c>
      <c r="B234" s="76" t="str">
        <f t="shared" si="33"/>
        <v>T24</v>
      </c>
      <c r="C234" s="82" t="s">
        <v>237</v>
      </c>
      <c r="D234" s="70" t="s">
        <v>108</v>
      </c>
      <c r="E234" s="403" t="s">
        <v>46</v>
      </c>
      <c r="F234" s="215">
        <v>60</v>
      </c>
      <c r="G234" s="215">
        <v>60</v>
      </c>
      <c r="H234" s="215">
        <v>60</v>
      </c>
      <c r="I234" s="215">
        <v>60</v>
      </c>
      <c r="J234" s="91" t="s">
        <v>143</v>
      </c>
      <c r="K234" s="26" t="s">
        <v>208</v>
      </c>
      <c r="L234" s="26">
        <f>L231+1</f>
        <v>24</v>
      </c>
      <c r="M234" s="97">
        <f t="shared" si="35"/>
        <v>0</v>
      </c>
      <c r="N234" s="97" t="str">
        <f t="shared" si="37"/>
        <v>Nye tiltak</v>
      </c>
      <c r="O234" s="97"/>
    </row>
    <row r="235" spans="1:16" s="36" customFormat="1" x14ac:dyDescent="0.25">
      <c r="A235" s="43" t="s">
        <v>206</v>
      </c>
      <c r="B235" s="76" t="str">
        <f t="shared" si="33"/>
        <v>T25</v>
      </c>
      <c r="C235" s="210"/>
      <c r="D235" s="70" t="s">
        <v>108</v>
      </c>
      <c r="E235" s="287"/>
      <c r="F235" s="215"/>
      <c r="G235" s="215"/>
      <c r="H235" s="215"/>
      <c r="I235" s="215"/>
      <c r="J235" s="412"/>
      <c r="K235" s="26" t="s">
        <v>208</v>
      </c>
      <c r="L235" s="26">
        <f>L234+1</f>
        <v>25</v>
      </c>
      <c r="M235" s="97">
        <f t="shared" si="35"/>
        <v>0</v>
      </c>
      <c r="N235" s="97">
        <f t="shared" si="37"/>
        <v>0</v>
      </c>
      <c r="O235" s="97"/>
    </row>
    <row r="236" spans="1:16" s="36" customFormat="1" x14ac:dyDescent="0.25">
      <c r="A236" s="43" t="s">
        <v>206</v>
      </c>
      <c r="B236" s="76" t="str">
        <f t="shared" si="33"/>
        <v>T26</v>
      </c>
      <c r="C236" s="210"/>
      <c r="D236" s="70" t="s">
        <v>108</v>
      </c>
      <c r="E236" s="287"/>
      <c r="F236" s="215"/>
      <c r="G236" s="215"/>
      <c r="H236" s="215"/>
      <c r="I236" s="215"/>
      <c r="J236" s="412"/>
      <c r="K236" s="26" t="s">
        <v>208</v>
      </c>
      <c r="L236" s="26">
        <f>L235+1</f>
        <v>26</v>
      </c>
      <c r="M236" s="97">
        <f t="shared" si="35"/>
        <v>0</v>
      </c>
      <c r="N236" s="97">
        <f t="shared" si="37"/>
        <v>0</v>
      </c>
      <c r="O236" s="97"/>
    </row>
    <row r="237" spans="1:16" s="36" customFormat="1" x14ac:dyDescent="0.25">
      <c r="A237" s="43"/>
      <c r="B237" s="76" t="str">
        <f t="shared" si="33"/>
        <v/>
      </c>
      <c r="C237" s="210"/>
      <c r="D237" s="70"/>
      <c r="E237" s="287"/>
      <c r="F237" s="215"/>
      <c r="G237" s="215"/>
      <c r="H237" s="215"/>
      <c r="I237" s="215"/>
      <c r="J237" s="412"/>
      <c r="K237" s="26"/>
      <c r="L237" s="26"/>
      <c r="M237" s="97">
        <f t="shared" si="35"/>
        <v>0</v>
      </c>
      <c r="N237" s="97">
        <f t="shared" si="37"/>
        <v>0</v>
      </c>
      <c r="O237" s="97"/>
    </row>
    <row r="238" spans="1:16" s="36" customFormat="1" x14ac:dyDescent="0.25">
      <c r="A238" s="43"/>
      <c r="B238" s="76" t="str">
        <f t="shared" si="33"/>
        <v/>
      </c>
      <c r="C238" s="206" t="s">
        <v>438</v>
      </c>
      <c r="D238" s="70"/>
      <c r="E238" s="69"/>
      <c r="F238" s="4">
        <f>F226</f>
        <v>2022</v>
      </c>
      <c r="G238" s="4">
        <f>F238+1</f>
        <v>2023</v>
      </c>
      <c r="H238" s="4">
        <f>G238+1</f>
        <v>2024</v>
      </c>
      <c r="I238" s="4">
        <f>H238+1</f>
        <v>2025</v>
      </c>
      <c r="J238" s="412"/>
      <c r="K238" s="335"/>
      <c r="L238" s="335"/>
      <c r="M238" s="97"/>
      <c r="N238" s="97"/>
      <c r="O238" s="97"/>
    </row>
    <row r="239" spans="1:16" s="289" customFormat="1" x14ac:dyDescent="0.25">
      <c r="A239" s="336" t="s">
        <v>206</v>
      </c>
      <c r="B239" s="76" t="str">
        <f t="shared" si="33"/>
        <v>T27</v>
      </c>
      <c r="C239" s="211" t="s">
        <v>439</v>
      </c>
      <c r="D239" s="70" t="s">
        <v>105</v>
      </c>
      <c r="E239" s="69" t="s">
        <v>98</v>
      </c>
      <c r="F239" s="215">
        <v>0</v>
      </c>
      <c r="G239" s="215">
        <v>0</v>
      </c>
      <c r="H239" s="215">
        <v>0</v>
      </c>
      <c r="I239" s="215">
        <v>0</v>
      </c>
      <c r="J239" s="413"/>
      <c r="K239" s="291" t="s">
        <v>208</v>
      </c>
      <c r="L239" s="291">
        <f>L236+1</f>
        <v>27</v>
      </c>
      <c r="M239" s="97" t="str">
        <f>IF(E239="VEDTATT","VEDTATT",0)</f>
        <v>VEDTATT</v>
      </c>
      <c r="N239" s="97">
        <f>IF(E239="MÅ","Nye tiltak",0)</f>
        <v>0</v>
      </c>
      <c r="O239" s="97"/>
      <c r="P239" s="291"/>
    </row>
    <row r="240" spans="1:16" s="289" customFormat="1" x14ac:dyDescent="0.25">
      <c r="A240" s="336" t="s">
        <v>206</v>
      </c>
      <c r="B240" s="76" t="str">
        <f t="shared" si="33"/>
        <v>T28</v>
      </c>
      <c r="C240" s="211" t="s">
        <v>440</v>
      </c>
      <c r="D240" s="70" t="s">
        <v>105</v>
      </c>
      <c r="E240" s="69" t="s">
        <v>98</v>
      </c>
      <c r="F240" s="215">
        <v>0</v>
      </c>
      <c r="G240" s="215">
        <v>0</v>
      </c>
      <c r="H240" s="215">
        <v>0</v>
      </c>
      <c r="I240" s="215">
        <v>0</v>
      </c>
      <c r="J240" s="413"/>
      <c r="K240" s="291" t="s">
        <v>208</v>
      </c>
      <c r="L240" s="291">
        <f>+L239+1</f>
        <v>28</v>
      </c>
      <c r="M240" s="97" t="str">
        <f>IF(E240="VEDTATT","VEDTATT",0)</f>
        <v>VEDTATT</v>
      </c>
      <c r="N240" s="97">
        <f>IF(E240="MÅ","Nye tiltak",0)</f>
        <v>0</v>
      </c>
      <c r="O240" s="97"/>
      <c r="P240" s="291"/>
    </row>
    <row r="241" spans="1:16" s="289" customFormat="1" x14ac:dyDescent="0.25">
      <c r="A241" s="336" t="s">
        <v>206</v>
      </c>
      <c r="B241" s="76" t="str">
        <f t="shared" si="33"/>
        <v>T29</v>
      </c>
      <c r="C241" s="211" t="s">
        <v>441</v>
      </c>
      <c r="D241" s="70" t="s">
        <v>105</v>
      </c>
      <c r="E241" s="69" t="s">
        <v>98</v>
      </c>
      <c r="F241" s="215">
        <v>0</v>
      </c>
      <c r="G241" s="215">
        <v>0</v>
      </c>
      <c r="H241" s="215">
        <v>0</v>
      </c>
      <c r="I241" s="215">
        <v>0</v>
      </c>
      <c r="J241" s="413"/>
      <c r="K241" s="291" t="s">
        <v>208</v>
      </c>
      <c r="L241" s="291">
        <f>+L240+1</f>
        <v>29</v>
      </c>
      <c r="M241" s="97" t="str">
        <f>IF(E241="VEDTATT","VEDTATT",0)</f>
        <v>VEDTATT</v>
      </c>
      <c r="N241" s="97">
        <f>IF(E241="MÅ","Nye tiltak",0)</f>
        <v>0</v>
      </c>
      <c r="O241" s="97"/>
      <c r="P241" s="291"/>
    </row>
    <row r="242" spans="1:16" s="289" customFormat="1" x14ac:dyDescent="0.25">
      <c r="A242" s="336"/>
      <c r="B242" s="76"/>
      <c r="C242" s="211"/>
      <c r="D242" s="70"/>
      <c r="E242" s="287"/>
      <c r="F242" s="68"/>
      <c r="G242" s="68"/>
      <c r="H242" s="68"/>
      <c r="I242" s="68"/>
      <c r="J242" s="413"/>
      <c r="K242" s="291"/>
      <c r="L242" s="291"/>
      <c r="M242" s="97"/>
      <c r="N242" s="97"/>
      <c r="O242" s="97"/>
      <c r="P242" s="291"/>
    </row>
    <row r="243" spans="1:16" s="289" customFormat="1" x14ac:dyDescent="0.25">
      <c r="A243" s="336"/>
      <c r="B243" s="76"/>
      <c r="C243" s="211"/>
      <c r="D243" s="70"/>
      <c r="E243" s="287"/>
      <c r="F243" s="68"/>
      <c r="G243" s="68"/>
      <c r="H243" s="68"/>
      <c r="I243" s="68"/>
      <c r="J243" s="413"/>
      <c r="K243" s="291"/>
      <c r="L243" s="291"/>
      <c r="M243" s="97"/>
      <c r="N243" s="97"/>
      <c r="O243" s="97"/>
      <c r="P243" s="291"/>
    </row>
    <row r="244" spans="1:16" s="289" customFormat="1" x14ac:dyDescent="0.25">
      <c r="A244" s="336"/>
      <c r="B244" s="76"/>
      <c r="C244" s="211"/>
      <c r="D244" s="70"/>
      <c r="E244" s="69"/>
      <c r="F244" s="215"/>
      <c r="G244" s="215"/>
      <c r="H244" s="215"/>
      <c r="I244" s="215"/>
      <c r="J244" s="413"/>
      <c r="K244" s="291"/>
      <c r="L244" s="291"/>
      <c r="M244" s="97"/>
      <c r="N244" s="97"/>
      <c r="O244" s="97"/>
      <c r="P244" s="291"/>
    </row>
    <row r="245" spans="1:16" s="289" customFormat="1" x14ac:dyDescent="0.25">
      <c r="A245" s="336" t="s">
        <v>206</v>
      </c>
      <c r="B245" s="76" t="str">
        <f t="shared" si="33"/>
        <v/>
      </c>
      <c r="C245" s="211" t="s">
        <v>442</v>
      </c>
      <c r="D245" s="70" t="s">
        <v>105</v>
      </c>
      <c r="E245" s="69" t="s">
        <v>98</v>
      </c>
      <c r="F245" s="215">
        <v>0</v>
      </c>
      <c r="G245" s="215">
        <v>0</v>
      </c>
      <c r="H245" s="215">
        <v>0</v>
      </c>
      <c r="I245" s="215">
        <v>0</v>
      </c>
      <c r="J245" s="413"/>
      <c r="K245" s="291" t="s">
        <v>208</v>
      </c>
      <c r="L245" s="291"/>
      <c r="M245" s="97" t="str">
        <f>IF(E245="VEDTATT","VEDTATT",0)</f>
        <v>VEDTATT</v>
      </c>
      <c r="N245" s="97">
        <f>IF(E245="MÅ","Nye tiltak",0)</f>
        <v>0</v>
      </c>
      <c r="O245" s="97"/>
      <c r="P245" s="291"/>
    </row>
    <row r="246" spans="1:16" s="289" customFormat="1" x14ac:dyDescent="0.25">
      <c r="A246" s="336" t="s">
        <v>206</v>
      </c>
      <c r="B246" s="76" t="str">
        <f t="shared" si="33"/>
        <v/>
      </c>
      <c r="C246" s="211" t="s">
        <v>443</v>
      </c>
      <c r="D246" s="70" t="s">
        <v>105</v>
      </c>
      <c r="E246" s="69" t="s">
        <v>98</v>
      </c>
      <c r="F246" s="215">
        <v>0</v>
      </c>
      <c r="G246" s="215">
        <v>0</v>
      </c>
      <c r="H246" s="215">
        <v>0</v>
      </c>
      <c r="I246" s="215">
        <v>0</v>
      </c>
      <c r="J246" s="413"/>
      <c r="K246" s="291" t="s">
        <v>208</v>
      </c>
      <c r="L246" s="291"/>
      <c r="M246" s="97" t="str">
        <f>IF(E246="VEDTATT","VEDTATT",0)</f>
        <v>VEDTATT</v>
      </c>
      <c r="N246" s="97">
        <f>IF(E246="MÅ","Nye tiltak",0)</f>
        <v>0</v>
      </c>
      <c r="O246" s="97"/>
      <c r="P246" s="291"/>
    </row>
    <row r="247" spans="1:16" s="291" customFormat="1" x14ac:dyDescent="0.25">
      <c r="A247" s="336" t="s">
        <v>206</v>
      </c>
      <c r="B247" s="76" t="str">
        <f t="shared" si="33"/>
        <v/>
      </c>
      <c r="C247" s="211" t="s">
        <v>437</v>
      </c>
      <c r="D247" s="70" t="s">
        <v>105</v>
      </c>
      <c r="E247" s="69" t="s">
        <v>98</v>
      </c>
      <c r="F247" s="215">
        <v>0</v>
      </c>
      <c r="G247" s="215">
        <v>0</v>
      </c>
      <c r="H247" s="215">
        <v>0</v>
      </c>
      <c r="I247" s="215">
        <v>0</v>
      </c>
      <c r="J247" s="407"/>
      <c r="K247" s="291" t="s">
        <v>208</v>
      </c>
      <c r="M247" s="97" t="str">
        <f>IF(E247="VEDTATT","VEDTATT",0)</f>
        <v>VEDTATT</v>
      </c>
      <c r="N247" s="97">
        <f>IF(E247="MÅ","Nye tiltak",0)</f>
        <v>0</v>
      </c>
      <c r="O247" s="97"/>
    </row>
    <row r="248" spans="1:16" s="291" customFormat="1" x14ac:dyDescent="0.25">
      <c r="A248" s="336"/>
      <c r="B248" s="76" t="str">
        <f t="shared" si="33"/>
        <v/>
      </c>
      <c r="C248" s="206" t="s">
        <v>444</v>
      </c>
      <c r="D248" s="70"/>
      <c r="E248" s="69"/>
      <c r="F248" s="215">
        <v>0</v>
      </c>
      <c r="G248" s="215">
        <v>0</v>
      </c>
      <c r="H248" s="215">
        <v>0</v>
      </c>
      <c r="I248" s="215">
        <v>0</v>
      </c>
      <c r="J248" s="407"/>
      <c r="K248" s="291" t="s">
        <v>208</v>
      </c>
      <c r="M248" s="97">
        <f>IF(E248="VEDTATT","VEDTATT",0)</f>
        <v>0</v>
      </c>
      <c r="N248" s="97">
        <f>IF(E248="MÅ","Nye tiltak",0)</f>
        <v>0</v>
      </c>
      <c r="O248" s="97"/>
    </row>
    <row r="249" spans="1:16" s="291" customFormat="1" x14ac:dyDescent="0.25">
      <c r="A249" s="336"/>
      <c r="B249" s="76"/>
      <c r="C249" s="82"/>
      <c r="D249" s="70"/>
      <c r="E249" s="287"/>
      <c r="F249" s="215"/>
      <c r="G249" s="215"/>
      <c r="H249" s="215"/>
      <c r="I249" s="215"/>
      <c r="J249" s="407"/>
      <c r="M249" s="97"/>
      <c r="N249" s="97"/>
      <c r="O249" s="97"/>
    </row>
    <row r="250" spans="1:16" s="291" customFormat="1" x14ac:dyDescent="0.25">
      <c r="A250" s="336"/>
      <c r="B250" s="76"/>
      <c r="C250" s="342"/>
      <c r="D250" s="70"/>
      <c r="E250" s="287"/>
      <c r="F250" s="215"/>
      <c r="G250" s="215"/>
      <c r="H250" s="215"/>
      <c r="I250" s="215"/>
      <c r="J250" s="407"/>
      <c r="M250" s="97"/>
      <c r="N250" s="97"/>
      <c r="O250" s="97"/>
    </row>
    <row r="251" spans="1:16" s="291" customFormat="1" x14ac:dyDescent="0.25">
      <c r="A251" s="336"/>
      <c r="B251" s="76"/>
      <c r="C251" s="289"/>
      <c r="D251" s="70"/>
      <c r="E251" s="287"/>
      <c r="F251" s="215"/>
      <c r="G251" s="215"/>
      <c r="H251" s="215"/>
      <c r="I251" s="215"/>
      <c r="J251" s="407"/>
      <c r="M251" s="97"/>
      <c r="N251" s="97"/>
      <c r="O251" s="97"/>
    </row>
    <row r="252" spans="1:16" s="291" customFormat="1" x14ac:dyDescent="0.25">
      <c r="A252" s="336"/>
      <c r="B252" s="76" t="str">
        <f t="shared" si="33"/>
        <v/>
      </c>
      <c r="C252" s="206" t="s">
        <v>236</v>
      </c>
      <c r="D252" s="70"/>
      <c r="E252" s="287"/>
      <c r="F252" s="215"/>
      <c r="G252" s="215"/>
      <c r="H252" s="215"/>
      <c r="I252" s="215"/>
      <c r="J252" s="407"/>
      <c r="K252" s="291" t="s">
        <v>208</v>
      </c>
      <c r="M252" s="97"/>
      <c r="N252" s="97"/>
      <c r="O252" s="97"/>
    </row>
    <row r="253" spans="1:16" s="291" customFormat="1" x14ac:dyDescent="0.25">
      <c r="A253" s="336"/>
      <c r="B253" s="76"/>
      <c r="C253" s="82"/>
      <c r="D253" s="70"/>
      <c r="E253" s="287"/>
      <c r="F253" s="215"/>
      <c r="G253" s="215"/>
      <c r="H253" s="215"/>
      <c r="I253" s="215"/>
      <c r="J253" s="407"/>
      <c r="M253" s="97"/>
      <c r="N253" s="97"/>
      <c r="O253" s="97"/>
    </row>
    <row r="254" spans="1:16" s="291" customFormat="1" x14ac:dyDescent="0.25">
      <c r="A254" s="336"/>
      <c r="B254" s="76"/>
      <c r="C254" s="210"/>
      <c r="D254" s="70"/>
      <c r="E254" s="287"/>
      <c r="F254" s="215"/>
      <c r="G254" s="215"/>
      <c r="H254" s="215"/>
      <c r="I254" s="215"/>
      <c r="J254" s="407"/>
      <c r="M254" s="97"/>
      <c r="N254" s="97"/>
      <c r="O254" s="97"/>
    </row>
    <row r="255" spans="1:16" x14ac:dyDescent="0.25">
      <c r="A255" s="336"/>
      <c r="B255" s="76"/>
      <c r="C255" s="289"/>
      <c r="D255" s="70"/>
      <c r="E255" s="287"/>
      <c r="F255" s="215"/>
      <c r="G255" s="215"/>
      <c r="H255" s="215"/>
      <c r="I255" s="215"/>
      <c r="J255" s="92"/>
      <c r="K255" s="291"/>
      <c r="L255" s="291"/>
      <c r="M255" s="97"/>
      <c r="N255" s="97"/>
      <c r="O255" s="97"/>
      <c r="P255" s="36"/>
    </row>
    <row r="256" spans="1:16" s="36" customFormat="1" x14ac:dyDescent="0.25">
      <c r="A256" s="41"/>
      <c r="B256" s="41" t="s">
        <v>152</v>
      </c>
      <c r="C256" s="3" t="s">
        <v>238</v>
      </c>
      <c r="D256" s="50"/>
      <c r="E256" s="50"/>
      <c r="F256" s="54">
        <f>SUMIF($A:$A,"byte",F:F)</f>
        <v>11205</v>
      </c>
      <c r="G256" s="54">
        <f>SUMIF($A:$A,"byte",G:G)</f>
        <v>14415</v>
      </c>
      <c r="H256" s="54">
        <f>SUMIF($A:$A,"byte",H:H)</f>
        <v>15475</v>
      </c>
      <c r="I256" s="54">
        <f>SUMIF($A:$A,"byte",I:I)</f>
        <v>15535</v>
      </c>
      <c r="J256" s="412"/>
      <c r="K256" s="335"/>
      <c r="L256" s="335"/>
      <c r="M256" s="97"/>
      <c r="N256" s="97"/>
      <c r="O256" s="97"/>
    </row>
    <row r="257" spans="1:16" s="36" customFormat="1" x14ac:dyDescent="0.25">
      <c r="A257"/>
      <c r="B257"/>
      <c r="C257"/>
      <c r="D257"/>
      <c r="E257"/>
      <c r="F257"/>
      <c r="G257"/>
      <c r="H257"/>
      <c r="I257"/>
      <c r="J257" s="412"/>
      <c r="K257" s="26"/>
      <c r="L257" s="26"/>
      <c r="M257" s="97"/>
      <c r="N257" s="97"/>
      <c r="O257" s="97"/>
      <c r="P257" s="26"/>
    </row>
    <row r="258" spans="1:16" s="36" customFormat="1" x14ac:dyDescent="0.25">
      <c r="A258" s="76"/>
      <c r="B258" s="76"/>
      <c r="C258" s="206" t="s">
        <v>12</v>
      </c>
      <c r="D258" s="70"/>
      <c r="E258" s="69"/>
      <c r="F258" s="4">
        <f>F238</f>
        <v>2022</v>
      </c>
      <c r="G258" s="4">
        <f>F258+1</f>
        <v>2023</v>
      </c>
      <c r="H258" s="4">
        <f>G258+1</f>
        <v>2024</v>
      </c>
      <c r="I258" s="4">
        <f>H258+1</f>
        <v>2025</v>
      </c>
      <c r="J258" s="412"/>
      <c r="K258" s="335"/>
      <c r="L258" s="335"/>
      <c r="M258" s="97"/>
      <c r="N258" s="97"/>
      <c r="O258" s="97"/>
      <c r="P258" s="26"/>
    </row>
    <row r="259" spans="1:16" s="36" customFormat="1" x14ac:dyDescent="0.25">
      <c r="A259" s="76" t="s">
        <v>6</v>
      </c>
      <c r="B259" s="76" t="str">
        <f t="shared" ref="B259:B273" si="38">IF(L259,K259&amp;L259,"")</f>
        <v>O1</v>
      </c>
      <c r="C259" s="82" t="s">
        <v>239</v>
      </c>
      <c r="D259" s="70" t="s">
        <v>105</v>
      </c>
      <c r="E259" s="69" t="s">
        <v>98</v>
      </c>
      <c r="F259" s="68">
        <v>0</v>
      </c>
      <c r="G259" s="68">
        <v>-800</v>
      </c>
      <c r="H259" s="68">
        <v>-800</v>
      </c>
      <c r="I259" s="68">
        <v>-800</v>
      </c>
      <c r="J259" s="412"/>
      <c r="K259" s="26" t="s">
        <v>240</v>
      </c>
      <c r="L259" s="26">
        <v>1</v>
      </c>
      <c r="M259" s="97" t="str">
        <f>IF(E259="VEDTATT","VEDTATT",0)</f>
        <v>VEDTATT</v>
      </c>
      <c r="N259" s="97">
        <f>IF(E259="MÅ","Nye tiltak",0)</f>
        <v>0</v>
      </c>
      <c r="O259" s="97"/>
    </row>
    <row r="260" spans="1:16" s="36" customFormat="1" x14ac:dyDescent="0.25">
      <c r="A260" s="76" t="s">
        <v>6</v>
      </c>
      <c r="B260" s="76" t="str">
        <f t="shared" si="38"/>
        <v>O2</v>
      </c>
      <c r="C260" s="82" t="s">
        <v>445</v>
      </c>
      <c r="D260" s="70" t="s">
        <v>108</v>
      </c>
      <c r="E260" s="229">
        <v>1</v>
      </c>
      <c r="F260" s="285">
        <v>750</v>
      </c>
      <c r="G260" s="285">
        <v>750</v>
      </c>
      <c r="H260" s="285">
        <v>750</v>
      </c>
      <c r="I260" s="285">
        <v>750</v>
      </c>
      <c r="J260" s="412" t="s">
        <v>446</v>
      </c>
      <c r="K260" s="26" t="s">
        <v>240</v>
      </c>
      <c r="L260" s="26">
        <f t="shared" ref="L260:L266" si="39">L259+1</f>
        <v>2</v>
      </c>
      <c r="M260" s="97">
        <f>IF(E260="VEDTATT","VEDTATT",0)</f>
        <v>0</v>
      </c>
      <c r="N260" s="97">
        <f>IF(E260="MÅ","Nye tiltak",0)</f>
        <v>0</v>
      </c>
      <c r="O260" s="97"/>
      <c r="P260" s="26"/>
    </row>
    <row r="261" spans="1:16" s="36" customFormat="1" x14ac:dyDescent="0.25">
      <c r="A261" s="76" t="s">
        <v>6</v>
      </c>
      <c r="B261" s="76" t="str">
        <f t="shared" si="38"/>
        <v>O3</v>
      </c>
      <c r="C261" s="82" t="s">
        <v>447</v>
      </c>
      <c r="D261" s="70" t="s">
        <v>108</v>
      </c>
      <c r="E261" s="229">
        <v>3</v>
      </c>
      <c r="F261" s="285">
        <v>650</v>
      </c>
      <c r="G261" s="285">
        <v>650</v>
      </c>
      <c r="H261" s="285">
        <v>650</v>
      </c>
      <c r="I261" s="285">
        <v>650</v>
      </c>
      <c r="J261" s="412" t="s">
        <v>446</v>
      </c>
      <c r="K261" s="26" t="s">
        <v>240</v>
      </c>
      <c r="L261" s="26">
        <f t="shared" si="39"/>
        <v>3</v>
      </c>
      <c r="M261" s="97">
        <f>IF(E261="VEDTATT","VEDTATT",0)</f>
        <v>0</v>
      </c>
      <c r="N261" s="97">
        <f>IF(E261="MÅ","Nye tiltak",0)</f>
        <v>0</v>
      </c>
      <c r="O261" s="97"/>
      <c r="P261" s="26"/>
    </row>
    <row r="262" spans="1:16" s="36" customFormat="1" ht="24.6" customHeight="1" x14ac:dyDescent="0.25">
      <c r="A262" s="76" t="s">
        <v>6</v>
      </c>
      <c r="B262" s="76" t="str">
        <f>IF(L262,K262&amp;L262,"")</f>
        <v>O4</v>
      </c>
      <c r="C262" s="82" t="s">
        <v>354</v>
      </c>
      <c r="D262" s="70" t="s">
        <v>108</v>
      </c>
      <c r="E262" s="229" t="s">
        <v>46</v>
      </c>
      <c r="F262" s="285"/>
      <c r="G262" s="285">
        <v>5000</v>
      </c>
      <c r="H262" s="285">
        <v>10000</v>
      </c>
      <c r="I262" s="285">
        <v>15000</v>
      </c>
      <c r="J262" s="414" t="s">
        <v>448</v>
      </c>
      <c r="K262" s="26" t="s">
        <v>240</v>
      </c>
      <c r="L262" s="26">
        <f t="shared" si="39"/>
        <v>4</v>
      </c>
      <c r="M262" s="97"/>
      <c r="N262" s="97"/>
      <c r="O262" s="97"/>
      <c r="P262" s="26"/>
    </row>
    <row r="263" spans="1:16" s="36" customFormat="1" x14ac:dyDescent="0.25">
      <c r="A263" s="76" t="s">
        <v>6</v>
      </c>
      <c r="B263" s="76" t="str">
        <f>IF(L263,K263&amp;L263,"")</f>
        <v>O5</v>
      </c>
      <c r="C263" s="82" t="s">
        <v>243</v>
      </c>
      <c r="D263" s="70" t="s">
        <v>108</v>
      </c>
      <c r="E263" s="59" t="s">
        <v>46</v>
      </c>
      <c r="F263" s="285">
        <v>220</v>
      </c>
      <c r="G263" s="285">
        <v>220</v>
      </c>
      <c r="H263" s="285">
        <v>220</v>
      </c>
      <c r="I263" s="285">
        <v>220</v>
      </c>
      <c r="J263" s="412"/>
      <c r="K263" s="26" t="s">
        <v>240</v>
      </c>
      <c r="L263" s="26">
        <f t="shared" si="39"/>
        <v>5</v>
      </c>
      <c r="M263" s="97"/>
      <c r="N263" s="97"/>
      <c r="O263" s="97"/>
      <c r="P263" s="26"/>
    </row>
    <row r="264" spans="1:16" s="36" customFormat="1" x14ac:dyDescent="0.25">
      <c r="A264" s="76" t="s">
        <v>6</v>
      </c>
      <c r="B264" s="76" t="str">
        <f>IF(L264,K264&amp;L264,"")</f>
        <v>O6</v>
      </c>
      <c r="C264" s="82" t="s">
        <v>449</v>
      </c>
      <c r="D264" s="70" t="s">
        <v>108</v>
      </c>
      <c r="E264" s="229" t="s">
        <v>342</v>
      </c>
      <c r="F264" s="285">
        <v>750</v>
      </c>
      <c r="G264" s="285">
        <v>750</v>
      </c>
      <c r="H264" s="285">
        <v>750</v>
      </c>
      <c r="I264" s="285">
        <v>750</v>
      </c>
      <c r="J264" s="412"/>
      <c r="K264" s="26" t="s">
        <v>240</v>
      </c>
      <c r="L264" s="26">
        <f t="shared" si="39"/>
        <v>6</v>
      </c>
      <c r="M264" s="97"/>
      <c r="N264" s="97"/>
      <c r="O264" s="97"/>
      <c r="P264" s="26"/>
    </row>
    <row r="265" spans="1:16" s="36" customFormat="1" x14ac:dyDescent="0.25">
      <c r="A265" s="76" t="s">
        <v>6</v>
      </c>
      <c r="B265" s="76" t="str">
        <f t="shared" si="38"/>
        <v>O7</v>
      </c>
      <c r="C265" s="82" t="s">
        <v>450</v>
      </c>
      <c r="D265" s="70" t="s">
        <v>108</v>
      </c>
      <c r="E265" s="229">
        <v>2</v>
      </c>
      <c r="F265" s="285">
        <v>750</v>
      </c>
      <c r="G265" s="285">
        <v>750</v>
      </c>
      <c r="H265" s="285">
        <v>750</v>
      </c>
      <c r="I265" s="285">
        <v>750</v>
      </c>
      <c r="J265" s="412" t="s">
        <v>451</v>
      </c>
      <c r="K265" s="26" t="s">
        <v>240</v>
      </c>
      <c r="L265" s="26">
        <f t="shared" si="39"/>
        <v>7</v>
      </c>
      <c r="M265" s="97"/>
      <c r="N265" s="97"/>
      <c r="O265" s="97"/>
      <c r="P265" s="26"/>
    </row>
    <row r="266" spans="1:16" s="36" customFormat="1" x14ac:dyDescent="0.25">
      <c r="A266" s="76" t="s">
        <v>6</v>
      </c>
      <c r="B266" s="76" t="str">
        <f t="shared" si="38"/>
        <v>O8</v>
      </c>
      <c r="C266" s="82" t="s">
        <v>355</v>
      </c>
      <c r="D266" s="70" t="s">
        <v>108</v>
      </c>
      <c r="E266" s="229" t="s">
        <v>46</v>
      </c>
      <c r="F266" s="285">
        <v>12600</v>
      </c>
      <c r="G266" s="285">
        <v>14300</v>
      </c>
      <c r="H266" s="285">
        <v>7900</v>
      </c>
      <c r="I266" s="285">
        <v>7900</v>
      </c>
      <c r="J266" s="412"/>
      <c r="K266" s="36" t="s">
        <v>240</v>
      </c>
      <c r="L266" s="36">
        <f t="shared" si="39"/>
        <v>8</v>
      </c>
      <c r="M266" s="390"/>
      <c r="N266" s="390"/>
      <c r="O266" s="390"/>
    </row>
    <row r="267" spans="1:16" s="36" customFormat="1" x14ac:dyDescent="0.25">
      <c r="A267" s="76" t="s">
        <v>6</v>
      </c>
      <c r="B267" s="76" t="str">
        <f t="shared" si="38"/>
        <v>O9</v>
      </c>
      <c r="C267" s="82" t="s">
        <v>452</v>
      </c>
      <c r="D267" s="70" t="s">
        <v>108</v>
      </c>
      <c r="E267" s="229" t="s">
        <v>46</v>
      </c>
      <c r="F267" s="67">
        <v>250</v>
      </c>
      <c r="G267" s="67">
        <v>250</v>
      </c>
      <c r="H267" s="67">
        <v>250</v>
      </c>
      <c r="I267" s="67">
        <v>250</v>
      </c>
      <c r="J267" s="412"/>
      <c r="K267" s="36" t="s">
        <v>240</v>
      </c>
      <c r="L267" s="36">
        <f t="shared" ref="L267:L274" si="40">L266+1</f>
        <v>9</v>
      </c>
      <c r="M267" s="97"/>
      <c r="N267" s="97"/>
      <c r="O267" s="97"/>
      <c r="P267" s="26"/>
    </row>
    <row r="268" spans="1:16" s="36" customFormat="1" x14ac:dyDescent="0.25">
      <c r="A268" s="76" t="s">
        <v>6</v>
      </c>
      <c r="B268" s="76" t="str">
        <f>IF(L268,K268&amp;L268,"")</f>
        <v>O10</v>
      </c>
      <c r="C268" s="82" t="s">
        <v>453</v>
      </c>
      <c r="D268" s="70" t="s">
        <v>108</v>
      </c>
      <c r="E268" s="229" t="s">
        <v>46</v>
      </c>
      <c r="F268" s="67">
        <v>-250</v>
      </c>
      <c r="G268" s="67"/>
      <c r="H268" s="67"/>
      <c r="I268" s="67"/>
      <c r="J268" s="412"/>
      <c r="K268" s="36" t="s">
        <v>240</v>
      </c>
      <c r="L268" s="36">
        <f t="shared" si="40"/>
        <v>10</v>
      </c>
      <c r="M268" s="97"/>
      <c r="N268" s="97"/>
      <c r="O268" s="97"/>
      <c r="P268" s="26"/>
    </row>
    <row r="269" spans="1:16" s="36" customFormat="1" x14ac:dyDescent="0.25">
      <c r="A269" s="76" t="s">
        <v>6</v>
      </c>
      <c r="B269" s="76" t="str">
        <f t="shared" si="38"/>
        <v>O11</v>
      </c>
      <c r="C269" s="82" t="s">
        <v>454</v>
      </c>
      <c r="D269" s="70" t="s">
        <v>108</v>
      </c>
      <c r="E269" s="229" t="s">
        <v>46</v>
      </c>
      <c r="F269" s="67">
        <v>200</v>
      </c>
      <c r="G269" s="67">
        <v>200</v>
      </c>
      <c r="H269" s="67">
        <v>200</v>
      </c>
      <c r="I269" s="67">
        <v>200</v>
      </c>
      <c r="J269" s="412"/>
      <c r="K269" s="36" t="s">
        <v>240</v>
      </c>
      <c r="L269" s="36">
        <f t="shared" si="40"/>
        <v>11</v>
      </c>
      <c r="M269" s="97"/>
      <c r="N269" s="97"/>
      <c r="O269" s="97"/>
      <c r="P269" s="26"/>
    </row>
    <row r="270" spans="1:16" s="36" customFormat="1" x14ac:dyDescent="0.25">
      <c r="A270" s="76" t="s">
        <v>6</v>
      </c>
      <c r="B270" s="76" t="str">
        <f t="shared" si="38"/>
        <v>O12</v>
      </c>
      <c r="C270" s="82" t="s">
        <v>455</v>
      </c>
      <c r="D270" s="70" t="s">
        <v>108</v>
      </c>
      <c r="E270" s="229" t="s">
        <v>46</v>
      </c>
      <c r="F270" s="67">
        <v>-200</v>
      </c>
      <c r="G270" s="67"/>
      <c r="H270" s="67"/>
      <c r="I270" s="67"/>
      <c r="J270" s="412"/>
      <c r="K270" s="36" t="s">
        <v>240</v>
      </c>
      <c r="L270" s="36">
        <f t="shared" si="40"/>
        <v>12</v>
      </c>
      <c r="M270" s="97"/>
      <c r="N270" s="97"/>
      <c r="O270" s="97"/>
      <c r="P270" s="26"/>
    </row>
    <row r="271" spans="1:16" s="36" customFormat="1" x14ac:dyDescent="0.25">
      <c r="A271" s="76" t="s">
        <v>6</v>
      </c>
      <c r="B271" s="76" t="str">
        <f t="shared" si="38"/>
        <v>O13</v>
      </c>
      <c r="C271" s="82" t="s">
        <v>456</v>
      </c>
      <c r="D271" s="70" t="s">
        <v>108</v>
      </c>
      <c r="E271" s="229" t="s">
        <v>342</v>
      </c>
      <c r="F271" s="285">
        <v>80</v>
      </c>
      <c r="G271" s="285">
        <v>80</v>
      </c>
      <c r="H271" s="285">
        <v>80</v>
      </c>
      <c r="I271" s="285">
        <v>80</v>
      </c>
      <c r="J271" s="412"/>
      <c r="K271" s="36" t="s">
        <v>240</v>
      </c>
      <c r="L271" s="36">
        <f t="shared" si="40"/>
        <v>13</v>
      </c>
      <c r="M271" s="97"/>
      <c r="N271" s="97"/>
      <c r="O271" s="97"/>
      <c r="P271" s="26"/>
    </row>
    <row r="272" spans="1:16" s="36" customFormat="1" x14ac:dyDescent="0.25">
      <c r="A272" s="76" t="s">
        <v>6</v>
      </c>
      <c r="B272" s="76" t="str">
        <f t="shared" si="38"/>
        <v>O14</v>
      </c>
      <c r="C272" s="82"/>
      <c r="D272" s="70"/>
      <c r="E272" s="82"/>
      <c r="F272" s="68"/>
      <c r="G272" s="68"/>
      <c r="H272" s="68"/>
      <c r="I272" s="68"/>
      <c r="J272" s="412"/>
      <c r="K272" s="36" t="s">
        <v>240</v>
      </c>
      <c r="L272" s="36">
        <f t="shared" si="40"/>
        <v>14</v>
      </c>
      <c r="M272" s="97"/>
      <c r="N272" s="97"/>
      <c r="O272" s="97"/>
      <c r="P272" s="26"/>
    </row>
    <row r="273" spans="1:16" s="36" customFormat="1" x14ac:dyDescent="0.25">
      <c r="A273" s="76" t="s">
        <v>6</v>
      </c>
      <c r="B273" s="76" t="str">
        <f t="shared" si="38"/>
        <v>O15</v>
      </c>
      <c r="C273" s="82"/>
      <c r="D273" s="70"/>
      <c r="E273" s="82"/>
      <c r="F273" s="68"/>
      <c r="G273" s="68"/>
      <c r="H273" s="68"/>
      <c r="I273" s="68"/>
      <c r="J273" s="412"/>
      <c r="K273" s="36" t="s">
        <v>240</v>
      </c>
      <c r="L273" s="36">
        <f t="shared" si="40"/>
        <v>15</v>
      </c>
      <c r="M273" s="97"/>
      <c r="N273" s="97"/>
      <c r="O273" s="97"/>
      <c r="P273" s="26"/>
    </row>
    <row r="274" spans="1:16" s="36" customFormat="1" x14ac:dyDescent="0.25">
      <c r="A274" s="45"/>
      <c r="B274" s="45"/>
      <c r="C274" s="243"/>
      <c r="D274" s="212"/>
      <c r="E274" s="109"/>
      <c r="F274" s="68"/>
      <c r="G274" s="68"/>
      <c r="H274" s="68"/>
      <c r="I274" s="68"/>
      <c r="J274" s="412"/>
      <c r="K274" s="36" t="s">
        <v>240</v>
      </c>
      <c r="L274" s="36">
        <f t="shared" si="40"/>
        <v>16</v>
      </c>
      <c r="M274" s="97"/>
      <c r="N274" s="97"/>
      <c r="O274" s="97"/>
      <c r="P274" s="26"/>
    </row>
    <row r="275" spans="1:16" s="36" customFormat="1" x14ac:dyDescent="0.25">
      <c r="A275" s="41"/>
      <c r="B275" s="41" t="s">
        <v>152</v>
      </c>
      <c r="C275" s="3" t="s">
        <v>246</v>
      </c>
      <c r="D275" s="50"/>
      <c r="E275" s="50"/>
      <c r="F275" s="54">
        <f>SUMIF($A:$A,"ORG",F:F)</f>
        <v>15800</v>
      </c>
      <c r="G275" s="54">
        <f>SUMIF($A:$A,"ORG",G:G)</f>
        <v>22150</v>
      </c>
      <c r="H275" s="54">
        <f>SUMIF($A:$A,"ORG",H:H)</f>
        <v>20750</v>
      </c>
      <c r="I275" s="54">
        <f>SUMIF($A:$A,"ORG",I:I)</f>
        <v>25750</v>
      </c>
      <c r="J275" s="412"/>
      <c r="K275" s="335"/>
      <c r="L275" s="335"/>
      <c r="M275" s="97"/>
      <c r="N275" s="97"/>
      <c r="O275" s="97"/>
      <c r="P275" s="26"/>
    </row>
    <row r="276" spans="1:16" s="36" customFormat="1" x14ac:dyDescent="0.25">
      <c r="A276" s="45"/>
      <c r="B276" s="45"/>
      <c r="C276" s="9"/>
      <c r="D276" s="47"/>
      <c r="E276" s="47"/>
      <c r="F276" s="55"/>
      <c r="G276" s="55"/>
      <c r="H276" s="55"/>
      <c r="I276" s="55"/>
      <c r="J276" s="412"/>
      <c r="K276" s="26"/>
      <c r="L276" s="26"/>
      <c r="M276" s="97"/>
      <c r="N276" s="97"/>
      <c r="O276" s="97"/>
      <c r="P276" s="26"/>
    </row>
    <row r="277" spans="1:16" s="36" customFormat="1" x14ac:dyDescent="0.25">
      <c r="A277" s="46"/>
      <c r="B277" s="46"/>
      <c r="C277" s="11" t="s">
        <v>13</v>
      </c>
      <c r="D277" s="48"/>
      <c r="E277" s="59"/>
      <c r="F277" s="4">
        <f>F258</f>
        <v>2022</v>
      </c>
      <c r="G277" s="4">
        <f>F277+1</f>
        <v>2023</v>
      </c>
      <c r="H277" s="4">
        <f>G277+1</f>
        <v>2024</v>
      </c>
      <c r="I277" s="4">
        <f>H277+1</f>
        <v>2025</v>
      </c>
      <c r="J277" s="412"/>
      <c r="K277" s="335"/>
      <c r="L277" s="335"/>
      <c r="M277" s="97"/>
      <c r="N277" s="97"/>
      <c r="O277" s="97"/>
      <c r="P277" s="26"/>
    </row>
    <row r="278" spans="1:16" s="36" customFormat="1" x14ac:dyDescent="0.25">
      <c r="A278" s="43" t="s">
        <v>7</v>
      </c>
      <c r="B278" s="43" t="str">
        <f t="shared" ref="B278:B280" si="41">IF(L278,K278&amp;L278,"")</f>
        <v>Ø1</v>
      </c>
      <c r="C278" s="344" t="s">
        <v>247</v>
      </c>
      <c r="D278" s="70" t="s">
        <v>105</v>
      </c>
      <c r="E278" s="69" t="s">
        <v>98</v>
      </c>
      <c r="F278" s="68">
        <v>0</v>
      </c>
      <c r="G278" s="68">
        <v>-1300</v>
      </c>
      <c r="H278" s="68">
        <v>-1300</v>
      </c>
      <c r="I278" s="68">
        <v>-1300</v>
      </c>
      <c r="J278" s="414"/>
      <c r="K278" s="26" t="s">
        <v>248</v>
      </c>
      <c r="L278" s="26">
        <v>1</v>
      </c>
      <c r="M278" s="97" t="str">
        <f>IF(E278="VEDTATT","VEDTATT",0)</f>
        <v>VEDTATT</v>
      </c>
      <c r="N278" s="97">
        <f>IF(E278="MÅ","Nye tiltak",0)</f>
        <v>0</v>
      </c>
      <c r="O278" s="97"/>
      <c r="P278" s="26"/>
    </row>
    <row r="279" spans="1:16" s="36" customFormat="1" x14ac:dyDescent="0.25">
      <c r="A279" s="43" t="s">
        <v>7</v>
      </c>
      <c r="B279" s="43" t="str">
        <f t="shared" si="41"/>
        <v>Ø2</v>
      </c>
      <c r="C279" s="345" t="s">
        <v>249</v>
      </c>
      <c r="D279" s="70" t="s">
        <v>105</v>
      </c>
      <c r="E279" s="69" t="s">
        <v>98</v>
      </c>
      <c r="F279" s="68">
        <v>0</v>
      </c>
      <c r="G279" s="68">
        <v>1300</v>
      </c>
      <c r="H279" s="68">
        <v>1300</v>
      </c>
      <c r="I279" s="68">
        <v>1300</v>
      </c>
      <c r="J279" s="414"/>
      <c r="K279" s="26" t="s">
        <v>248</v>
      </c>
      <c r="L279" s="26">
        <f>L278+1</f>
        <v>2</v>
      </c>
      <c r="M279" s="97" t="str">
        <f>IF(E279="VEDTATT","VEDTATT",0)</f>
        <v>VEDTATT</v>
      </c>
      <c r="N279" s="97">
        <f>IF(E279="MÅ","Nye tiltak",0)</f>
        <v>0</v>
      </c>
      <c r="O279" s="97"/>
      <c r="P279" s="26"/>
    </row>
    <row r="280" spans="1:16" s="36" customFormat="1" x14ac:dyDescent="0.25">
      <c r="A280" s="43" t="s">
        <v>7</v>
      </c>
      <c r="B280" s="43" t="str">
        <f t="shared" si="41"/>
        <v>Ø3</v>
      </c>
      <c r="C280" s="345" t="s">
        <v>247</v>
      </c>
      <c r="D280" s="70" t="s">
        <v>108</v>
      </c>
      <c r="E280" s="229">
        <v>1</v>
      </c>
      <c r="F280" s="68">
        <v>0</v>
      </c>
      <c r="G280" s="68">
        <v>1300</v>
      </c>
      <c r="H280" s="68">
        <v>1300</v>
      </c>
      <c r="I280" s="68">
        <v>1300</v>
      </c>
      <c r="J280" s="414"/>
      <c r="K280" s="26" t="s">
        <v>248</v>
      </c>
      <c r="L280" s="26">
        <f t="shared" ref="L280:L284" si="42">L279+1</f>
        <v>3</v>
      </c>
      <c r="M280" s="97"/>
      <c r="N280" s="97"/>
      <c r="O280" s="97"/>
      <c r="P280" s="26"/>
    </row>
    <row r="281" spans="1:16" s="36" customFormat="1" x14ac:dyDescent="0.25">
      <c r="A281" s="43" t="s">
        <v>7</v>
      </c>
      <c r="B281" s="43" t="str">
        <f>IF(L281,K281&amp;L281,"")</f>
        <v>Ø4</v>
      </c>
      <c r="C281" s="345" t="s">
        <v>457</v>
      </c>
      <c r="D281" s="70" t="s">
        <v>108</v>
      </c>
      <c r="E281" s="229">
        <v>2</v>
      </c>
      <c r="F281" s="68">
        <v>785</v>
      </c>
      <c r="G281" s="68">
        <v>785</v>
      </c>
      <c r="H281" s="68">
        <v>785</v>
      </c>
      <c r="I281" s="68">
        <v>785</v>
      </c>
      <c r="J281" s="414"/>
      <c r="K281" s="26" t="s">
        <v>248</v>
      </c>
      <c r="L281" s="26">
        <f t="shared" si="42"/>
        <v>4</v>
      </c>
      <c r="M281" s="97"/>
      <c r="N281" s="97"/>
      <c r="O281" s="97"/>
      <c r="P281" s="26"/>
    </row>
    <row r="282" spans="1:16" s="36" customFormat="1" x14ac:dyDescent="0.25">
      <c r="A282" s="43" t="s">
        <v>7</v>
      </c>
      <c r="B282" s="43" t="str">
        <f>IF(L282,K282&amp;L282,"")</f>
        <v>Ø5</v>
      </c>
      <c r="C282" s="344" t="s">
        <v>458</v>
      </c>
      <c r="D282" s="70" t="s">
        <v>108</v>
      </c>
      <c r="E282" s="229">
        <v>3</v>
      </c>
      <c r="F282" s="68">
        <v>120</v>
      </c>
      <c r="G282" s="68">
        <v>120</v>
      </c>
      <c r="H282" s="68">
        <v>120</v>
      </c>
      <c r="I282" s="68">
        <v>120</v>
      </c>
      <c r="J282" s="414"/>
      <c r="K282" s="26" t="s">
        <v>248</v>
      </c>
      <c r="L282" s="26">
        <f t="shared" si="42"/>
        <v>5</v>
      </c>
      <c r="M282" s="97">
        <f>IF(E282="VEDTATT","VEDTATT",0)</f>
        <v>0</v>
      </c>
      <c r="N282" s="97">
        <f>IF(E282="MÅ","Nye tiltak",0)</f>
        <v>0</v>
      </c>
      <c r="O282" s="97"/>
      <c r="P282" s="26"/>
    </row>
    <row r="283" spans="1:16" s="36" customFormat="1" x14ac:dyDescent="0.25">
      <c r="A283" s="43" t="s">
        <v>7</v>
      </c>
      <c r="B283" s="43" t="str">
        <f>IF(L283,K283&amp;L283,"")</f>
        <v>Ø6</v>
      </c>
      <c r="C283" s="344" t="s">
        <v>459</v>
      </c>
      <c r="D283" s="77" t="s">
        <v>108</v>
      </c>
      <c r="E283" s="69" t="s">
        <v>46</v>
      </c>
      <c r="F283" s="189">
        <v>550</v>
      </c>
      <c r="G283" s="189">
        <v>550</v>
      </c>
      <c r="H283" s="189">
        <v>550</v>
      </c>
      <c r="I283" s="189">
        <v>550</v>
      </c>
      <c r="J283" s="92" t="s">
        <v>251</v>
      </c>
      <c r="K283" s="26" t="s">
        <v>248</v>
      </c>
      <c r="L283" s="26">
        <f t="shared" si="42"/>
        <v>6</v>
      </c>
      <c r="M283" s="97">
        <f>IF(E283="VEDTATT","VEDTATT",0)</f>
        <v>0</v>
      </c>
      <c r="N283" s="97" t="str">
        <f>IF(E283="MÅ","Nye tiltak",0)</f>
        <v>Nye tiltak</v>
      </c>
      <c r="O283" s="97"/>
      <c r="P283" s="26"/>
    </row>
    <row r="284" spans="1:16" s="36" customFormat="1" x14ac:dyDescent="0.25">
      <c r="A284" s="43" t="s">
        <v>7</v>
      </c>
      <c r="B284" s="43" t="str">
        <f>IF(L284,K284&amp;L284,"")</f>
        <v>Ø7</v>
      </c>
      <c r="C284" s="344" t="s">
        <v>460</v>
      </c>
      <c r="D284" s="70" t="s">
        <v>108</v>
      </c>
      <c r="E284" s="69" t="s">
        <v>46</v>
      </c>
      <c r="F284" s="68">
        <v>-600</v>
      </c>
      <c r="G284" s="68">
        <v>-600</v>
      </c>
      <c r="H284" s="68">
        <v>-600</v>
      </c>
      <c r="I284" s="68">
        <v>-600</v>
      </c>
      <c r="J284" s="92" t="s">
        <v>253</v>
      </c>
      <c r="K284" s="26" t="s">
        <v>248</v>
      </c>
      <c r="L284" s="26">
        <f t="shared" si="42"/>
        <v>7</v>
      </c>
      <c r="M284" s="97">
        <f>IF(E284="VEDTATT","VEDTATT",0)</f>
        <v>0</v>
      </c>
      <c r="N284" s="97" t="str">
        <f>IF(E284="MÅ","Nye tiltak",0)</f>
        <v>Nye tiltak</v>
      </c>
      <c r="O284" s="97"/>
      <c r="P284" s="26"/>
    </row>
    <row r="285" spans="1:16" s="36" customFormat="1" x14ac:dyDescent="0.25">
      <c r="A285" s="41"/>
      <c r="B285" s="41" t="s">
        <v>152</v>
      </c>
      <c r="C285" s="3" t="s">
        <v>254</v>
      </c>
      <c r="D285" s="50"/>
      <c r="E285" s="50"/>
      <c r="F285" s="54">
        <f>SUMIF($A:$A,"ØK",F:F)</f>
        <v>855</v>
      </c>
      <c r="G285" s="54">
        <f>SUMIF($A:$A,"ØK",G:G)</f>
        <v>2155</v>
      </c>
      <c r="H285" s="54">
        <f>SUMIF($A:$A,"ØK",H:H)</f>
        <v>2155</v>
      </c>
      <c r="I285" s="54">
        <f>SUMIF($A:$A,"ØK",I:I)</f>
        <v>2155</v>
      </c>
      <c r="J285" s="412"/>
      <c r="K285" s="335"/>
      <c r="L285" s="335"/>
      <c r="M285" s="97"/>
      <c r="N285" s="97"/>
      <c r="O285" s="97"/>
      <c r="P285" s="26"/>
    </row>
    <row r="286" spans="1:16" s="36" customFormat="1" x14ac:dyDescent="0.25">
      <c r="A286" s="45"/>
      <c r="B286" s="45"/>
      <c r="C286" s="9"/>
      <c r="D286" s="47"/>
      <c r="E286" s="47"/>
      <c r="F286" s="55"/>
      <c r="G286" s="55"/>
      <c r="H286" s="55"/>
      <c r="I286" s="55"/>
      <c r="J286" s="412"/>
      <c r="K286" s="26"/>
      <c r="L286" s="26"/>
      <c r="M286" s="97"/>
      <c r="N286" s="97"/>
      <c r="O286" s="97"/>
      <c r="P286" s="26"/>
    </row>
    <row r="287" spans="1:16" s="36" customFormat="1" x14ac:dyDescent="0.25">
      <c r="A287" s="46"/>
      <c r="B287" s="46"/>
      <c r="C287" s="11" t="s">
        <v>255</v>
      </c>
      <c r="D287" s="48"/>
      <c r="E287" s="59"/>
      <c r="F287" s="56"/>
      <c r="G287" s="56"/>
      <c r="H287" s="56"/>
      <c r="I287" s="56"/>
      <c r="J287" s="412"/>
      <c r="M287" s="97"/>
      <c r="N287" s="97"/>
      <c r="O287" s="97"/>
      <c r="P287" s="26"/>
    </row>
    <row r="288" spans="1:16" s="36" customFormat="1" x14ac:dyDescent="0.25">
      <c r="A288" s="247"/>
      <c r="B288" s="247"/>
      <c r="C288" s="80" t="s">
        <v>256</v>
      </c>
      <c r="D288" s="81"/>
      <c r="E288" s="69"/>
      <c r="F288" s="4">
        <f>F277</f>
        <v>2022</v>
      </c>
      <c r="G288" s="4">
        <f>F288+1</f>
        <v>2023</v>
      </c>
      <c r="H288" s="4">
        <f>G288+1</f>
        <v>2024</v>
      </c>
      <c r="I288" s="4">
        <f>H288+1</f>
        <v>2025</v>
      </c>
      <c r="J288" s="412"/>
      <c r="K288" s="335"/>
      <c r="L288" s="335"/>
      <c r="M288" s="97"/>
      <c r="N288" s="97"/>
      <c r="O288" s="97"/>
      <c r="P288" s="26"/>
    </row>
    <row r="289" spans="1:16" s="36" customFormat="1" x14ac:dyDescent="0.25">
      <c r="A289" s="70" t="s">
        <v>8</v>
      </c>
      <c r="B289" s="76" t="str">
        <f t="shared" ref="B289:B337" si="43">IF(L289,K289&amp;L289,"")</f>
        <v>F1</v>
      </c>
      <c r="C289" s="384"/>
      <c r="D289" s="77" t="s">
        <v>108</v>
      </c>
      <c r="E289" s="287"/>
      <c r="F289" s="189"/>
      <c r="G289" s="189"/>
      <c r="H289" s="189"/>
      <c r="I289" s="189"/>
      <c r="J289" s="414"/>
      <c r="K289" s="26" t="s">
        <v>257</v>
      </c>
      <c r="L289" s="26">
        <v>1</v>
      </c>
      <c r="M289" s="97">
        <f>IF(E289="VEDTATT","VEDTATT",0)</f>
        <v>0</v>
      </c>
      <c r="N289" s="97">
        <f>IF(E289="MÅ","Nye tiltak",0)</f>
        <v>0</v>
      </c>
      <c r="O289" s="97"/>
      <c r="P289" s="26"/>
    </row>
    <row r="290" spans="1:16" s="36" customFormat="1" x14ac:dyDescent="0.25">
      <c r="A290" s="70" t="s">
        <v>8</v>
      </c>
      <c r="B290" s="76" t="str">
        <f t="shared" si="43"/>
        <v>F2</v>
      </c>
      <c r="C290" s="243"/>
      <c r="D290" s="77"/>
      <c r="E290" s="69"/>
      <c r="F290" s="189"/>
      <c r="G290" s="189"/>
      <c r="H290" s="189"/>
      <c r="I290" s="189"/>
      <c r="J290" s="414"/>
      <c r="K290" s="26" t="s">
        <v>257</v>
      </c>
      <c r="L290" s="26">
        <f>L289+1</f>
        <v>2</v>
      </c>
      <c r="M290" s="97">
        <f>IF(E290="VEDTATT","VEDTATT",0)</f>
        <v>0</v>
      </c>
      <c r="N290" s="97">
        <f>IF(E290="MÅ","Nye tiltak",0)</f>
        <v>0</v>
      </c>
      <c r="O290" s="97"/>
      <c r="P290" s="26"/>
    </row>
    <row r="291" spans="1:16" s="36" customFormat="1" x14ac:dyDescent="0.25">
      <c r="A291" s="70"/>
      <c r="B291" s="76" t="str">
        <f t="shared" si="43"/>
        <v/>
      </c>
      <c r="C291" s="80" t="s">
        <v>258</v>
      </c>
      <c r="D291" s="81"/>
      <c r="E291" s="69"/>
      <c r="F291" s="4">
        <f>F288</f>
        <v>2022</v>
      </c>
      <c r="G291" s="4">
        <f>F291+1</f>
        <v>2023</v>
      </c>
      <c r="H291" s="4">
        <f>G291+1</f>
        <v>2024</v>
      </c>
      <c r="I291" s="4">
        <f>H291+1</f>
        <v>2025</v>
      </c>
      <c r="J291" s="412"/>
      <c r="K291" s="335"/>
      <c r="L291" s="335"/>
      <c r="M291" s="97"/>
      <c r="N291" s="97"/>
      <c r="O291" s="97"/>
      <c r="P291" s="26"/>
    </row>
    <row r="292" spans="1:16" s="36" customFormat="1" ht="25.5" x14ac:dyDescent="0.25">
      <c r="A292" s="70" t="s">
        <v>8</v>
      </c>
      <c r="B292" s="76" t="str">
        <f t="shared" si="43"/>
        <v>F3</v>
      </c>
      <c r="C292" s="82" t="s">
        <v>358</v>
      </c>
      <c r="D292" s="70" t="s">
        <v>105</v>
      </c>
      <c r="E292" s="69" t="s">
        <v>98</v>
      </c>
      <c r="F292" s="253">
        <v>-35</v>
      </c>
      <c r="G292" s="253">
        <v>-65</v>
      </c>
      <c r="H292" s="253">
        <v>-65</v>
      </c>
      <c r="I292" s="253">
        <v>-65</v>
      </c>
      <c r="J292" s="414" t="s">
        <v>260</v>
      </c>
      <c r="K292" s="26" t="s">
        <v>257</v>
      </c>
      <c r="L292" s="26">
        <f>L290+1</f>
        <v>3</v>
      </c>
      <c r="M292" s="97" t="str">
        <f t="shared" ref="M292:M311" si="44">IF(E292="VEDTATT","VEDTATT",0)</f>
        <v>VEDTATT</v>
      </c>
      <c r="N292" s="97">
        <f t="shared" ref="N292:N311" si="45">IF(E292="MÅ","Nye tiltak",0)</f>
        <v>0</v>
      </c>
      <c r="O292" s="97"/>
      <c r="P292" s="26"/>
    </row>
    <row r="293" spans="1:16" s="36" customFormat="1" ht="25.5" x14ac:dyDescent="0.25">
      <c r="A293" s="70" t="s">
        <v>8</v>
      </c>
      <c r="B293" s="76" t="str">
        <f>IF(L293,K293&amp;L293,"")</f>
        <v>F4</v>
      </c>
      <c r="C293" s="82" t="s">
        <v>358</v>
      </c>
      <c r="D293" s="70" t="s">
        <v>105</v>
      </c>
      <c r="E293" s="69" t="s">
        <v>98</v>
      </c>
      <c r="F293" s="253">
        <v>-1000</v>
      </c>
      <c r="G293" s="253">
        <v>-1000</v>
      </c>
      <c r="H293" s="253">
        <v>-1000</v>
      </c>
      <c r="I293" s="253">
        <v>-1000</v>
      </c>
      <c r="J293" s="414" t="s">
        <v>262</v>
      </c>
      <c r="K293" s="26" t="s">
        <v>257</v>
      </c>
      <c r="L293" s="26">
        <f t="shared" ref="L293:L315" si="46">L292+1</f>
        <v>4</v>
      </c>
      <c r="M293" s="97" t="str">
        <f t="shared" si="44"/>
        <v>VEDTATT</v>
      </c>
      <c r="N293" s="97">
        <f t="shared" si="45"/>
        <v>0</v>
      </c>
      <c r="O293" s="97"/>
      <c r="P293" s="26"/>
    </row>
    <row r="294" spans="1:16" s="36" customFormat="1" x14ac:dyDescent="0.25">
      <c r="A294" s="70" t="s">
        <v>8</v>
      </c>
      <c r="B294" s="76" t="str">
        <f t="shared" si="43"/>
        <v>F5</v>
      </c>
      <c r="C294" s="391" t="s">
        <v>359</v>
      </c>
      <c r="D294" s="70" t="s">
        <v>105</v>
      </c>
      <c r="E294" s="69" t="s">
        <v>98</v>
      </c>
      <c r="F294" s="189">
        <v>-1000</v>
      </c>
      <c r="G294" s="189">
        <v>-1000</v>
      </c>
      <c r="H294" s="189">
        <v>-1000</v>
      </c>
      <c r="I294" s="189">
        <v>-1000</v>
      </c>
      <c r="J294" s="414"/>
      <c r="K294" s="26" t="s">
        <v>257</v>
      </c>
      <c r="L294" s="26">
        <f t="shared" si="46"/>
        <v>5</v>
      </c>
      <c r="M294" s="97" t="str">
        <f t="shared" si="44"/>
        <v>VEDTATT</v>
      </c>
      <c r="N294" s="97">
        <f t="shared" si="45"/>
        <v>0</v>
      </c>
      <c r="O294" s="97"/>
      <c r="P294" s="26"/>
    </row>
    <row r="295" spans="1:16" s="36" customFormat="1" x14ac:dyDescent="0.25">
      <c r="A295" s="70" t="s">
        <v>8</v>
      </c>
      <c r="B295" s="76" t="str">
        <f t="shared" si="43"/>
        <v>F6</v>
      </c>
      <c r="C295" s="82" t="s">
        <v>359</v>
      </c>
      <c r="D295" s="70" t="s">
        <v>105</v>
      </c>
      <c r="E295" s="69" t="s">
        <v>98</v>
      </c>
      <c r="F295" s="189">
        <v>1800</v>
      </c>
      <c r="G295" s="189">
        <v>3100</v>
      </c>
      <c r="H295" s="189">
        <v>3100</v>
      </c>
      <c r="I295" s="189">
        <v>3100</v>
      </c>
      <c r="J295" s="414" t="s">
        <v>263</v>
      </c>
      <c r="K295" s="26" t="s">
        <v>257</v>
      </c>
      <c r="L295" s="26">
        <f t="shared" si="46"/>
        <v>6</v>
      </c>
      <c r="M295" s="97" t="str">
        <f t="shared" si="44"/>
        <v>VEDTATT</v>
      </c>
      <c r="N295" s="97">
        <f t="shared" si="45"/>
        <v>0</v>
      </c>
      <c r="O295" s="97"/>
      <c r="P295" s="26"/>
    </row>
    <row r="296" spans="1:16" s="36" customFormat="1" x14ac:dyDescent="0.25">
      <c r="A296" s="70" t="s">
        <v>8</v>
      </c>
      <c r="B296" s="76" t="str">
        <f t="shared" si="43"/>
        <v>F7</v>
      </c>
      <c r="C296" s="82" t="s">
        <v>360</v>
      </c>
      <c r="D296" s="70" t="s">
        <v>105</v>
      </c>
      <c r="E296" s="69" t="s">
        <v>98</v>
      </c>
      <c r="F296" s="189">
        <v>-470</v>
      </c>
      <c r="G296" s="189">
        <v>-1515</v>
      </c>
      <c r="H296" s="189">
        <v>-2090</v>
      </c>
      <c r="I296" s="189">
        <v>-2090</v>
      </c>
      <c r="J296" s="91"/>
      <c r="K296" s="26" t="s">
        <v>257</v>
      </c>
      <c r="L296" s="26">
        <f t="shared" si="46"/>
        <v>7</v>
      </c>
      <c r="M296" s="97" t="str">
        <f t="shared" si="44"/>
        <v>VEDTATT</v>
      </c>
      <c r="N296" s="97">
        <f t="shared" si="45"/>
        <v>0</v>
      </c>
      <c r="O296" s="97"/>
      <c r="P296" s="26"/>
    </row>
    <row r="297" spans="1:16" s="36" customFormat="1" x14ac:dyDescent="0.25">
      <c r="A297" s="70" t="s">
        <v>8</v>
      </c>
      <c r="B297" s="76" t="str">
        <f t="shared" si="43"/>
        <v>F8</v>
      </c>
      <c r="C297" s="401" t="s">
        <v>265</v>
      </c>
      <c r="D297" s="402" t="s">
        <v>108</v>
      </c>
      <c r="E297" s="403" t="s">
        <v>46</v>
      </c>
      <c r="F297" s="253">
        <v>109000</v>
      </c>
      <c r="G297" s="253">
        <v>109000</v>
      </c>
      <c r="H297" s="253">
        <v>109000</v>
      </c>
      <c r="I297" s="253">
        <v>109000</v>
      </c>
      <c r="J297" s="414" t="s">
        <v>266</v>
      </c>
      <c r="K297" s="26" t="s">
        <v>257</v>
      </c>
      <c r="L297" s="26">
        <f>L296+1</f>
        <v>8</v>
      </c>
      <c r="M297" s="97">
        <f t="shared" si="44"/>
        <v>0</v>
      </c>
      <c r="N297" s="97" t="str">
        <f t="shared" si="45"/>
        <v>Nye tiltak</v>
      </c>
      <c r="O297" s="97"/>
      <c r="P297" s="26"/>
    </row>
    <row r="298" spans="1:16" s="36" customFormat="1" x14ac:dyDescent="0.25">
      <c r="A298" s="70" t="s">
        <v>8</v>
      </c>
      <c r="B298" s="76" t="str">
        <f t="shared" si="43"/>
        <v>F9</v>
      </c>
      <c r="C298" s="82" t="s">
        <v>267</v>
      </c>
      <c r="D298" s="70" t="s">
        <v>108</v>
      </c>
      <c r="E298" s="69" t="s">
        <v>46</v>
      </c>
      <c r="F298" s="189">
        <v>246</v>
      </c>
      <c r="G298" s="189">
        <v>246</v>
      </c>
      <c r="H298" s="189">
        <v>246</v>
      </c>
      <c r="I298" s="189">
        <v>246</v>
      </c>
      <c r="J298" s="414" t="s">
        <v>268</v>
      </c>
      <c r="K298" s="26" t="s">
        <v>257</v>
      </c>
      <c r="L298" s="26">
        <f t="shared" si="46"/>
        <v>9</v>
      </c>
      <c r="M298" s="97">
        <f t="shared" si="44"/>
        <v>0</v>
      </c>
      <c r="N298" s="97" t="str">
        <f t="shared" si="45"/>
        <v>Nye tiltak</v>
      </c>
      <c r="O298" s="97"/>
      <c r="P298" s="26"/>
    </row>
    <row r="299" spans="1:16" s="36" customFormat="1" x14ac:dyDescent="0.25">
      <c r="A299" s="70" t="s">
        <v>8</v>
      </c>
      <c r="B299" s="76" t="str">
        <f t="shared" si="43"/>
        <v>F10</v>
      </c>
      <c r="C299" s="82" t="s">
        <v>269</v>
      </c>
      <c r="D299" s="70" t="s">
        <v>108</v>
      </c>
      <c r="E299" s="69" t="s">
        <v>46</v>
      </c>
      <c r="F299" s="189">
        <v>200</v>
      </c>
      <c r="G299" s="189">
        <v>200</v>
      </c>
      <c r="H299" s="189">
        <v>200</v>
      </c>
      <c r="I299" s="189">
        <v>200</v>
      </c>
      <c r="J299" s="91" t="s">
        <v>143</v>
      </c>
      <c r="K299" s="26" t="s">
        <v>257</v>
      </c>
      <c r="L299" s="26">
        <f t="shared" si="46"/>
        <v>10</v>
      </c>
      <c r="M299" s="97">
        <f t="shared" si="44"/>
        <v>0</v>
      </c>
      <c r="N299" s="97" t="str">
        <f t="shared" si="45"/>
        <v>Nye tiltak</v>
      </c>
      <c r="O299" s="97"/>
      <c r="P299" s="26"/>
    </row>
    <row r="300" spans="1:16" s="36" customFormat="1" x14ac:dyDescent="0.25">
      <c r="A300" s="70" t="s">
        <v>8</v>
      </c>
      <c r="B300" s="76" t="str">
        <f t="shared" si="43"/>
        <v>F11</v>
      </c>
      <c r="C300" s="401" t="s">
        <v>361</v>
      </c>
      <c r="D300" s="402" t="s">
        <v>108</v>
      </c>
      <c r="E300" s="403"/>
      <c r="F300" s="253"/>
      <c r="G300" s="253"/>
      <c r="H300" s="253"/>
      <c r="I300" s="253"/>
      <c r="J300" s="416" t="s">
        <v>362</v>
      </c>
      <c r="K300" s="26" t="s">
        <v>257</v>
      </c>
      <c r="L300" s="26">
        <f t="shared" si="46"/>
        <v>11</v>
      </c>
      <c r="M300" s="97">
        <f t="shared" si="44"/>
        <v>0</v>
      </c>
      <c r="N300" s="97">
        <f t="shared" si="45"/>
        <v>0</v>
      </c>
      <c r="O300" s="97"/>
      <c r="P300" s="26"/>
    </row>
    <row r="301" spans="1:16" s="36" customFormat="1" x14ac:dyDescent="0.25">
      <c r="A301" s="70" t="s">
        <v>8</v>
      </c>
      <c r="B301" s="76" t="str">
        <f t="shared" si="43"/>
        <v>F12</v>
      </c>
      <c r="C301" s="82" t="s">
        <v>270</v>
      </c>
      <c r="D301" s="70" t="s">
        <v>108</v>
      </c>
      <c r="E301" s="69" t="s">
        <v>46</v>
      </c>
      <c r="F301" s="189">
        <v>494</v>
      </c>
      <c r="G301" s="189">
        <v>494</v>
      </c>
      <c r="H301" s="189">
        <v>494</v>
      </c>
      <c r="I301" s="189">
        <v>494</v>
      </c>
      <c r="J301" s="91" t="s">
        <v>143</v>
      </c>
      <c r="K301" s="26" t="s">
        <v>257</v>
      </c>
      <c r="L301" s="26">
        <f t="shared" si="46"/>
        <v>12</v>
      </c>
      <c r="M301" s="97">
        <f t="shared" si="44"/>
        <v>0</v>
      </c>
      <c r="N301" s="97" t="str">
        <f t="shared" si="45"/>
        <v>Nye tiltak</v>
      </c>
      <c r="O301" s="97"/>
      <c r="P301" s="26"/>
    </row>
    <row r="302" spans="1:16" s="36" customFormat="1" ht="22.5" x14ac:dyDescent="0.25">
      <c r="A302" s="70" t="s">
        <v>8</v>
      </c>
      <c r="B302" s="76" t="str">
        <f t="shared" si="43"/>
        <v>F13</v>
      </c>
      <c r="C302" s="423" t="s">
        <v>363</v>
      </c>
      <c r="D302" s="226" t="s">
        <v>108</v>
      </c>
      <c r="E302" s="229" t="s">
        <v>46</v>
      </c>
      <c r="F302" s="288">
        <v>4931</v>
      </c>
      <c r="G302" s="288">
        <v>4931</v>
      </c>
      <c r="H302" s="288">
        <v>4931</v>
      </c>
      <c r="I302" s="288">
        <v>4931</v>
      </c>
      <c r="J302" s="414" t="s">
        <v>364</v>
      </c>
      <c r="K302" s="26" t="s">
        <v>257</v>
      </c>
      <c r="L302" s="26">
        <f t="shared" si="46"/>
        <v>13</v>
      </c>
      <c r="M302" s="97">
        <f t="shared" si="44"/>
        <v>0</v>
      </c>
      <c r="N302" s="97" t="str">
        <f t="shared" si="45"/>
        <v>Nye tiltak</v>
      </c>
      <c r="O302" s="97"/>
      <c r="P302" s="26"/>
    </row>
    <row r="303" spans="1:16" s="36" customFormat="1" ht="22.5" x14ac:dyDescent="0.25">
      <c r="A303" s="70" t="s">
        <v>8</v>
      </c>
      <c r="B303" s="76" t="str">
        <f t="shared" si="43"/>
        <v>F14</v>
      </c>
      <c r="C303" s="423" t="s">
        <v>365</v>
      </c>
      <c r="D303" s="226" t="s">
        <v>108</v>
      </c>
      <c r="E303" s="229" t="s">
        <v>46</v>
      </c>
      <c r="F303" s="288">
        <v>800</v>
      </c>
      <c r="G303" s="288">
        <v>800</v>
      </c>
      <c r="H303" s="288">
        <v>800</v>
      </c>
      <c r="I303" s="288">
        <v>800</v>
      </c>
      <c r="J303" s="414" t="s">
        <v>366</v>
      </c>
      <c r="K303" s="26" t="s">
        <v>257</v>
      </c>
      <c r="L303" s="26">
        <f t="shared" si="46"/>
        <v>14</v>
      </c>
      <c r="M303" s="97">
        <f t="shared" si="44"/>
        <v>0</v>
      </c>
      <c r="N303" s="97" t="str">
        <f t="shared" si="45"/>
        <v>Nye tiltak</v>
      </c>
      <c r="O303" s="97"/>
      <c r="P303" s="26"/>
    </row>
    <row r="304" spans="1:16" s="36" customFormat="1" ht="22.5" x14ac:dyDescent="0.25">
      <c r="A304" s="70" t="s">
        <v>8</v>
      </c>
      <c r="B304" s="76" t="str">
        <f t="shared" si="43"/>
        <v>F15</v>
      </c>
      <c r="C304" s="423" t="s">
        <v>367</v>
      </c>
      <c r="D304" s="226" t="s">
        <v>108</v>
      </c>
      <c r="E304" s="229" t="s">
        <v>46</v>
      </c>
      <c r="F304" s="288">
        <v>2000</v>
      </c>
      <c r="G304" s="288">
        <v>2000</v>
      </c>
      <c r="H304" s="288">
        <v>2000</v>
      </c>
      <c r="I304" s="288">
        <v>2000</v>
      </c>
      <c r="J304" s="414" t="s">
        <v>368</v>
      </c>
      <c r="K304" s="26" t="s">
        <v>257</v>
      </c>
      <c r="L304" s="26">
        <f t="shared" si="46"/>
        <v>15</v>
      </c>
      <c r="M304" s="97">
        <f t="shared" si="44"/>
        <v>0</v>
      </c>
      <c r="N304" s="97" t="str">
        <f t="shared" si="45"/>
        <v>Nye tiltak</v>
      </c>
      <c r="O304" s="97"/>
      <c r="P304" s="26"/>
    </row>
    <row r="305" spans="1:16" s="36" customFormat="1" ht="22.5" x14ac:dyDescent="0.25">
      <c r="A305" s="70" t="s">
        <v>8</v>
      </c>
      <c r="B305" s="76" t="str">
        <f t="shared" si="43"/>
        <v>F16</v>
      </c>
      <c r="C305" s="423" t="s">
        <v>369</v>
      </c>
      <c r="D305" s="226" t="s">
        <v>108</v>
      </c>
      <c r="E305" s="229" t="s">
        <v>46</v>
      </c>
      <c r="F305" s="288">
        <v>9100</v>
      </c>
      <c r="G305" s="288">
        <v>9100</v>
      </c>
      <c r="H305" s="288">
        <v>9100</v>
      </c>
      <c r="I305" s="288">
        <v>9100</v>
      </c>
      <c r="J305" s="414" t="s">
        <v>370</v>
      </c>
      <c r="K305" s="26" t="s">
        <v>257</v>
      </c>
      <c r="L305" s="26">
        <f t="shared" si="46"/>
        <v>16</v>
      </c>
      <c r="M305" s="97">
        <f t="shared" si="44"/>
        <v>0</v>
      </c>
      <c r="N305" s="97" t="str">
        <f t="shared" si="45"/>
        <v>Nye tiltak</v>
      </c>
      <c r="O305" s="97"/>
      <c r="P305" s="26"/>
    </row>
    <row r="306" spans="1:16" s="36" customFormat="1" ht="33.75" x14ac:dyDescent="0.25">
      <c r="A306" s="70" t="s">
        <v>8</v>
      </c>
      <c r="B306" s="76" t="str">
        <f t="shared" si="43"/>
        <v>F17</v>
      </c>
      <c r="C306" s="423" t="s">
        <v>371</v>
      </c>
      <c r="D306" s="226" t="s">
        <v>108</v>
      </c>
      <c r="E306" s="229" t="s">
        <v>46</v>
      </c>
      <c r="F306" s="288">
        <v>3760</v>
      </c>
      <c r="G306" s="288">
        <v>3760</v>
      </c>
      <c r="H306" s="288">
        <v>3760</v>
      </c>
      <c r="I306" s="288">
        <v>3760</v>
      </c>
      <c r="J306" s="414" t="s">
        <v>372</v>
      </c>
      <c r="K306" s="26" t="s">
        <v>257</v>
      </c>
      <c r="L306" s="26">
        <f t="shared" si="46"/>
        <v>17</v>
      </c>
      <c r="M306" s="97">
        <f t="shared" si="44"/>
        <v>0</v>
      </c>
      <c r="N306" s="97" t="str">
        <f t="shared" si="45"/>
        <v>Nye tiltak</v>
      </c>
      <c r="O306" s="97"/>
      <c r="P306" s="26"/>
    </row>
    <row r="307" spans="1:16" s="36" customFormat="1" ht="22.5" x14ac:dyDescent="0.25">
      <c r="A307" s="70" t="s">
        <v>8</v>
      </c>
      <c r="B307" s="76" t="str">
        <f t="shared" si="43"/>
        <v>F18</v>
      </c>
      <c r="C307" s="423" t="s">
        <v>373</v>
      </c>
      <c r="D307" s="226" t="s">
        <v>108</v>
      </c>
      <c r="E307" s="229" t="s">
        <v>277</v>
      </c>
      <c r="F307" s="288">
        <v>0</v>
      </c>
      <c r="G307" s="288">
        <v>0</v>
      </c>
      <c r="H307" s="288">
        <v>0</v>
      </c>
      <c r="I307" s="288">
        <v>0</v>
      </c>
      <c r="J307" s="414" t="s">
        <v>374</v>
      </c>
      <c r="K307" s="26" t="s">
        <v>257</v>
      </c>
      <c r="L307" s="26">
        <f t="shared" si="46"/>
        <v>18</v>
      </c>
      <c r="M307" s="97">
        <f t="shared" si="44"/>
        <v>0</v>
      </c>
      <c r="N307" s="97">
        <f t="shared" si="45"/>
        <v>0</v>
      </c>
      <c r="O307" s="97"/>
      <c r="P307" s="26"/>
    </row>
    <row r="308" spans="1:16" s="36" customFormat="1" x14ac:dyDescent="0.25">
      <c r="A308" s="70" t="s">
        <v>8</v>
      </c>
      <c r="B308" s="76" t="str">
        <f t="shared" si="43"/>
        <v>F19</v>
      </c>
      <c r="C308" s="82" t="s">
        <v>272</v>
      </c>
      <c r="D308" s="402" t="s">
        <v>108</v>
      </c>
      <c r="E308" s="403" t="s">
        <v>46</v>
      </c>
      <c r="F308" s="253">
        <v>1936</v>
      </c>
      <c r="G308" s="253">
        <v>1936</v>
      </c>
      <c r="H308" s="253">
        <v>1936</v>
      </c>
      <c r="I308" s="253">
        <v>1936</v>
      </c>
      <c r="J308" s="424"/>
      <c r="K308" s="26" t="s">
        <v>257</v>
      </c>
      <c r="L308" s="26">
        <f t="shared" si="46"/>
        <v>19</v>
      </c>
      <c r="M308" s="97">
        <f t="shared" si="44"/>
        <v>0</v>
      </c>
      <c r="N308" s="97" t="str">
        <f t="shared" si="45"/>
        <v>Nye tiltak</v>
      </c>
      <c r="O308" s="97"/>
      <c r="P308" s="26"/>
    </row>
    <row r="309" spans="1:16" s="36" customFormat="1" x14ac:dyDescent="0.25">
      <c r="A309" s="70" t="s">
        <v>8</v>
      </c>
      <c r="B309" s="76" t="str">
        <f t="shared" si="43"/>
        <v>F20</v>
      </c>
      <c r="C309" s="82" t="s">
        <v>273</v>
      </c>
      <c r="D309" s="70" t="s">
        <v>108</v>
      </c>
      <c r="E309" s="69" t="s">
        <v>46</v>
      </c>
      <c r="F309" s="189">
        <v>1880</v>
      </c>
      <c r="G309" s="189">
        <v>1880</v>
      </c>
      <c r="H309" s="189">
        <v>1880</v>
      </c>
      <c r="I309" s="189">
        <v>1880</v>
      </c>
      <c r="J309" s="414" t="s">
        <v>274</v>
      </c>
      <c r="K309" s="26" t="s">
        <v>257</v>
      </c>
      <c r="L309" s="26">
        <f t="shared" si="46"/>
        <v>20</v>
      </c>
      <c r="M309" s="97">
        <f t="shared" si="44"/>
        <v>0</v>
      </c>
      <c r="N309" s="97" t="str">
        <f t="shared" si="45"/>
        <v>Nye tiltak</v>
      </c>
      <c r="O309" s="97"/>
      <c r="P309" s="26"/>
    </row>
    <row r="310" spans="1:16" s="36" customFormat="1" ht="22.5" x14ac:dyDescent="0.25">
      <c r="A310" s="70" t="s">
        <v>8</v>
      </c>
      <c r="B310" s="76" t="str">
        <f t="shared" si="43"/>
        <v>F21</v>
      </c>
      <c r="C310" s="82" t="s">
        <v>375</v>
      </c>
      <c r="D310" s="70" t="s">
        <v>108</v>
      </c>
      <c r="E310" s="69" t="s">
        <v>46</v>
      </c>
      <c r="F310" s="189">
        <v>-1880</v>
      </c>
      <c r="G310" s="189"/>
      <c r="H310" s="189"/>
      <c r="I310" s="189"/>
      <c r="J310" s="414" t="s">
        <v>276</v>
      </c>
      <c r="K310" s="26" t="s">
        <v>257</v>
      </c>
      <c r="L310" s="26">
        <f t="shared" si="46"/>
        <v>21</v>
      </c>
      <c r="M310" s="97">
        <f t="shared" si="44"/>
        <v>0</v>
      </c>
      <c r="N310" s="97" t="str">
        <f t="shared" si="45"/>
        <v>Nye tiltak</v>
      </c>
      <c r="O310" s="97"/>
      <c r="P310" s="26"/>
    </row>
    <row r="311" spans="1:16" s="36" customFormat="1" ht="22.5" x14ac:dyDescent="0.25">
      <c r="A311" s="70" t="s">
        <v>8</v>
      </c>
      <c r="B311" s="76" t="str">
        <f t="shared" si="43"/>
        <v>F22</v>
      </c>
      <c r="C311" s="82" t="s">
        <v>376</v>
      </c>
      <c r="D311" s="70" t="s">
        <v>108</v>
      </c>
      <c r="E311" s="69" t="s">
        <v>277</v>
      </c>
      <c r="F311" s="189"/>
      <c r="G311" s="189"/>
      <c r="H311" s="189"/>
      <c r="I311" s="189"/>
      <c r="J311" s="414" t="s">
        <v>461</v>
      </c>
      <c r="K311" s="26" t="s">
        <v>257</v>
      </c>
      <c r="L311" s="26">
        <f t="shared" si="46"/>
        <v>22</v>
      </c>
      <c r="M311" s="97">
        <f t="shared" si="44"/>
        <v>0</v>
      </c>
      <c r="N311" s="97">
        <f t="shared" si="45"/>
        <v>0</v>
      </c>
      <c r="O311" s="97"/>
      <c r="P311" s="26"/>
    </row>
    <row r="312" spans="1:16" s="36" customFormat="1" x14ac:dyDescent="0.25">
      <c r="A312" s="70" t="s">
        <v>8</v>
      </c>
      <c r="B312" s="76" t="str">
        <f t="shared" si="43"/>
        <v>F23</v>
      </c>
      <c r="C312" s="384" t="s">
        <v>279</v>
      </c>
      <c r="D312" s="70" t="s">
        <v>108</v>
      </c>
      <c r="E312" s="69" t="s">
        <v>46</v>
      </c>
      <c r="F312" s="189">
        <v>450</v>
      </c>
      <c r="G312" s="189">
        <v>450</v>
      </c>
      <c r="H312" s="189">
        <v>450</v>
      </c>
      <c r="I312" s="189">
        <v>450</v>
      </c>
      <c r="J312" s="414" t="s">
        <v>280</v>
      </c>
      <c r="K312" s="26" t="s">
        <v>257</v>
      </c>
      <c r="L312" s="26">
        <f t="shared" si="46"/>
        <v>23</v>
      </c>
      <c r="M312" s="97"/>
      <c r="N312" s="97"/>
      <c r="O312" s="97"/>
      <c r="P312" s="26"/>
    </row>
    <row r="313" spans="1:16" s="36" customFormat="1" ht="23.25" customHeight="1" x14ac:dyDescent="0.25">
      <c r="A313" s="70" t="s">
        <v>8</v>
      </c>
      <c r="B313" s="76" t="str">
        <f t="shared" si="43"/>
        <v>F24</v>
      </c>
      <c r="C313" s="82" t="s">
        <v>281</v>
      </c>
      <c r="D313" s="70" t="s">
        <v>108</v>
      </c>
      <c r="E313" s="69" t="s">
        <v>46</v>
      </c>
      <c r="F313" s="253">
        <v>1030</v>
      </c>
      <c r="G313" s="253">
        <v>1030</v>
      </c>
      <c r="H313" s="253">
        <v>1030</v>
      </c>
      <c r="I313" s="253">
        <v>1030</v>
      </c>
      <c r="J313" s="414" t="s">
        <v>462</v>
      </c>
      <c r="K313" s="26" t="s">
        <v>257</v>
      </c>
      <c r="L313" s="26">
        <f t="shared" si="46"/>
        <v>24</v>
      </c>
      <c r="M313" s="97"/>
      <c r="N313" s="97"/>
      <c r="O313" s="97"/>
      <c r="P313" s="26"/>
    </row>
    <row r="314" spans="1:16" s="36" customFormat="1" x14ac:dyDescent="0.25">
      <c r="A314" s="70" t="s">
        <v>8</v>
      </c>
      <c r="B314" s="76" t="str">
        <f t="shared" si="43"/>
        <v>F25</v>
      </c>
      <c r="C314" s="82" t="s">
        <v>283</v>
      </c>
      <c r="D314" s="70" t="s">
        <v>108</v>
      </c>
      <c r="E314" s="69" t="s">
        <v>46</v>
      </c>
      <c r="F314" s="253"/>
      <c r="G314" s="253"/>
      <c r="H314" s="253"/>
      <c r="I314" s="253"/>
      <c r="J314" s="414" t="s">
        <v>463</v>
      </c>
      <c r="K314" s="26" t="s">
        <v>257</v>
      </c>
      <c r="L314" s="26">
        <f t="shared" si="46"/>
        <v>25</v>
      </c>
      <c r="M314" s="97"/>
      <c r="N314" s="97"/>
      <c r="O314" s="97"/>
      <c r="P314" s="26"/>
    </row>
    <row r="315" spans="1:16" s="36" customFormat="1" x14ac:dyDescent="0.25">
      <c r="A315" s="70" t="s">
        <v>8</v>
      </c>
      <c r="B315" s="76" t="str">
        <f t="shared" si="43"/>
        <v>F26</v>
      </c>
      <c r="C315" s="82" t="s">
        <v>285</v>
      </c>
      <c r="D315" s="70" t="s">
        <v>108</v>
      </c>
      <c r="E315" s="69" t="s">
        <v>46</v>
      </c>
      <c r="F315" s="253"/>
      <c r="G315" s="253"/>
      <c r="H315" s="253"/>
      <c r="I315" s="253"/>
      <c r="J315" s="414" t="s">
        <v>464</v>
      </c>
      <c r="K315" s="26" t="s">
        <v>257</v>
      </c>
      <c r="L315" s="26">
        <f t="shared" si="46"/>
        <v>26</v>
      </c>
      <c r="M315" s="97">
        <f>IF(E315="VEDTATT","VEDTATT",0)</f>
        <v>0</v>
      </c>
      <c r="N315" s="97" t="str">
        <f>IF(E315="MÅ","Nye tiltak",0)</f>
        <v>Nye tiltak</v>
      </c>
      <c r="O315" s="97"/>
      <c r="P315" s="26"/>
    </row>
    <row r="316" spans="1:16" s="36" customFormat="1" x14ac:dyDescent="0.25">
      <c r="A316" s="70"/>
      <c r="B316" s="76" t="str">
        <f t="shared" si="43"/>
        <v/>
      </c>
      <c r="C316" s="80" t="s">
        <v>287</v>
      </c>
      <c r="D316" s="81"/>
      <c r="E316" s="69"/>
      <c r="F316" s="4">
        <f>F291</f>
        <v>2022</v>
      </c>
      <c r="G316" s="4">
        <f>F316+1</f>
        <v>2023</v>
      </c>
      <c r="H316" s="4">
        <f>G316+1</f>
        <v>2024</v>
      </c>
      <c r="I316" s="4">
        <f>H316+1</f>
        <v>2025</v>
      </c>
      <c r="J316" s="412"/>
      <c r="K316" s="335"/>
      <c r="L316" s="335"/>
      <c r="M316" s="97"/>
      <c r="N316" s="97"/>
      <c r="O316" s="97"/>
      <c r="P316" s="26"/>
    </row>
    <row r="317" spans="1:16" s="36" customFormat="1" x14ac:dyDescent="0.25">
      <c r="A317" s="70" t="s">
        <v>8</v>
      </c>
      <c r="B317" s="76" t="str">
        <f t="shared" si="43"/>
        <v>F27</v>
      </c>
      <c r="C317" s="36" t="s">
        <v>288</v>
      </c>
      <c r="D317" s="70" t="s">
        <v>105</v>
      </c>
      <c r="E317" s="69" t="s">
        <v>98</v>
      </c>
      <c r="F317" s="68"/>
      <c r="G317" s="253">
        <v>2430</v>
      </c>
      <c r="H317" s="189"/>
      <c r="I317" s="189">
        <v>0</v>
      </c>
      <c r="J317" s="412"/>
      <c r="K317" s="26" t="s">
        <v>257</v>
      </c>
      <c r="L317" s="26">
        <f>L315+1</f>
        <v>27</v>
      </c>
      <c r="M317" s="97" t="str">
        <f>IF(E317="VEDTATT","VEDTATT",0)</f>
        <v>VEDTATT</v>
      </c>
      <c r="N317" s="97">
        <f>IF(E317="MÅ","Nye tiltak",0)</f>
        <v>0</v>
      </c>
      <c r="O317" s="97"/>
      <c r="P317" s="26"/>
    </row>
    <row r="318" spans="1:16" s="36" customFormat="1" ht="30" x14ac:dyDescent="0.25">
      <c r="A318" s="70" t="s">
        <v>8</v>
      </c>
      <c r="B318" s="76" t="str">
        <f t="shared" si="43"/>
        <v>F28</v>
      </c>
      <c r="C318" s="293" t="s">
        <v>377</v>
      </c>
      <c r="D318" s="70" t="s">
        <v>105</v>
      </c>
      <c r="E318" s="69" t="s">
        <v>98</v>
      </c>
      <c r="F318" s="68"/>
      <c r="G318" s="253">
        <v>400</v>
      </c>
      <c r="H318" s="189"/>
      <c r="I318" s="189">
        <v>0</v>
      </c>
      <c r="J318" s="412"/>
      <c r="K318" s="26" t="s">
        <v>257</v>
      </c>
      <c r="L318" s="26">
        <f t="shared" ref="L318:L327" si="47">+L317+1</f>
        <v>28</v>
      </c>
      <c r="M318" s="97" t="str">
        <f>IF(E318="VEDTATT","VEDTATT",0)</f>
        <v>VEDTATT</v>
      </c>
      <c r="N318" s="97">
        <f>IF(E318="MÅ","Nye tiltak",0)</f>
        <v>0</v>
      </c>
      <c r="O318" s="97"/>
      <c r="P318" s="26"/>
    </row>
    <row r="319" spans="1:16" s="36" customFormat="1" x14ac:dyDescent="0.25">
      <c r="A319" s="70" t="s">
        <v>8</v>
      </c>
      <c r="B319" s="76" t="str">
        <f t="shared" si="43"/>
        <v>F29</v>
      </c>
      <c r="C319" s="36" t="s">
        <v>290</v>
      </c>
      <c r="D319" s="70" t="s">
        <v>105</v>
      </c>
      <c r="E319" s="69" t="s">
        <v>98</v>
      </c>
      <c r="F319" s="68"/>
      <c r="G319" s="253">
        <v>300</v>
      </c>
      <c r="H319" s="189"/>
      <c r="I319" s="189">
        <v>0</v>
      </c>
      <c r="J319" s="412"/>
      <c r="K319" s="26" t="s">
        <v>257</v>
      </c>
      <c r="L319" s="26">
        <f t="shared" si="47"/>
        <v>29</v>
      </c>
      <c r="M319" s="97" t="str">
        <f>IF(E319="VEDTATT","VEDTATT",0)</f>
        <v>VEDTATT</v>
      </c>
      <c r="N319" s="97">
        <f>IF(E319="MÅ","Nye tiltak",0)</f>
        <v>0</v>
      </c>
      <c r="O319" s="97"/>
      <c r="P319" s="26"/>
    </row>
    <row r="320" spans="1:16" s="36" customFormat="1" x14ac:dyDescent="0.25">
      <c r="A320" s="70" t="s">
        <v>8</v>
      </c>
      <c r="B320" s="76" t="str">
        <f t="shared" si="43"/>
        <v>F30</v>
      </c>
      <c r="C320" s="36" t="s">
        <v>291</v>
      </c>
      <c r="D320" s="70" t="s">
        <v>105</v>
      </c>
      <c r="E320" s="69" t="s">
        <v>98</v>
      </c>
      <c r="F320" s="68"/>
      <c r="G320" s="253">
        <v>200</v>
      </c>
      <c r="H320" s="189"/>
      <c r="I320" s="189">
        <v>0</v>
      </c>
      <c r="J320" s="412"/>
      <c r="K320" s="26" t="s">
        <v>257</v>
      </c>
      <c r="L320" s="26">
        <f t="shared" si="47"/>
        <v>30</v>
      </c>
      <c r="M320" s="97" t="str">
        <f>IF(E320="VEDTATT","VEDTATT",0)</f>
        <v>VEDTATT</v>
      </c>
      <c r="N320" s="97">
        <f>IF(E320="MÅ","Nye tiltak",0)</f>
        <v>0</v>
      </c>
      <c r="O320" s="97"/>
      <c r="P320" s="26"/>
    </row>
    <row r="321" spans="1:17" s="36" customFormat="1" x14ac:dyDescent="0.25">
      <c r="A321" s="70" t="s">
        <v>8</v>
      </c>
      <c r="B321" s="76" t="str">
        <f t="shared" si="43"/>
        <v>F31</v>
      </c>
      <c r="C321" s="36" t="s">
        <v>292</v>
      </c>
      <c r="D321" s="77" t="s">
        <v>105</v>
      </c>
      <c r="E321" s="69" t="s">
        <v>98</v>
      </c>
      <c r="F321" s="189"/>
      <c r="G321" s="189">
        <v>-2000</v>
      </c>
      <c r="H321" s="189">
        <v>-2000</v>
      </c>
      <c r="I321" s="189">
        <v>-2000</v>
      </c>
      <c r="J321" s="412" t="s">
        <v>293</v>
      </c>
      <c r="K321" s="26" t="s">
        <v>257</v>
      </c>
      <c r="L321" s="26">
        <f t="shared" si="47"/>
        <v>31</v>
      </c>
      <c r="M321" s="97" t="str">
        <f>IF(E321="VEDTATT","VEDTATT",0)</f>
        <v>VEDTATT</v>
      </c>
      <c r="N321" s="97">
        <f>IF(E321="MÅ","Nye tiltak",0)</f>
        <v>0</v>
      </c>
      <c r="O321" s="97"/>
      <c r="P321" s="26"/>
    </row>
    <row r="322" spans="1:17" s="36" customFormat="1" x14ac:dyDescent="0.25">
      <c r="A322" s="70" t="s">
        <v>8</v>
      </c>
      <c r="B322" s="76" t="str">
        <f>IF(L322,K322&amp;L322,"")</f>
        <v>F32</v>
      </c>
      <c r="C322" s="36" t="s">
        <v>288</v>
      </c>
      <c r="D322" s="77" t="s">
        <v>108</v>
      </c>
      <c r="E322" s="69" t="s">
        <v>46</v>
      </c>
      <c r="F322" s="189"/>
      <c r="G322" s="189"/>
      <c r="H322" s="189"/>
      <c r="I322" s="253">
        <v>2430</v>
      </c>
      <c r="J322" s="412"/>
      <c r="K322" s="26" t="s">
        <v>257</v>
      </c>
      <c r="L322" s="26">
        <f t="shared" si="47"/>
        <v>32</v>
      </c>
      <c r="M322" s="97"/>
      <c r="N322" s="97"/>
      <c r="O322" s="97"/>
      <c r="P322" s="26"/>
    </row>
    <row r="323" spans="1:17" s="36" customFormat="1" x14ac:dyDescent="0.25">
      <c r="A323" s="70" t="s">
        <v>8</v>
      </c>
      <c r="B323" s="76" t="str">
        <f>IF(L323,K323&amp;L323,"")</f>
        <v>F33</v>
      </c>
      <c r="C323" s="36" t="s">
        <v>378</v>
      </c>
      <c r="D323" s="77" t="s">
        <v>108</v>
      </c>
      <c r="E323" s="69" t="s">
        <v>46</v>
      </c>
      <c r="F323" s="189"/>
      <c r="G323" s="189"/>
      <c r="H323" s="189"/>
      <c r="I323" s="253">
        <v>400</v>
      </c>
      <c r="J323" s="412"/>
      <c r="K323" s="26" t="s">
        <v>257</v>
      </c>
      <c r="L323" s="26">
        <f t="shared" si="47"/>
        <v>33</v>
      </c>
      <c r="M323" s="97"/>
      <c r="N323" s="97"/>
      <c r="O323" s="97"/>
      <c r="P323" s="26"/>
    </row>
    <row r="324" spans="1:17" s="36" customFormat="1" x14ac:dyDescent="0.25">
      <c r="A324" s="70" t="s">
        <v>8</v>
      </c>
      <c r="B324" s="76" t="str">
        <f>IF(L324,K324&amp;L324,"")</f>
        <v>F34</v>
      </c>
      <c r="C324" s="36" t="s">
        <v>294</v>
      </c>
      <c r="D324" s="77" t="s">
        <v>108</v>
      </c>
      <c r="E324" s="69" t="s">
        <v>46</v>
      </c>
      <c r="F324" s="189"/>
      <c r="G324" s="189">
        <v>400</v>
      </c>
      <c r="H324" s="189"/>
      <c r="I324" s="189">
        <v>400</v>
      </c>
      <c r="J324" s="412"/>
      <c r="K324" s="26" t="s">
        <v>257</v>
      </c>
      <c r="L324" s="26">
        <f t="shared" si="47"/>
        <v>34</v>
      </c>
      <c r="M324" s="97"/>
      <c r="N324" s="97"/>
      <c r="O324" s="97"/>
      <c r="P324" s="26"/>
    </row>
    <row r="325" spans="1:17" s="36" customFormat="1" x14ac:dyDescent="0.25">
      <c r="A325" s="70" t="s">
        <v>8</v>
      </c>
      <c r="B325" s="76" t="str">
        <f t="shared" si="43"/>
        <v>F35</v>
      </c>
      <c r="C325" s="36" t="s">
        <v>295</v>
      </c>
      <c r="D325" s="77" t="s">
        <v>108</v>
      </c>
      <c r="E325" s="69" t="s">
        <v>46</v>
      </c>
      <c r="F325" s="189"/>
      <c r="G325" s="189">
        <v>300</v>
      </c>
      <c r="H325" s="189"/>
      <c r="I325" s="189">
        <v>300</v>
      </c>
      <c r="J325" s="412"/>
      <c r="K325" s="26" t="s">
        <v>257</v>
      </c>
      <c r="L325" s="26">
        <f t="shared" si="47"/>
        <v>35</v>
      </c>
      <c r="M325" s="97">
        <f>IF(E325="VEDTATT","VEDTATT",0)</f>
        <v>0</v>
      </c>
      <c r="N325" s="97" t="str">
        <f>IF(E325="MÅ","Nye tiltak",0)</f>
        <v>Nye tiltak</v>
      </c>
      <c r="O325" s="97"/>
      <c r="P325" s="26"/>
    </row>
    <row r="326" spans="1:17" s="36" customFormat="1" x14ac:dyDescent="0.25">
      <c r="A326" s="70" t="s">
        <v>8</v>
      </c>
      <c r="B326" s="76" t="str">
        <f>IF(L326,K326&amp;L326,"")</f>
        <v>F36</v>
      </c>
      <c r="C326" s="291" t="s">
        <v>379</v>
      </c>
      <c r="D326" s="77" t="s">
        <v>108</v>
      </c>
      <c r="E326" s="69" t="s">
        <v>46</v>
      </c>
      <c r="F326" s="189">
        <v>50</v>
      </c>
      <c r="G326" s="189">
        <v>50</v>
      </c>
      <c r="H326" s="189">
        <v>50</v>
      </c>
      <c r="I326" s="189">
        <v>50</v>
      </c>
      <c r="J326" s="412"/>
      <c r="K326" s="26" t="s">
        <v>257</v>
      </c>
      <c r="L326" s="26">
        <f t="shared" si="47"/>
        <v>36</v>
      </c>
      <c r="M326" s="97"/>
      <c r="N326" s="97"/>
      <c r="O326" s="97"/>
      <c r="P326" s="26"/>
    </row>
    <row r="327" spans="1:17" s="36" customFormat="1" x14ac:dyDescent="0.25">
      <c r="A327" s="70" t="s">
        <v>8</v>
      </c>
      <c r="B327" s="76" t="str">
        <f t="shared" si="43"/>
        <v>F37</v>
      </c>
      <c r="C327" s="291" t="s">
        <v>297</v>
      </c>
      <c r="D327" s="77" t="s">
        <v>108</v>
      </c>
      <c r="E327" s="229" t="s">
        <v>46</v>
      </c>
      <c r="F327" s="253"/>
      <c r="G327" s="253"/>
      <c r="H327" s="253">
        <v>1000</v>
      </c>
      <c r="I327" s="253"/>
      <c r="J327" s="412"/>
      <c r="K327" s="26" t="s">
        <v>257</v>
      </c>
      <c r="L327" s="26">
        <f t="shared" si="47"/>
        <v>37</v>
      </c>
      <c r="M327" s="97"/>
      <c r="N327" s="97"/>
      <c r="O327" s="97"/>
      <c r="P327" s="26"/>
    </row>
    <row r="328" spans="1:17" s="36" customFormat="1" x14ac:dyDescent="0.25">
      <c r="A328" s="70"/>
      <c r="B328" s="76" t="str">
        <f t="shared" si="43"/>
        <v/>
      </c>
      <c r="C328" s="80" t="s">
        <v>298</v>
      </c>
      <c r="D328" s="386"/>
      <c r="E328" s="69"/>
      <c r="F328" s="387"/>
      <c r="G328" s="387"/>
      <c r="H328" s="387"/>
      <c r="I328" s="387"/>
      <c r="J328" s="412"/>
      <c r="M328" s="97"/>
      <c r="N328" s="97"/>
      <c r="O328" s="97"/>
      <c r="P328" s="26"/>
    </row>
    <row r="329" spans="1:17" s="36" customFormat="1" x14ac:dyDescent="0.2">
      <c r="A329" s="70" t="s">
        <v>8</v>
      </c>
      <c r="B329" s="76" t="str">
        <f t="shared" si="43"/>
        <v>F38</v>
      </c>
      <c r="C329" s="82" t="s">
        <v>299</v>
      </c>
      <c r="D329" s="70" t="s">
        <v>97</v>
      </c>
      <c r="E329" s="69" t="s">
        <v>98</v>
      </c>
      <c r="F329" s="488">
        <v>-20469</v>
      </c>
      <c r="G329" s="488">
        <v>-20469</v>
      </c>
      <c r="H329" s="488">
        <v>-20469</v>
      </c>
      <c r="I329" s="488">
        <v>-20469</v>
      </c>
      <c r="J329" s="492" t="s">
        <v>465</v>
      </c>
      <c r="K329" s="26" t="s">
        <v>257</v>
      </c>
      <c r="L329" s="26">
        <f>L327+1</f>
        <v>38</v>
      </c>
      <c r="M329" s="97" t="str">
        <f>IF(E329="VEDTATT","VEDTATT",0)</f>
        <v>VEDTATT</v>
      </c>
      <c r="N329" s="97">
        <f>IF(E329="MÅ","Nye tiltak",0)</f>
        <v>0</v>
      </c>
      <c r="O329" s="97"/>
      <c r="P329" s="26"/>
      <c r="Q329" s="36">
        <v>-22250</v>
      </c>
    </row>
    <row r="330" spans="1:17" s="36" customFormat="1" x14ac:dyDescent="0.2">
      <c r="A330" s="70" t="s">
        <v>8</v>
      </c>
      <c r="B330" s="76" t="str">
        <f t="shared" si="43"/>
        <v>F39</v>
      </c>
      <c r="C330" s="82" t="s">
        <v>301</v>
      </c>
      <c r="D330" s="70" t="s">
        <v>97</v>
      </c>
      <c r="E330" s="69" t="s">
        <v>98</v>
      </c>
      <c r="F330" s="493">
        <v>-3730</v>
      </c>
      <c r="G330" s="493">
        <v>-3730</v>
      </c>
      <c r="H330" s="493">
        <v>-3730</v>
      </c>
      <c r="I330" s="493">
        <v>-3730</v>
      </c>
      <c r="J330" s="494" t="s">
        <v>465</v>
      </c>
      <c r="K330" s="26" t="s">
        <v>257</v>
      </c>
      <c r="L330" s="26">
        <f t="shared" ref="L330:L334" si="48">+L329+1</f>
        <v>39</v>
      </c>
      <c r="M330" s="97" t="str">
        <f>IF(E330="VEDTATT","VEDTATT",0)</f>
        <v>VEDTATT</v>
      </c>
      <c r="N330" s="97">
        <f>IF(E330="MÅ","Nye tiltak",0)</f>
        <v>0</v>
      </c>
      <c r="O330" s="97"/>
      <c r="P330" s="26"/>
      <c r="Q330" s="36" t="e">
        <f>-#REF!</f>
        <v>#REF!</v>
      </c>
    </row>
    <row r="331" spans="1:17" s="36" customFormat="1" x14ac:dyDescent="0.2">
      <c r="A331" s="70" t="s">
        <v>8</v>
      </c>
      <c r="B331" s="76" t="str">
        <f t="shared" si="43"/>
        <v>F40</v>
      </c>
      <c r="C331" s="82" t="s">
        <v>380</v>
      </c>
      <c r="D331" s="70" t="s">
        <v>97</v>
      </c>
      <c r="E331" s="69" t="s">
        <v>98</v>
      </c>
      <c r="F331" s="490">
        <v>-3500</v>
      </c>
      <c r="G331" s="490">
        <v>-3500</v>
      </c>
      <c r="H331" s="490">
        <v>-3500</v>
      </c>
      <c r="I331" s="490">
        <v>-3500</v>
      </c>
      <c r="J331" s="494" t="s">
        <v>465</v>
      </c>
      <c r="K331" s="26" t="s">
        <v>257</v>
      </c>
      <c r="L331" s="26">
        <f t="shared" si="48"/>
        <v>40</v>
      </c>
      <c r="M331" s="97" t="str">
        <f>IF(E331="VEDTATT","VEDTATT",0)</f>
        <v>VEDTATT</v>
      </c>
      <c r="N331" s="97">
        <f>IF(E331="MÅ","Nye tiltak",0)</f>
        <v>0</v>
      </c>
      <c r="O331" s="97"/>
      <c r="P331" s="26"/>
      <c r="Q331" s="93">
        <f>+F331</f>
        <v>-3500</v>
      </c>
    </row>
    <row r="332" spans="1:17" s="36" customFormat="1" x14ac:dyDescent="0.2">
      <c r="A332" s="70" t="s">
        <v>8</v>
      </c>
      <c r="B332" s="76" t="str">
        <f t="shared" si="43"/>
        <v>F41</v>
      </c>
      <c r="C332" s="82" t="s">
        <v>304</v>
      </c>
      <c r="D332" s="70" t="s">
        <v>97</v>
      </c>
      <c r="E332" s="69" t="s">
        <v>98</v>
      </c>
      <c r="F332" s="490">
        <v>-4420</v>
      </c>
      <c r="G332" s="490">
        <v>-4420</v>
      </c>
      <c r="H332" s="490">
        <v>-4420</v>
      </c>
      <c r="I332" s="490">
        <v>-4420</v>
      </c>
      <c r="J332" s="494" t="s">
        <v>465</v>
      </c>
      <c r="K332" s="26" t="s">
        <v>257</v>
      </c>
      <c r="L332" s="26">
        <f t="shared" si="48"/>
        <v>41</v>
      </c>
      <c r="M332" s="97" t="str">
        <f>IF(E332="VEDTATT","VEDTATT",0)</f>
        <v>VEDTATT</v>
      </c>
      <c r="N332" s="97">
        <f>IF(E332="MÅ","Nye tiltak",0)</f>
        <v>0</v>
      </c>
      <c r="O332" s="97"/>
      <c r="P332" s="26"/>
      <c r="Q332" s="93">
        <f t="shared" ref="Q332:Q337" si="49">+F332</f>
        <v>-4420</v>
      </c>
    </row>
    <row r="333" spans="1:17" s="36" customFormat="1" x14ac:dyDescent="0.2">
      <c r="A333" s="70" t="s">
        <v>8</v>
      </c>
      <c r="B333" s="76" t="str">
        <f t="shared" si="43"/>
        <v>F42</v>
      </c>
      <c r="C333" s="82" t="s">
        <v>381</v>
      </c>
      <c r="D333" s="70" t="s">
        <v>97</v>
      </c>
      <c r="E333" s="59" t="s">
        <v>98</v>
      </c>
      <c r="F333" s="490">
        <v>24370</v>
      </c>
      <c r="G333" s="490">
        <v>26970</v>
      </c>
      <c r="H333" s="490">
        <v>26970</v>
      </c>
      <c r="I333" s="490">
        <v>26970</v>
      </c>
      <c r="J333" s="494" t="s">
        <v>465</v>
      </c>
      <c r="K333" s="26" t="s">
        <v>257</v>
      </c>
      <c r="L333" s="26">
        <f t="shared" si="48"/>
        <v>42</v>
      </c>
      <c r="M333" s="97"/>
      <c r="N333" s="97"/>
      <c r="O333" s="97"/>
      <c r="P333" s="26"/>
      <c r="Q333" s="93">
        <f t="shared" si="49"/>
        <v>24370</v>
      </c>
    </row>
    <row r="334" spans="1:17" s="36" customFormat="1" x14ac:dyDescent="0.2">
      <c r="A334" s="70" t="s">
        <v>8</v>
      </c>
      <c r="B334" s="76" t="str">
        <f t="shared" si="43"/>
        <v>F43</v>
      </c>
      <c r="C334" s="82" t="s">
        <v>382</v>
      </c>
      <c r="D334" s="70" t="s">
        <v>97</v>
      </c>
      <c r="E334" s="69" t="s">
        <v>98</v>
      </c>
      <c r="F334" s="490">
        <v>-24370</v>
      </c>
      <c r="G334" s="490">
        <v>-26970</v>
      </c>
      <c r="H334" s="490">
        <v>-26970</v>
      </c>
      <c r="I334" s="490">
        <v>-26970</v>
      </c>
      <c r="J334" s="494" t="s">
        <v>465</v>
      </c>
      <c r="K334" s="26" t="s">
        <v>257</v>
      </c>
      <c r="L334" s="26">
        <f t="shared" si="48"/>
        <v>43</v>
      </c>
      <c r="M334" s="97"/>
      <c r="N334" s="97"/>
      <c r="O334" s="97"/>
      <c r="P334" s="26"/>
      <c r="Q334" s="93">
        <f t="shared" si="49"/>
        <v>-24370</v>
      </c>
    </row>
    <row r="335" spans="1:17" s="36" customFormat="1" x14ac:dyDescent="0.2">
      <c r="A335" s="70" t="s">
        <v>8</v>
      </c>
      <c r="B335" s="76" t="str">
        <f t="shared" si="43"/>
        <v>F44</v>
      </c>
      <c r="C335" s="82" t="s">
        <v>304</v>
      </c>
      <c r="D335" s="70" t="s">
        <v>97</v>
      </c>
      <c r="E335" s="69" t="s">
        <v>98</v>
      </c>
      <c r="F335" s="490">
        <v>4420</v>
      </c>
      <c r="G335" s="490">
        <v>4420</v>
      </c>
      <c r="H335" s="490">
        <v>4420</v>
      </c>
      <c r="I335" s="490">
        <v>4420</v>
      </c>
      <c r="J335" s="494" t="s">
        <v>465</v>
      </c>
      <c r="K335" s="26" t="s">
        <v>257</v>
      </c>
      <c r="L335" s="26">
        <f>+L334+1</f>
        <v>44</v>
      </c>
      <c r="M335" s="97"/>
      <c r="N335" s="97"/>
      <c r="O335" s="97"/>
      <c r="P335" s="26"/>
      <c r="Q335" s="93">
        <f t="shared" si="49"/>
        <v>4420</v>
      </c>
    </row>
    <row r="336" spans="1:17" s="36" customFormat="1" x14ac:dyDescent="0.2">
      <c r="A336" s="70" t="s">
        <v>8</v>
      </c>
      <c r="B336" s="76" t="str">
        <f t="shared" si="43"/>
        <v>F45</v>
      </c>
      <c r="C336" s="82" t="s">
        <v>466</v>
      </c>
      <c r="D336" s="70"/>
      <c r="E336" s="69"/>
      <c r="F336" s="489">
        <v>600</v>
      </c>
      <c r="G336" s="489">
        <v>600</v>
      </c>
      <c r="H336" s="489">
        <v>600</v>
      </c>
      <c r="I336" s="489">
        <v>600</v>
      </c>
      <c r="J336" s="494" t="s">
        <v>465</v>
      </c>
      <c r="K336" s="26" t="s">
        <v>257</v>
      </c>
      <c r="L336" s="26">
        <f>+L335+1</f>
        <v>45</v>
      </c>
      <c r="M336" s="97"/>
      <c r="N336" s="97"/>
      <c r="O336" s="97"/>
      <c r="P336" s="26"/>
      <c r="Q336" s="93">
        <f t="shared" si="49"/>
        <v>600</v>
      </c>
    </row>
    <row r="337" spans="1:17" s="36" customFormat="1" ht="25.5" x14ac:dyDescent="0.2">
      <c r="A337" s="70" t="s">
        <v>8</v>
      </c>
      <c r="B337" s="76" t="str">
        <f t="shared" si="43"/>
        <v>F46</v>
      </c>
      <c r="C337" s="82" t="s">
        <v>309</v>
      </c>
      <c r="D337" s="70" t="s">
        <v>97</v>
      </c>
      <c r="E337" s="69" t="s">
        <v>98</v>
      </c>
      <c r="F337" s="490">
        <v>-4176</v>
      </c>
      <c r="G337" s="490">
        <v>-4176</v>
      </c>
      <c r="H337" s="490">
        <v>-4176</v>
      </c>
      <c r="I337" s="490">
        <v>-4176</v>
      </c>
      <c r="J337" s="494" t="s">
        <v>467</v>
      </c>
      <c r="K337" s="26" t="s">
        <v>257</v>
      </c>
      <c r="L337" s="26">
        <f t="shared" ref="L337:L340" si="50">+L336+1</f>
        <v>46</v>
      </c>
      <c r="M337" s="97"/>
      <c r="N337" s="97"/>
      <c r="O337" s="97"/>
      <c r="P337" s="26"/>
      <c r="Q337" s="93">
        <f t="shared" si="49"/>
        <v>-4176</v>
      </c>
    </row>
    <row r="338" spans="1:17" s="36" customFormat="1" x14ac:dyDescent="0.25">
      <c r="A338" s="70" t="s">
        <v>8</v>
      </c>
      <c r="B338" s="76" t="str">
        <f>IF(L338,K338&amp;L338,"")</f>
        <v>F47</v>
      </c>
      <c r="C338" s="396" t="s">
        <v>468</v>
      </c>
      <c r="D338" s="77" t="s">
        <v>108</v>
      </c>
      <c r="E338" s="229" t="s">
        <v>342</v>
      </c>
      <c r="F338" s="88">
        <v>5900</v>
      </c>
      <c r="G338" s="88">
        <f>+F338</f>
        <v>5900</v>
      </c>
      <c r="H338" s="88">
        <f t="shared" ref="H338:I338" si="51">+G338</f>
        <v>5900</v>
      </c>
      <c r="I338" s="88">
        <f t="shared" si="51"/>
        <v>5900</v>
      </c>
      <c r="J338" s="417" t="s">
        <v>469</v>
      </c>
      <c r="K338" s="26" t="s">
        <v>257</v>
      </c>
      <c r="L338" s="26">
        <f t="shared" si="50"/>
        <v>47</v>
      </c>
      <c r="M338" s="97"/>
      <c r="N338" s="97"/>
      <c r="O338" s="97"/>
      <c r="P338" s="26"/>
    </row>
    <row r="339" spans="1:17" s="36" customFormat="1" x14ac:dyDescent="0.25">
      <c r="A339" s="70" t="s">
        <v>8</v>
      </c>
      <c r="B339" s="76" t="str">
        <f>IF(L339,K339&amp;L339,"")</f>
        <v>F48</v>
      </c>
      <c r="C339" s="82" t="s">
        <v>470</v>
      </c>
      <c r="D339" s="70" t="s">
        <v>108</v>
      </c>
      <c r="E339" s="229" t="s">
        <v>342</v>
      </c>
      <c r="F339" s="418">
        <v>55500</v>
      </c>
      <c r="G339" s="418">
        <v>55500</v>
      </c>
      <c r="H339" s="418">
        <v>55500</v>
      </c>
      <c r="I339" s="418">
        <v>55500</v>
      </c>
      <c r="J339" s="412" t="s">
        <v>471</v>
      </c>
      <c r="K339" s="26" t="s">
        <v>257</v>
      </c>
      <c r="L339" s="26">
        <f t="shared" si="50"/>
        <v>48</v>
      </c>
      <c r="M339" s="97"/>
      <c r="N339" s="97"/>
      <c r="O339" s="97"/>
      <c r="P339" s="26"/>
    </row>
    <row r="340" spans="1:17" s="36" customFormat="1" x14ac:dyDescent="0.25">
      <c r="A340" s="70" t="s">
        <v>8</v>
      </c>
      <c r="B340" s="76" t="str">
        <f>IF(L340,K340&amp;L340,"")</f>
        <v>F49</v>
      </c>
      <c r="C340" s="82" t="s">
        <v>472</v>
      </c>
      <c r="D340" s="70" t="s">
        <v>108</v>
      </c>
      <c r="E340" s="69" t="s">
        <v>342</v>
      </c>
      <c r="F340" s="88"/>
      <c r="G340" s="88"/>
      <c r="H340" s="88"/>
      <c r="I340" s="88"/>
      <c r="J340" s="412"/>
      <c r="K340" s="26" t="s">
        <v>257</v>
      </c>
      <c r="L340" s="26">
        <f t="shared" si="50"/>
        <v>49</v>
      </c>
      <c r="M340" s="97">
        <f>IF(E340="VEDTATT","VEDTATT",0)</f>
        <v>0</v>
      </c>
      <c r="N340" s="97">
        <f>IF(E340="MÅ","Nye tiltak",0)</f>
        <v>0</v>
      </c>
      <c r="O340" s="97"/>
      <c r="P340" s="26"/>
    </row>
    <row r="341" spans="1:17" s="36" customFormat="1" x14ac:dyDescent="0.25">
      <c r="A341" s="70"/>
      <c r="B341" s="76" t="str">
        <f>IF(L341,K341&amp;L341,"")</f>
        <v/>
      </c>
      <c r="C341" s="80" t="s">
        <v>473</v>
      </c>
      <c r="D341" s="81"/>
      <c r="E341" s="69"/>
      <c r="F341" s="189"/>
      <c r="G341" s="189"/>
      <c r="H341" s="189"/>
      <c r="I341" s="189"/>
      <c r="J341" s="412"/>
      <c r="K341" s="26"/>
      <c r="L341" s="26"/>
      <c r="M341" s="97"/>
      <c r="N341" s="97"/>
      <c r="O341" s="97"/>
      <c r="P341" s="26"/>
    </row>
    <row r="342" spans="1:17" s="36" customFormat="1" ht="30" x14ac:dyDescent="0.25">
      <c r="A342" s="41"/>
      <c r="B342" s="41" t="s">
        <v>152</v>
      </c>
      <c r="C342" s="3" t="s">
        <v>310</v>
      </c>
      <c r="D342" s="50"/>
      <c r="E342" s="50"/>
      <c r="F342" s="54">
        <f>SUMIF($A:$A,"KOM.FELLES",F:F)</f>
        <v>163417</v>
      </c>
      <c r="G342" s="54">
        <f>SUMIF($A:$A,"KOM.FELLES",G:G)</f>
        <v>167552</v>
      </c>
      <c r="H342" s="54">
        <f>SUMIF($A:$A,"KOM.FELLES",H:H)</f>
        <v>163947</v>
      </c>
      <c r="I342" s="54">
        <f>SUMIF($A:$A,"KOM.FELLES",I:I)</f>
        <v>166477</v>
      </c>
      <c r="J342" s="412"/>
      <c r="K342" s="335"/>
      <c r="L342" s="335"/>
      <c r="M342" s="97"/>
      <c r="N342" s="97"/>
      <c r="O342" s="97"/>
      <c r="P342" s="26"/>
    </row>
    <row r="343" spans="1:17" x14ac:dyDescent="0.25">
      <c r="K343" s="36"/>
      <c r="L343" s="36"/>
      <c r="M343"/>
      <c r="N343"/>
      <c r="O343"/>
    </row>
    <row r="345" spans="1:17" x14ac:dyDescent="0.25">
      <c r="E345" t="s">
        <v>311</v>
      </c>
      <c r="F345" s="254" t="e">
        <f>#REF!+#REF!+#REF!+#REF!</f>
        <v>#REF!</v>
      </c>
      <c r="G345" s="254" t="e">
        <f>#REF!+#REF!+#REF!+#REF!</f>
        <v>#REF!</v>
      </c>
      <c r="H345" s="254" t="e">
        <f>#REF!+#REF!+#REF!+#REF!</f>
        <v>#REF!</v>
      </c>
      <c r="I345" s="254"/>
    </row>
    <row r="346" spans="1:17" x14ac:dyDescent="0.25">
      <c r="E346" t="s">
        <v>312</v>
      </c>
      <c r="F346" s="254">
        <f>30987+13258+710+30241</f>
        <v>75196</v>
      </c>
      <c r="G346" s="254">
        <f>30987+29145+1313+30241</f>
        <v>91686</v>
      </c>
      <c r="H346" s="254">
        <f>30987+29145+1313+30241</f>
        <v>91686</v>
      </c>
      <c r="I346" s="254"/>
    </row>
    <row r="347" spans="1:17" x14ac:dyDescent="0.25">
      <c r="E347" s="200" t="s">
        <v>313</v>
      </c>
      <c r="F347" s="201" t="e">
        <f>F345-F346</f>
        <v>#REF!</v>
      </c>
      <c r="G347" s="201" t="e">
        <f>G345-G346</f>
        <v>#REF!</v>
      </c>
      <c r="H347" s="201" t="e">
        <f>H345-H346</f>
        <v>#REF!</v>
      </c>
      <c r="I347" s="346"/>
    </row>
    <row r="348" spans="1:17" x14ac:dyDescent="0.25">
      <c r="E348" t="s">
        <v>314</v>
      </c>
      <c r="F348" s="181">
        <f>-7929-3038</f>
        <v>-10967</v>
      </c>
      <c r="G348" s="181">
        <f>-9809-3549</f>
        <v>-13358</v>
      </c>
      <c r="H348" s="181">
        <f>-9809-3549</f>
        <v>-13358</v>
      </c>
      <c r="I348" s="181"/>
    </row>
    <row r="349" spans="1:17" x14ac:dyDescent="0.25">
      <c r="E349" s="200" t="s">
        <v>313</v>
      </c>
      <c r="F349" s="201" t="e">
        <f>F348-F347</f>
        <v>#REF!</v>
      </c>
      <c r="G349" s="201" t="e">
        <f>G348-G347</f>
        <v>#REF!</v>
      </c>
      <c r="H349" s="201" t="e">
        <f>H348-H347</f>
        <v>#REF!</v>
      </c>
      <c r="I349" s="346"/>
    </row>
    <row r="351" spans="1:17" x14ac:dyDescent="0.25">
      <c r="F351" s="254" t="e">
        <f>F71+F73+#REF!+#REF!+#REF!+#REF!+#REF!+#REF!+#REF!+#REF!+#REF!+F158+F160+#REF!+#REF!+#REF!+#REF!+#REF!+#REF!+#REF!</f>
        <v>#REF!</v>
      </c>
      <c r="G351" s="254" t="e">
        <f>G71+G73+#REF!+#REF!+#REF!+#REF!+#REF!+#REF!+#REF!+#REF!+#REF!+G158+G160+#REF!+#REF!+#REF!+#REF!+#REF!+#REF!+#REF!</f>
        <v>#REF!</v>
      </c>
      <c r="H351" s="254" t="e">
        <f>H71+H73+#REF!+#REF!+#REF!+#REF!+#REF!+#REF!+#REF!+#REF!+#REF!+H158+H160+#REF!+#REF!+#REF!+#REF!+#REF!+#REF!+#REF!</f>
        <v>#REF!</v>
      </c>
      <c r="I351" s="254"/>
    </row>
    <row r="356" spans="4:21" x14ac:dyDescent="0.25">
      <c r="F356" s="180"/>
      <c r="G356" s="180"/>
      <c r="H356" s="180"/>
      <c r="I356" s="180"/>
    </row>
    <row r="357" spans="4:21" x14ac:dyDescent="0.25">
      <c r="D357" s="254"/>
      <c r="E357" s="254"/>
      <c r="F357" s="254"/>
      <c r="G357" s="254"/>
      <c r="H357" s="254"/>
      <c r="I357" s="254"/>
      <c r="Q357" s="202"/>
      <c r="R357" s="203">
        <v>2019</v>
      </c>
      <c r="S357" s="203">
        <v>2020</v>
      </c>
      <c r="T357" s="203">
        <v>2021</v>
      </c>
      <c r="U357" s="203">
        <v>2022</v>
      </c>
    </row>
    <row r="358" spans="4:21" x14ac:dyDescent="0.25">
      <c r="F358" s="254"/>
      <c r="G358" s="254"/>
      <c r="H358" s="254"/>
      <c r="I358" s="254"/>
      <c r="Q358" s="347" t="s">
        <v>315</v>
      </c>
      <c r="R358" s="184" t="e">
        <f>#REF!+#REF!</f>
        <v>#REF!</v>
      </c>
      <c r="S358" s="184" t="e">
        <f>#REF!+#REF!</f>
        <v>#REF!</v>
      </c>
      <c r="T358" s="184" t="e">
        <f>#REF!+#REF!</f>
        <v>#REF!</v>
      </c>
      <c r="U358" s="184" t="e">
        <f>#REF!+#REF!</f>
        <v>#REF!</v>
      </c>
    </row>
    <row r="359" spans="4:21" x14ac:dyDescent="0.25">
      <c r="F359" s="254"/>
      <c r="G359" s="254"/>
      <c r="H359" s="254"/>
      <c r="I359" s="254"/>
      <c r="Q359" s="347" t="s">
        <v>316</v>
      </c>
      <c r="R359" s="184" t="e">
        <f>#REF!+#REF!</f>
        <v>#REF!</v>
      </c>
      <c r="S359" s="184" t="e">
        <f>#REF!+#REF!</f>
        <v>#REF!</v>
      </c>
      <c r="T359" s="184" t="e">
        <f>#REF!+#REF!</f>
        <v>#REF!</v>
      </c>
      <c r="U359" s="184" t="e">
        <f>#REF!+#REF!</f>
        <v>#REF!</v>
      </c>
    </row>
    <row r="360" spans="4:21" x14ac:dyDescent="0.25">
      <c r="F360" s="254"/>
      <c r="G360" s="254"/>
      <c r="H360" s="254"/>
      <c r="I360" s="254"/>
      <c r="Q360" s="347" t="s">
        <v>3</v>
      </c>
      <c r="R360" s="184" t="e">
        <f>#REF!+#REF!</f>
        <v>#REF!</v>
      </c>
      <c r="S360" s="184" t="e">
        <f>F144+#REF!</f>
        <v>#REF!</v>
      </c>
      <c r="T360" s="184" t="e">
        <f>G144+#REF!</f>
        <v>#REF!</v>
      </c>
      <c r="U360" s="184" t="e">
        <f>H144+#REF!</f>
        <v>#REF!</v>
      </c>
    </row>
    <row r="361" spans="4:21" x14ac:dyDescent="0.25">
      <c r="F361" s="254"/>
      <c r="G361" s="254"/>
      <c r="H361" s="254"/>
      <c r="I361" s="254"/>
      <c r="Q361" s="347" t="s">
        <v>317</v>
      </c>
      <c r="R361" s="184" t="e">
        <f>#REF!</f>
        <v>#REF!</v>
      </c>
      <c r="S361" s="184" t="e">
        <f>#REF!</f>
        <v>#REF!</v>
      </c>
      <c r="T361" s="184" t="e">
        <f>#REF!</f>
        <v>#REF!</v>
      </c>
      <c r="U361" s="184" t="e">
        <f>#REF!</f>
        <v>#REF!</v>
      </c>
    </row>
    <row r="362" spans="4:21" x14ac:dyDescent="0.25">
      <c r="F362" s="254"/>
      <c r="G362" s="254"/>
      <c r="H362" s="254"/>
      <c r="I362" s="254"/>
      <c r="Q362" s="347" t="s">
        <v>11</v>
      </c>
      <c r="R362" s="184" t="e">
        <f>#REF!+#REF!</f>
        <v>#REF!</v>
      </c>
      <c r="S362" s="184" t="e">
        <f>#REF!+#REF!</f>
        <v>#REF!</v>
      </c>
      <c r="T362" s="184" t="e">
        <f>#REF!+#REF!</f>
        <v>#REF!</v>
      </c>
      <c r="U362" s="184" t="e">
        <f>#REF!+#REF!</f>
        <v>#REF!</v>
      </c>
    </row>
    <row r="363" spans="4:21" x14ac:dyDescent="0.25">
      <c r="F363" s="254"/>
      <c r="G363" s="254"/>
      <c r="H363" s="254"/>
      <c r="I363" s="254"/>
      <c r="Q363" s="347" t="s">
        <v>12</v>
      </c>
      <c r="R363" s="184" t="e">
        <f>#REF!</f>
        <v>#REF!</v>
      </c>
      <c r="S363" s="184" t="e">
        <f>#REF!</f>
        <v>#REF!</v>
      </c>
      <c r="T363" s="184" t="e">
        <f>#REF!</f>
        <v>#REF!</v>
      </c>
      <c r="U363" s="184" t="e">
        <f>#REF!</f>
        <v>#REF!</v>
      </c>
    </row>
    <row r="364" spans="4:21" x14ac:dyDescent="0.25">
      <c r="F364" s="254"/>
      <c r="G364" s="254"/>
      <c r="H364" s="254"/>
      <c r="I364" s="254"/>
      <c r="Q364" s="347" t="s">
        <v>13</v>
      </c>
      <c r="R364" s="184" t="e">
        <f>#REF!</f>
        <v>#REF!</v>
      </c>
      <c r="S364" s="184" t="e">
        <f>#REF!</f>
        <v>#REF!</v>
      </c>
      <c r="T364" s="184" t="e">
        <f>#REF!</f>
        <v>#REF!</v>
      </c>
      <c r="U364" s="184" t="e">
        <f>#REF!</f>
        <v>#REF!</v>
      </c>
    </row>
    <row r="365" spans="4:21" ht="30" x14ac:dyDescent="0.25">
      <c r="Q365" s="347" t="s">
        <v>318</v>
      </c>
      <c r="R365" s="184" t="e">
        <f>#REF!+#REF!</f>
        <v>#REF!</v>
      </c>
      <c r="S365" s="184" t="e">
        <f>F290+#REF!</f>
        <v>#REF!</v>
      </c>
      <c r="T365" s="184" t="e">
        <f>G290+#REF!</f>
        <v>#REF!</v>
      </c>
      <c r="U365" s="184" t="e">
        <f>H290+#REF!</f>
        <v>#REF!</v>
      </c>
    </row>
    <row r="366" spans="4:21" x14ac:dyDescent="0.25">
      <c r="Q366" s="183" t="s">
        <v>319</v>
      </c>
      <c r="R366" s="185" t="e">
        <f>SUBTOTAL(9,R358:R365)</f>
        <v>#REF!</v>
      </c>
      <c r="S366" s="185" t="e">
        <f>SUBTOTAL(9,S358:S365)</f>
        <v>#REF!</v>
      </c>
      <c r="T366" s="185" t="e">
        <f>SUBTOTAL(9,T358:T365)</f>
        <v>#REF!</v>
      </c>
      <c r="U366" s="185" t="e">
        <f>SUBTOTAL(9,U358:U365)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1" type="noConversion"/>
  <conditionalFormatting sqref="F18:I18">
    <cfRule type="cellIs" dxfId="3" priority="2" operator="notEqual">
      <formula>0</formula>
    </cfRule>
  </conditionalFormatting>
  <conditionalFormatting sqref="I18">
    <cfRule type="cellIs" dxfId="2" priority="1" operator="notEqual">
      <formula>0</formula>
    </cfRule>
  </conditionalFormatting>
  <dataValidations count="1">
    <dataValidation type="list" allowBlank="1" showInputMessage="1" showErrorMessage="1" sqref="E235:E237 D249:E255 D219:D220 D225 D242:E243 D244 D231:D237 D227:D229" xr:uid="{20B05C23-727B-4055-8716-493E65EAE0B5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3DDEEDD-E71B-49D8-972E-91896995CEED}">
          <x14:formula1>
            <xm:f>#REF!</xm:f>
          </x14:formula1>
          <xm:sqref>A105:A128 A93:A102 A68:A78</xm:sqref>
        </x14:dataValidation>
        <x14:dataValidation type="list" allowBlank="1" showInputMessage="1" showErrorMessage="1" xr:uid="{C056CC98-6C95-454C-8FB7-6F251F210F81}">
          <x14:formula1>
            <xm:f>#REF!</xm:f>
          </x14:formula1>
          <xm:sqref>A79 A81:A83 A85 A87:A92 A103:A104 A29:A67 A129:A342</xm:sqref>
        </x14:dataValidation>
        <x14:dataValidation type="list" allowBlank="1" showInputMessage="1" showErrorMessage="1" xr:uid="{901D2529-3BE4-4841-B6CD-5C47D54ADEC6}">
          <x14:formula1>
            <xm:f>#REF!</xm:f>
          </x14:formula1>
          <xm:sqref>D278:D284 D245:D248 D317:D327 D230 D226 D221:D222 D93:D102 D289:D290 D68:D79 D156:D167 D81:D84 D172:D182 D87:D89 D292:D315 D29:D61 D105:D124 D192:D218 D238:D241 D132:D154 D259:D274 D184:D188 D329:D340</xm:sqref>
        </x14:dataValidation>
        <x14:dataValidation type="list" allowBlank="1" showInputMessage="1" showErrorMessage="1" xr:uid="{DB53F7E4-7EA8-490B-A188-6AB1441C201B}">
          <x14:formula1>
            <xm:f>'C:\Users\lincbak\Desktop\[Kopi av Driftskostnader for nye bygg - tiltaksliste 2018-2021.xlsx]Div'!#REF!</xm:f>
          </x14:formula1>
          <xm:sqref>E188</xm:sqref>
        </x14:dataValidation>
        <x14:dataValidation type="list" allowBlank="1" showInputMessage="1" showErrorMessage="1" xr:uid="{5EDD698B-F564-4B8C-96A1-0CFB6454E3D0}">
          <x14:formula1>
            <xm:f>#REF!</xm:f>
          </x14:formula1>
          <xm:sqref>D62:D67 D183 D342:E342 D104:E104 D155 D168:D171 D275:D277 D285:D288 D291 D316 D328 D341 D189:D191 D85 D195 D142 D162 D129:D131 D256:D258 E329:E340 D91:D92 E289:E290 E29:E61 E244:E248 E256:E257 E93:E102 E189:E190 E317:E327 E129 E278:E286 E156:E160 E162:E169 E172:E182 E81:E85 E87:E90 E292:E315 E105:E124 E192:E234 E238:E241 E132:E154 E259:E276 E184:E187 E68:E79</xm:sqref>
        </x14:dataValidation>
        <x14:dataValidation type="list" allowBlank="1" showInputMessage="1" showErrorMessage="1" xr:uid="{232AE31D-1DAE-4D87-AFE1-210E3D5BE6AE}">
          <x14:formula1>
            <xm:f>#REF!</xm:f>
          </x14:formula1>
          <xm:sqref>E62:E67 E287:E288 E328 E155 E258 E341 E277 E170:E171 E183 E291 E316 E191 E195 E142 E162 E130:E131 D90 E91:E92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2B42-C359-44D7-A742-399905C1BEE2}">
  <dimension ref="A1:AW381"/>
  <sheetViews>
    <sheetView topLeftCell="A322" zoomScale="130" zoomScaleNormal="130" workbookViewId="0">
      <selection activeCell="C85" sqref="C85"/>
    </sheetView>
  </sheetViews>
  <sheetFormatPr baseColWidth="10" defaultColWidth="11.42578125" defaultRowHeight="15" x14ac:dyDescent="0.25"/>
  <cols>
    <col min="1" max="1" width="10.140625" customWidth="1"/>
    <col min="2" max="2" width="5" customWidth="1"/>
    <col min="3" max="3" width="58.710937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58.42578125" customWidth="1"/>
    <col min="11" max="11" width="7.42578125" style="26" customWidth="1"/>
    <col min="12" max="12" width="7.5703125" style="26" bestFit="1" customWidth="1"/>
    <col min="13" max="13" width="8.5703125" style="92" customWidth="1"/>
    <col min="14" max="14" width="9.5703125" style="92" customWidth="1"/>
    <col min="15" max="15" width="13.42578125" style="92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6" customFormat="1" ht="23.25" x14ac:dyDescent="0.25">
      <c r="A1" s="292" t="s">
        <v>0</v>
      </c>
      <c r="B1" s="293"/>
      <c r="C1" s="294"/>
      <c r="D1" s="91"/>
      <c r="E1" s="91"/>
      <c r="F1" s="292"/>
      <c r="G1" s="292"/>
      <c r="H1" s="292"/>
      <c r="I1" s="292"/>
      <c r="J1" s="284"/>
      <c r="K1" s="36"/>
      <c r="L1" s="36"/>
      <c r="M1" s="91"/>
      <c r="N1" s="49"/>
      <c r="O1" s="49"/>
      <c r="Q1" s="652" t="s">
        <v>1</v>
      </c>
      <c r="R1" s="652"/>
      <c r="S1" s="652"/>
      <c r="T1" s="652"/>
      <c r="U1" s="652" t="s">
        <v>2</v>
      </c>
      <c r="V1" s="652"/>
      <c r="W1" s="652"/>
      <c r="X1" s="652"/>
      <c r="Y1" s="652" t="s">
        <v>3</v>
      </c>
      <c r="Z1" s="652"/>
      <c r="AA1" s="652"/>
      <c r="AB1" s="652"/>
      <c r="AC1" s="652" t="s">
        <v>4</v>
      </c>
      <c r="AD1" s="652"/>
      <c r="AE1" s="652"/>
      <c r="AF1" s="652"/>
      <c r="AG1" s="652" t="s">
        <v>5</v>
      </c>
      <c r="AH1" s="652"/>
      <c r="AI1" s="652"/>
      <c r="AJ1" s="652"/>
      <c r="AK1" s="652" t="s">
        <v>6</v>
      </c>
      <c r="AL1" s="652"/>
      <c r="AM1" s="652"/>
      <c r="AN1" s="652"/>
      <c r="AO1" s="652" t="s">
        <v>7</v>
      </c>
      <c r="AP1" s="652"/>
      <c r="AQ1" s="652"/>
      <c r="AR1" s="652"/>
      <c r="AS1" s="652" t="s">
        <v>8</v>
      </c>
      <c r="AT1" s="652"/>
      <c r="AU1" s="652"/>
      <c r="AV1" s="652"/>
    </row>
    <row r="2" spans="1:48" s="26" customFormat="1" x14ac:dyDescent="0.25">
      <c r="A2" s="36"/>
      <c r="B2" s="293"/>
      <c r="C2" s="293"/>
      <c r="D2" s="91"/>
      <c r="E2" s="91"/>
      <c r="F2" s="36"/>
      <c r="G2" s="36"/>
      <c r="H2" s="36"/>
      <c r="I2" s="36"/>
      <c r="J2" s="284"/>
      <c r="K2" s="36"/>
      <c r="L2" s="36"/>
      <c r="M2" s="91"/>
      <c r="N2" s="91"/>
      <c r="O2" s="91"/>
      <c r="Q2" s="653" t="s">
        <v>1</v>
      </c>
      <c r="R2" s="653"/>
      <c r="S2" s="653"/>
      <c r="T2" s="653"/>
      <c r="U2" s="653" t="s">
        <v>9</v>
      </c>
      <c r="V2" s="653"/>
      <c r="W2" s="653"/>
      <c r="X2" s="653"/>
      <c r="Y2" s="653" t="s">
        <v>3</v>
      </c>
      <c r="Z2" s="653"/>
      <c r="AA2" s="653"/>
      <c r="AB2" s="653"/>
      <c r="AC2" s="653" t="s">
        <v>10</v>
      </c>
      <c r="AD2" s="653"/>
      <c r="AE2" s="653"/>
      <c r="AF2" s="653"/>
      <c r="AG2" s="653" t="s">
        <v>11</v>
      </c>
      <c r="AH2" s="653"/>
      <c r="AI2" s="653"/>
      <c r="AJ2" s="653"/>
      <c r="AK2" s="653" t="s">
        <v>12</v>
      </c>
      <c r="AL2" s="653"/>
      <c r="AM2" s="653"/>
      <c r="AN2" s="653"/>
      <c r="AO2" s="653" t="s">
        <v>13</v>
      </c>
      <c r="AP2" s="653"/>
      <c r="AQ2" s="653"/>
      <c r="AR2" s="653"/>
      <c r="AS2" s="653" t="s">
        <v>14</v>
      </c>
      <c r="AT2" s="653"/>
      <c r="AU2" s="653"/>
      <c r="AV2" s="653"/>
    </row>
    <row r="3" spans="1:48" s="36" customFormat="1" x14ac:dyDescent="0.25">
      <c r="A3" s="295"/>
      <c r="B3" s="296"/>
      <c r="C3" s="296"/>
      <c r="D3" s="297"/>
      <c r="E3" s="297"/>
      <c r="F3" s="298">
        <v>2020</v>
      </c>
      <c r="G3" s="298">
        <v>46210</v>
      </c>
      <c r="H3" s="298">
        <v>2022</v>
      </c>
      <c r="I3" s="298"/>
      <c r="M3" s="91"/>
      <c r="N3" s="91"/>
      <c r="O3" s="91"/>
      <c r="P3" s="26"/>
      <c r="Q3" s="27">
        <v>2018</v>
      </c>
      <c r="R3" s="27">
        <v>2019</v>
      </c>
      <c r="S3" s="27">
        <v>2020</v>
      </c>
      <c r="T3" s="27">
        <v>2021</v>
      </c>
      <c r="U3" s="27">
        <v>2018</v>
      </c>
      <c r="V3" s="27">
        <v>2019</v>
      </c>
      <c r="W3" s="27">
        <v>2020</v>
      </c>
      <c r="X3" s="27">
        <v>2021</v>
      </c>
      <c r="Y3" s="27">
        <v>2018</v>
      </c>
      <c r="Z3" s="27">
        <v>2019</v>
      </c>
      <c r="AA3" s="27">
        <v>2020</v>
      </c>
      <c r="AB3" s="27">
        <v>2021</v>
      </c>
      <c r="AC3" s="27">
        <v>2018</v>
      </c>
      <c r="AD3" s="27">
        <v>2019</v>
      </c>
      <c r="AE3" s="27">
        <v>2020</v>
      </c>
      <c r="AF3" s="27">
        <v>2021</v>
      </c>
      <c r="AG3" s="27">
        <v>2018</v>
      </c>
      <c r="AH3" s="27">
        <v>2019</v>
      </c>
      <c r="AI3" s="27">
        <v>2020</v>
      </c>
      <c r="AJ3" s="27">
        <v>2021</v>
      </c>
      <c r="AK3" s="27">
        <v>2018</v>
      </c>
      <c r="AL3" s="27">
        <v>2019</v>
      </c>
      <c r="AM3" s="27">
        <v>2020</v>
      </c>
      <c r="AN3" s="27">
        <v>2021</v>
      </c>
      <c r="AO3" s="27">
        <v>2018</v>
      </c>
      <c r="AP3" s="27">
        <v>2019</v>
      </c>
      <c r="AQ3" s="27">
        <v>2020</v>
      </c>
      <c r="AR3" s="27">
        <v>2021</v>
      </c>
      <c r="AS3" s="27">
        <v>2018</v>
      </c>
      <c r="AT3" s="27">
        <v>2019</v>
      </c>
      <c r="AU3" s="27">
        <v>2020</v>
      </c>
      <c r="AV3" s="27">
        <v>2021</v>
      </c>
    </row>
    <row r="4" spans="1:48" s="36" customFormat="1" x14ac:dyDescent="0.25">
      <c r="A4" s="299" t="s">
        <v>15</v>
      </c>
      <c r="B4" s="300"/>
      <c r="C4" s="301"/>
      <c r="D4" s="302"/>
      <c r="E4" s="302"/>
      <c r="F4" s="303">
        <v>4546363</v>
      </c>
      <c r="G4" s="303">
        <v>4546363</v>
      </c>
      <c r="H4" s="303">
        <v>4546363</v>
      </c>
      <c r="I4" s="303">
        <v>4546363</v>
      </c>
      <c r="J4" s="1"/>
      <c r="M4" s="304">
        <v>29670</v>
      </c>
      <c r="N4" s="91">
        <v>13290</v>
      </c>
      <c r="O4" s="91"/>
      <c r="P4" s="27" t="s">
        <v>16</v>
      </c>
      <c r="Q4" s="10" t="e">
        <f>SUMIFS(#REF!,$O:$O,$P$4,$A:$A,$Q$1)</f>
        <v>#REF!</v>
      </c>
      <c r="R4" s="10" t="e">
        <f>SUMIFS(#REF!,$O:$O,$P$4,$A:$A,$Q$1)</f>
        <v>#REF!</v>
      </c>
      <c r="S4" s="10">
        <f>SUMIFS(F:F,$O:$O,$P$4,$A:$A,$Q$1)</f>
        <v>0</v>
      </c>
      <c r="T4" s="10">
        <f>SUMIFS(G:G,$O:$O,$P$4,$A:$A,$Q$1)</f>
        <v>0</v>
      </c>
      <c r="U4" s="10" t="e">
        <f>SUMIFS(#REF!,$O:$O,$P$4,$A:$A,$U$1)</f>
        <v>#REF!</v>
      </c>
      <c r="V4" s="10" t="e">
        <f>SUMIFS(#REF!,$O:$O,$P$4,$A:$A,$U$1)</f>
        <v>#REF!</v>
      </c>
      <c r="W4" s="10">
        <f>SUMIFS(F:F,$O:$O,$P$4,$A:$A,$U$1)</f>
        <v>0</v>
      </c>
      <c r="X4" s="10">
        <f>SUMIFS(G:G,$O:$O,$P$4,$A:$A,$U$1)</f>
        <v>0</v>
      </c>
      <c r="Y4" s="10" t="e">
        <f>SUMIFS(#REF!,$O:$O,$P$4,$A:$A,$Y$1)</f>
        <v>#REF!</v>
      </c>
      <c r="Z4" s="10" t="e">
        <f>SUMIFS(#REF!,$O:$O,$P$4,$A:$A,$Y$1)</f>
        <v>#REF!</v>
      </c>
      <c r="AA4" s="10">
        <f>SUMIFS(F:F,$O:$O,$P$4,$A:$A,$Y$1)</f>
        <v>0</v>
      </c>
      <c r="AB4" s="10">
        <f>SUMIFS(G:G,$O:$O,$P$4,$A:$A,$Y$1)</f>
        <v>0</v>
      </c>
      <c r="AC4" s="10" t="e">
        <f>SUMIFS(#REF!,$O:$O,$P$4,$A:$A,$AC$1)</f>
        <v>#REF!</v>
      </c>
      <c r="AD4" s="10" t="e">
        <f>SUMIFS(#REF!,$O:$O,$P$4,$A:$A,$AC$1)</f>
        <v>#REF!</v>
      </c>
      <c r="AE4" s="10">
        <f>SUMIFS(F:F,$O:$O,$P$4,$A:$A,$AC$1)</f>
        <v>0</v>
      </c>
      <c r="AF4" s="10">
        <f>SUMIFS(G:G,$O:$O,$P$4,$A:$A,$AC$1)</f>
        <v>0</v>
      </c>
      <c r="AG4" s="10" t="e">
        <f>SUMIFS(#REF!,$O:$O,$P$4,$A:$A,$AG$1)</f>
        <v>#REF!</v>
      </c>
      <c r="AH4" s="10" t="e">
        <f>SUMIFS(#REF!,$O:$O,$P$4,$A:$A,$AG$1)</f>
        <v>#REF!</v>
      </c>
      <c r="AI4" s="10">
        <f>SUMIFS(F:F,$O:$O,$P$4,$A:$A,$AG$1)</f>
        <v>0</v>
      </c>
      <c r="AJ4" s="10">
        <f>SUMIFS(G:G,$O:$O,$P$4,$A:$A,$AG$1)</f>
        <v>0</v>
      </c>
      <c r="AK4" s="10" t="e">
        <f>SUMIFS(#REF!,$O:$O,$P$4,$A:$A,$AK$1)</f>
        <v>#REF!</v>
      </c>
      <c r="AL4" s="10" t="e">
        <f>SUMIFS(#REF!,$O:$O,$P$4,$A:$A,$AK$1)</f>
        <v>#REF!</v>
      </c>
      <c r="AM4" s="10">
        <f>SUMIFS(F:F,$O:$O,$P$4,$A:$A,$AK$1)</f>
        <v>0</v>
      </c>
      <c r="AN4" s="10">
        <f>SUMIFS(G:G,$O:$O,$P$4,$A:$A,$AK$1)</f>
        <v>0</v>
      </c>
      <c r="AO4" s="10" t="e">
        <f>SUMIFS(#REF!,$O:$O,$P$4,$A:$A,$AO$1)</f>
        <v>#REF!</v>
      </c>
      <c r="AP4" s="10" t="e">
        <f>SUMIFS(#REF!,$O:$O,$P$4,$A:$A,$AO$1)</f>
        <v>#REF!</v>
      </c>
      <c r="AQ4" s="10">
        <f>SUMIFS(F:F,$O:$O,$P$4,$A:$A,$AO$1)</f>
        <v>0</v>
      </c>
      <c r="AR4" s="10">
        <f>SUMIFS(G:G,$O:$O,$P$4,$A:$A,$AO$1)</f>
        <v>0</v>
      </c>
      <c r="AS4" s="10" t="e">
        <f>SUMIFS(#REF!,$O:$O,$P$4,$A:$A,$AS$1)</f>
        <v>#REF!</v>
      </c>
      <c r="AT4" s="10" t="e">
        <f>SUMIFS(#REF!,$O:$O,$P$4,$A:$A,$AS$1)</f>
        <v>#REF!</v>
      </c>
      <c r="AU4" s="10">
        <f>SUMIFS(F:F,$O:$O,$P$4,$A:$A,$AS$1)</f>
        <v>0</v>
      </c>
      <c r="AV4" s="10">
        <f>SUMIFS(G:G,$O:$O,$P$4,$A:$A,$AS$1)</f>
        <v>0</v>
      </c>
    </row>
    <row r="5" spans="1:48" s="36" customFormat="1" x14ac:dyDescent="0.25">
      <c r="A5" s="36" t="str">
        <f>C62</f>
        <v>SUM SENTRALE INNTEKTER OG FINANSPOSTER</v>
      </c>
      <c r="B5" s="293"/>
      <c r="C5" s="121"/>
      <c r="D5" s="91"/>
      <c r="E5" s="91"/>
      <c r="F5" s="2">
        <f>F62</f>
        <v>-4642102</v>
      </c>
      <c r="G5" s="2">
        <f>G62</f>
        <v>-4698594</v>
      </c>
      <c r="H5" s="2">
        <f>H62</f>
        <v>-4721850</v>
      </c>
      <c r="I5" s="2">
        <f>I62</f>
        <v>-4771950</v>
      </c>
      <c r="M5" s="91">
        <v>9340</v>
      </c>
      <c r="N5" s="91">
        <v>6220</v>
      </c>
      <c r="O5" s="91"/>
      <c r="P5" s="1" t="s">
        <v>17</v>
      </c>
      <c r="Q5" s="10" t="e">
        <f>SUMIFS(#REF!,$M:$M,"VEDTATT",$A:$A,$Q$1)</f>
        <v>#REF!</v>
      </c>
      <c r="R5" s="10" t="e">
        <f>SUMIFS(#REF!,$M:$M,"VEDTATT",$A:$A,$Q$1)</f>
        <v>#REF!</v>
      </c>
      <c r="S5" s="10">
        <f>SUMIFS(F:F,$M:$M,"VEDTATT",$A:$A,$Q$1)</f>
        <v>0</v>
      </c>
      <c r="T5" s="10">
        <f>SUMIFS(G:G,$M:$M,"VEDTATT",$A:$A,$Q$1)</f>
        <v>0</v>
      </c>
      <c r="U5" s="10" t="e">
        <f>SUMIFS(#REF!,$M:$M,"VEDTATT",$A:$A,$U$1)</f>
        <v>#REF!</v>
      </c>
      <c r="V5" s="10" t="e">
        <f>SUMIFS(#REF!,$M:$M,"VEDTATT",$A:$A,$U$1)</f>
        <v>#REF!</v>
      </c>
      <c r="W5" s="10">
        <f>SUMIFS(F:F,$M:$M,"VEDTATT",$A:$A,$U$1)</f>
        <v>0</v>
      </c>
      <c r="X5" s="10">
        <f>SUMIFS(G:G,$M:$M,"VEDTATT",$A:$A,$U$1)</f>
        <v>0</v>
      </c>
      <c r="Y5" s="10" t="e">
        <f>SUMIFS(#REF!,$M:$M,"VEDTATT",$A:$A,$Y$1)</f>
        <v>#REF!</v>
      </c>
      <c r="Z5" s="10" t="e">
        <f>SUMIFS(#REF!,$M:$M,"VEDTATT",$A:$A,$Y$1)</f>
        <v>#REF!</v>
      </c>
      <c r="AA5" s="10">
        <f>SUMIFS(F:F,$M:$M,"VEDTATT",$A:$A,$Y$1)</f>
        <v>0</v>
      </c>
      <c r="AB5" s="10">
        <f>SUMIFS(G:G,$M:$M,"VEDTATT",$A:$A,$Y$1)</f>
        <v>0</v>
      </c>
      <c r="AC5" s="10" t="e">
        <f>SUMIFS(#REF!,$M:$M,"VEDTATT",$A:$A,$AC$1)</f>
        <v>#REF!</v>
      </c>
      <c r="AD5" s="10" t="e">
        <f>SUMIFS(#REF!,$M:$M,"VEDTATT",$A:$A,$AC$1)</f>
        <v>#REF!</v>
      </c>
      <c r="AE5" s="10">
        <f>SUMIFS(F:F,$M:$M,"VEDTATT",$A:$A,$AC$1)</f>
        <v>0</v>
      </c>
      <c r="AF5" s="10">
        <f>SUMIFS(G:G,$M:$M,"VEDTATT",$A:$A,$AC$1)</f>
        <v>0</v>
      </c>
      <c r="AG5" s="10" t="e">
        <f>SUMIFS(#REF!,$M:$M,"VEDTATT",$A:$A,$AG$1)</f>
        <v>#REF!</v>
      </c>
      <c r="AH5" s="10" t="e">
        <f>SUMIFS(#REF!,$M:$M,"VEDTATT",$A:$A,$AG$1)</f>
        <v>#REF!</v>
      </c>
      <c r="AI5" s="10">
        <f>SUMIFS(F:F,$M:$M,"VEDTATT",$A:$A,$AG$1)</f>
        <v>0</v>
      </c>
      <c r="AJ5" s="10">
        <f>SUMIFS(G:G,$M:$M,"VEDTATT",$A:$A,$AG$1)</f>
        <v>0</v>
      </c>
      <c r="AK5" s="10" t="e">
        <f>SUMIFS(#REF!,$M:$M,"VEDTATT",$A:$A,$AK$1)</f>
        <v>#REF!</v>
      </c>
      <c r="AL5" s="10" t="e">
        <f>SUMIFS(#REF!,$M:$M,"VEDTATT",$A:$A,$AK$1)</f>
        <v>#REF!</v>
      </c>
      <c r="AM5" s="10">
        <f>SUMIFS(F:F,$M:$M,"VEDTATT",$A:$A,$AK$1)</f>
        <v>0</v>
      </c>
      <c r="AN5" s="10">
        <f>SUMIFS(G:G,$M:$M,"VEDTATT",$A:$A,$AK$1)</f>
        <v>-800</v>
      </c>
      <c r="AO5" s="10" t="e">
        <f>SUMIFS(#REF!,$M:$M,"VEDTATT",$A:$A,$AO$1)</f>
        <v>#REF!</v>
      </c>
      <c r="AP5" s="10" t="e">
        <f>SUMIFS(#REF!,$M:$M,"VEDTATT",$A:$A,$AO$1)</f>
        <v>#REF!</v>
      </c>
      <c r="AQ5" s="10">
        <f>SUMIFS(F:F,$M:$M,"VEDTATT",$A:$A,$AO$1)</f>
        <v>0</v>
      </c>
      <c r="AR5" s="10">
        <f>SUMIFS(G:G,$M:$M,"VEDTATT",$A:$A,$AO$1)</f>
        <v>0</v>
      </c>
      <c r="AS5" s="10" t="e">
        <f>SUMIFS(#REF!,$M:$M,"VEDTATT",$A:$A,$AS$1)</f>
        <v>#REF!</v>
      </c>
      <c r="AT5" s="10" t="e">
        <f>SUMIFS(#REF!,$M:$M,"VEDTATT",$A:$A,$AS$1)</f>
        <v>#REF!</v>
      </c>
      <c r="AU5" s="10">
        <f>SUMIFS(F:F,$M:$M,"VEDTATT",$A:$A,$AS$1)</f>
        <v>-30224</v>
      </c>
      <c r="AV5" s="10">
        <f>SUMIFS(G:G,$M:$M,"VEDTATT",$A:$A,$AS$1)</f>
        <v>-31269</v>
      </c>
    </row>
    <row r="6" spans="1:48" s="36" customFormat="1" x14ac:dyDescent="0.25">
      <c r="A6" s="305" t="s">
        <v>18</v>
      </c>
      <c r="B6" s="306"/>
      <c r="C6" s="307"/>
      <c r="D6" s="308"/>
      <c r="E6" s="308"/>
      <c r="F6" s="309">
        <f>SUM(F4:F5)</f>
        <v>-95739</v>
      </c>
      <c r="G6" s="309">
        <f>SUM(G4:G5)</f>
        <v>-152231</v>
      </c>
      <c r="H6" s="309">
        <f>SUM(H4:H5)</f>
        <v>-175487</v>
      </c>
      <c r="I6" s="309">
        <f>SUM(I4:I5)</f>
        <v>-225587</v>
      </c>
      <c r="M6" s="91"/>
      <c r="N6" s="91"/>
      <c r="O6" s="91"/>
      <c r="P6" s="27" t="s">
        <v>19</v>
      </c>
      <c r="Q6" s="10" t="e">
        <f>SUMIFS(#REF!,$N:$N,$P$6,$A:$A,$Q$1)</f>
        <v>#REF!</v>
      </c>
      <c r="R6" s="10" t="e">
        <f>SUMIFS(#REF!,$N:$N,$P$6,$A:$A,$Q$1)</f>
        <v>#REF!</v>
      </c>
      <c r="S6" s="10">
        <f>SUMIFS(F:F,$N:$N,$P$6,$A:$A,$Q$1)</f>
        <v>0</v>
      </c>
      <c r="T6" s="10">
        <f>SUMIFS(G:G,$N:$N,$P$6,$A:$A,$Q$1)</f>
        <v>0</v>
      </c>
      <c r="U6" s="10" t="e">
        <f>SUMIFS(#REF!,$N:$N,$P$6,$A:$A,$U$1)</f>
        <v>#REF!</v>
      </c>
      <c r="V6" s="10" t="e">
        <f>SUMIFS(#REF!,$N:$N,$P$6,$A:$A,$U$1)</f>
        <v>#REF!</v>
      </c>
      <c r="W6" s="10">
        <f>SUMIFS(F:F,$N:$N,$P$6,$A:$A,$U$1)</f>
        <v>0</v>
      </c>
      <c r="X6" s="10">
        <f>SUMIFS(G:G,$N:$N,$P$6,$A:$A,$U$1)</f>
        <v>0</v>
      </c>
      <c r="Y6" s="10" t="e">
        <f>SUMIFS(#REF!,$N:$N,$P$6,$A:$A,$Y$1)</f>
        <v>#REF!</v>
      </c>
      <c r="Z6" s="10" t="e">
        <f>SUMIFS(#REF!,$N:$N,$P$6,$A:$A,$Y$1)</f>
        <v>#REF!</v>
      </c>
      <c r="AA6" s="10">
        <f>SUMIFS(F:F,$N:$N,$P$6,$A:$A,$Y$1)</f>
        <v>0</v>
      </c>
      <c r="AB6" s="10">
        <f>SUMIFS(G:G,$N:$N,$P$6,$A:$A,$Y$1)</f>
        <v>0</v>
      </c>
      <c r="AC6" s="10" t="e">
        <f>SUMIFS(#REF!,$N:$N,$P$6,$A:$A,$AC$1)</f>
        <v>#REF!</v>
      </c>
      <c r="AD6" s="10" t="e">
        <f>SUMIFS(#REF!,$N:$N,$P$6,$A:$A,$AC$1)</f>
        <v>#REF!</v>
      </c>
      <c r="AE6" s="10">
        <f>SUMIFS(F:F,$N:$N,$P$6,$A:$A,$AC$1)</f>
        <v>0</v>
      </c>
      <c r="AF6" s="10">
        <f>SUMIFS(G:G,$N:$N,$P$6,$A:$A,$AC$1)</f>
        <v>0</v>
      </c>
      <c r="AG6" s="10" t="e">
        <f>SUMIFS(#REF!,$N:$N,$P$6,$A:$A,$AG$1)</f>
        <v>#REF!</v>
      </c>
      <c r="AH6" s="10" t="e">
        <f>SUMIFS(#REF!,$N:$N,$P$6,$A:$A,$AG$1)</f>
        <v>#REF!</v>
      </c>
      <c r="AI6" s="10">
        <f>SUMIFS(F:F,$N:$N,$P$6,$A:$A,$AG$1)</f>
        <v>0</v>
      </c>
      <c r="AJ6" s="10">
        <f>SUMIFS(G:G,$N:$N,$P$6,$A:$A,$AG$1)</f>
        <v>0</v>
      </c>
      <c r="AK6" s="10" t="e">
        <f>SUMIFS(#REF!,$N:$N,$P$6,$A:$A,$AK$1)</f>
        <v>#REF!</v>
      </c>
      <c r="AL6" s="10" t="e">
        <f>SUMIFS(#REF!,$N:$N,$P$6,$A:$A,$AK$1)</f>
        <v>#REF!</v>
      </c>
      <c r="AM6" s="10">
        <f>SUMIFS(F:F,$N:$N,$P$6,$A:$A,$AK$1)</f>
        <v>0</v>
      </c>
      <c r="AN6" s="10">
        <f>SUMIFS(G:G,$N:$N,$P$6,$A:$A,$AK$1)</f>
        <v>0</v>
      </c>
      <c r="AO6" s="10" t="e">
        <f>SUMIFS(#REF!,$N:$N,$P$6,$A:$A,$AO$1)</f>
        <v>#REF!</v>
      </c>
      <c r="AP6" s="10" t="e">
        <f>SUMIFS(#REF!,$N:$N,$P$6,$A:$A,$AO$1)</f>
        <v>#REF!</v>
      </c>
      <c r="AQ6" s="10">
        <f>SUMIFS(F:F,$N:$N,$P$6,$A:$A,$AO$1)</f>
        <v>-50</v>
      </c>
      <c r="AR6" s="10">
        <f>SUMIFS(G:G,$N:$N,$P$6,$A:$A,$AO$1)</f>
        <v>-50</v>
      </c>
      <c r="AS6" s="10" t="e">
        <f>SUMIFS(#REF!,$N:$N,$P$6,$A:$A,$AS$1)</f>
        <v>#REF!</v>
      </c>
      <c r="AT6" s="10" t="e">
        <f>SUMIFS(#REF!,$N:$N,$P$6,$A:$A,$AS$1)</f>
        <v>#REF!</v>
      </c>
      <c r="AU6" s="10">
        <f>SUMIFS(F:F,$N:$N,$P$6,$A:$A,$AS$1)</f>
        <v>95531</v>
      </c>
      <c r="AV6" s="10">
        <f>SUMIFS(G:G,$N:$N,$P$6,$A:$A,$AS$1)</f>
        <v>97711</v>
      </c>
    </row>
    <row r="7" spans="1:48" s="36" customFormat="1" x14ac:dyDescent="0.25">
      <c r="A7" s="310"/>
      <c r="B7" s="300"/>
      <c r="C7" s="300"/>
      <c r="D7" s="302"/>
      <c r="E7" s="302"/>
      <c r="F7" s="311"/>
      <c r="G7" s="311"/>
      <c r="H7" s="311"/>
      <c r="I7" s="311"/>
      <c r="M7" s="91"/>
      <c r="N7" s="91"/>
      <c r="O7" s="91"/>
      <c r="P7" s="27" t="s">
        <v>20</v>
      </c>
      <c r="Q7" s="10" t="e">
        <f>SUMIFS(#REF!,$O:$O,$P$7,$A:$A,$Q$1)</f>
        <v>#REF!</v>
      </c>
      <c r="R7" s="10" t="e">
        <f>SUMIFS(#REF!,$O:$O,$P$7,$A:$A,$Q$1)</f>
        <v>#REF!</v>
      </c>
      <c r="S7" s="10">
        <f>SUMIFS(F:F,$O:$O,$P$7,$A:$A,$Q$1)</f>
        <v>0</v>
      </c>
      <c r="T7" s="10">
        <f>SUMIFS(G:G,$O:$O,$P$7,$A:$A,$Q$1)</f>
        <v>0</v>
      </c>
      <c r="U7" s="10" t="e">
        <f>SUMIFS(#REF!,$O:$O,$P$7,$A:$A,$U$1)</f>
        <v>#REF!</v>
      </c>
      <c r="V7" s="10" t="e">
        <f>SUMIFS(#REF!,$O:$O,$P$7,$A:$A,$U$1)</f>
        <v>#REF!</v>
      </c>
      <c r="W7" s="10">
        <f>SUMIFS(F:F,$O:$O,$P$7,$A:$A,$U$1)</f>
        <v>0</v>
      </c>
      <c r="X7" s="10">
        <f>SUMIFS(G:G,$O:$O,$P$7,$A:$A,$U$1)</f>
        <v>0</v>
      </c>
      <c r="Y7" s="10" t="e">
        <f>SUMIFS(#REF!,$O:$O,$P$7,$A:$A,$Y$1)</f>
        <v>#REF!</v>
      </c>
      <c r="Z7" s="10" t="e">
        <f>SUMIFS(#REF!,$O:$O,$P$7,$A:$A,$Y$1)</f>
        <v>#REF!</v>
      </c>
      <c r="AA7" s="10">
        <f>SUMIFS(F:F,$O:$O,$P$7,$A:$A,$Y$1)</f>
        <v>0</v>
      </c>
      <c r="AB7" s="10">
        <f>SUMIFS(G:G,$O:$O,$P$7,$A:$A,$Y$1)</f>
        <v>0</v>
      </c>
      <c r="AC7" s="10" t="e">
        <f>SUMIFS(#REF!,$O:$O,$P$7,$A:$A,$AC$1)</f>
        <v>#REF!</v>
      </c>
      <c r="AD7" s="10" t="e">
        <f>SUMIFS(#REF!,$O:$O,$P$7,$A:$A,$AC$1)</f>
        <v>#REF!</v>
      </c>
      <c r="AE7" s="10">
        <f>SUMIFS(F:F,$O:$O,$P$7,$A:$A,$AC$1)</f>
        <v>0</v>
      </c>
      <c r="AF7" s="10">
        <f>SUMIFS(G:G,$O:$O,$P$7,$A:$A,$AC$1)</f>
        <v>0</v>
      </c>
      <c r="AG7" s="10" t="e">
        <f>SUMIFS(#REF!,$O:$O,$P$7,$A:$A,$AG$1)</f>
        <v>#REF!</v>
      </c>
      <c r="AH7" s="10" t="e">
        <f>SUMIFS(#REF!,$O:$O,$P$7,$A:$A,$AG$1)</f>
        <v>#REF!</v>
      </c>
      <c r="AI7" s="10">
        <f>SUMIFS(F:F,$O:$O,$P$7,$A:$A,$AG$1)</f>
        <v>0</v>
      </c>
      <c r="AJ7" s="10">
        <f>SUMIFS(G:G,$O:$O,$P$7,$A:$A,$AG$1)</f>
        <v>0</v>
      </c>
      <c r="AK7" s="10" t="e">
        <f>SUMIFS(#REF!,$O:$O,$P$7,$A:$A,$AK$1)</f>
        <v>#REF!</v>
      </c>
      <c r="AL7" s="10" t="e">
        <f>SUMIFS(#REF!,$O:$O,$P$7,$A:$A,$AK$1)</f>
        <v>#REF!</v>
      </c>
      <c r="AM7" s="10">
        <f>SUMIFS(F:F,$O:$O,$P$7,$A:$A,$AK$1)</f>
        <v>0</v>
      </c>
      <c r="AN7" s="10">
        <f>SUMIFS(G:G,$O:$O,$P$7,$A:$A,$AK$1)</f>
        <v>0</v>
      </c>
      <c r="AO7" s="10" t="e">
        <f>SUMIFS(#REF!,$O:$O,$P$7,$A:$A,$AO$1)</f>
        <v>#REF!</v>
      </c>
      <c r="AP7" s="10" t="e">
        <f>SUMIFS(#REF!,$O:$O,$P$7,$A:$A,$AO$1)</f>
        <v>#REF!</v>
      </c>
      <c r="AQ7" s="10">
        <f>SUMIFS(F:F,$O:$O,$P$7,$A:$A,$AO$1)</f>
        <v>0</v>
      </c>
      <c r="AR7" s="10">
        <f>SUMIFS(G:G,$O:$O,$P$7,$A:$A,$AO$1)</f>
        <v>0</v>
      </c>
      <c r="AS7" s="10" t="e">
        <f>SUMIFS(#REF!,$O:$O,$P$7,$A:$A,$AS$1)</f>
        <v>#REF!</v>
      </c>
      <c r="AT7" s="10" t="e">
        <f>SUMIFS(#REF!,$O:$O,$P$7,$A:$A,$AS$1)</f>
        <v>#REF!</v>
      </c>
      <c r="AU7" s="10">
        <f>SUMIFS(F:F,$O:$O,$P$7,$A:$A,$AS$1)</f>
        <v>0</v>
      </c>
      <c r="AV7" s="10">
        <f>SUMIFS(G:G,$O:$O,$P$7,$A:$A,$AS$1)</f>
        <v>0</v>
      </c>
    </row>
    <row r="8" spans="1:48" s="36" customFormat="1" x14ac:dyDescent="0.25">
      <c r="A8" s="312" t="s">
        <v>21</v>
      </c>
      <c r="B8" s="205"/>
      <c r="C8" s="205"/>
      <c r="D8" s="313"/>
      <c r="E8" s="313"/>
      <c r="F8" s="37">
        <f>SUMIF($D:$D,"ØP 21-24",F:F)</f>
        <v>-15291</v>
      </c>
      <c r="G8" s="37">
        <f>SUMIF($D:$D,"ØP 21-24",G:G)</f>
        <v>-5786</v>
      </c>
      <c r="H8" s="37">
        <f>SUMIF($D:$D,"ØP 21-24",H:H)</f>
        <v>6091.5833333333321</v>
      </c>
      <c r="I8" s="37">
        <f>SUMIF($D:$D,"ØP 21-24",I:I)</f>
        <v>30460</v>
      </c>
      <c r="M8" s="91"/>
      <c r="N8" s="49"/>
      <c r="O8" s="49"/>
      <c r="P8" s="26" t="s">
        <v>22</v>
      </c>
      <c r="Q8" s="231" t="e">
        <f t="shared" ref="Q8:AV8" si="0">SUBTOTAL(9,Q4:Q7)</f>
        <v>#REF!</v>
      </c>
      <c r="R8" s="231" t="e">
        <f t="shared" si="0"/>
        <v>#REF!</v>
      </c>
      <c r="S8" s="231">
        <f t="shared" si="0"/>
        <v>0</v>
      </c>
      <c r="T8" s="231">
        <f t="shared" si="0"/>
        <v>0</v>
      </c>
      <c r="U8" s="231" t="e">
        <f t="shared" si="0"/>
        <v>#REF!</v>
      </c>
      <c r="V8" s="231" t="e">
        <f t="shared" si="0"/>
        <v>#REF!</v>
      </c>
      <c r="W8" s="231">
        <f t="shared" si="0"/>
        <v>0</v>
      </c>
      <c r="X8" s="231">
        <f t="shared" si="0"/>
        <v>0</v>
      </c>
      <c r="Y8" s="231" t="e">
        <f t="shared" si="0"/>
        <v>#REF!</v>
      </c>
      <c r="Z8" s="231" t="e">
        <f t="shared" si="0"/>
        <v>#REF!</v>
      </c>
      <c r="AA8" s="231">
        <f t="shared" si="0"/>
        <v>0</v>
      </c>
      <c r="AB8" s="231">
        <f t="shared" si="0"/>
        <v>0</v>
      </c>
      <c r="AC8" s="231" t="e">
        <f t="shared" si="0"/>
        <v>#REF!</v>
      </c>
      <c r="AD8" s="231" t="e">
        <f t="shared" si="0"/>
        <v>#REF!</v>
      </c>
      <c r="AE8" s="231">
        <f t="shared" si="0"/>
        <v>0</v>
      </c>
      <c r="AF8" s="231">
        <f t="shared" si="0"/>
        <v>0</v>
      </c>
      <c r="AG8" s="231" t="e">
        <f t="shared" si="0"/>
        <v>#REF!</v>
      </c>
      <c r="AH8" s="231" t="e">
        <f t="shared" si="0"/>
        <v>#REF!</v>
      </c>
      <c r="AI8" s="231">
        <f t="shared" si="0"/>
        <v>0</v>
      </c>
      <c r="AJ8" s="231">
        <f t="shared" si="0"/>
        <v>0</v>
      </c>
      <c r="AK8" s="231" t="e">
        <f t="shared" si="0"/>
        <v>#REF!</v>
      </c>
      <c r="AL8" s="231" t="e">
        <f t="shared" si="0"/>
        <v>#REF!</v>
      </c>
      <c r="AM8" s="231">
        <f t="shared" si="0"/>
        <v>0</v>
      </c>
      <c r="AN8" s="231">
        <f t="shared" si="0"/>
        <v>-800</v>
      </c>
      <c r="AO8" s="231" t="e">
        <f t="shared" si="0"/>
        <v>#REF!</v>
      </c>
      <c r="AP8" s="231" t="e">
        <f t="shared" si="0"/>
        <v>#REF!</v>
      </c>
      <c r="AQ8" s="231">
        <f t="shared" si="0"/>
        <v>-50</v>
      </c>
      <c r="AR8" s="231">
        <f t="shared" si="0"/>
        <v>-50</v>
      </c>
      <c r="AS8" s="231" t="e">
        <f t="shared" si="0"/>
        <v>#REF!</v>
      </c>
      <c r="AT8" s="231" t="e">
        <f t="shared" si="0"/>
        <v>#REF!</v>
      </c>
      <c r="AU8" s="231">
        <f t="shared" si="0"/>
        <v>65307</v>
      </c>
      <c r="AV8" s="231">
        <f t="shared" si="0"/>
        <v>66442</v>
      </c>
    </row>
    <row r="9" spans="1:48" s="36" customFormat="1" x14ac:dyDescent="0.25">
      <c r="A9" s="314" t="s">
        <v>23</v>
      </c>
      <c r="B9" s="315"/>
      <c r="C9" s="315"/>
      <c r="D9" s="316"/>
      <c r="E9" s="316"/>
      <c r="F9" s="265">
        <f>SUMIF($D:$D,"ØP 21-24 REKALK",F:F)</f>
        <v>36496</v>
      </c>
      <c r="G9" s="265">
        <f>SUMIF($D:$D,"ØP 21-24 REKALK",G:G)</f>
        <v>51274</v>
      </c>
      <c r="H9" s="265">
        <f>SUMIF($D:$D,"ØP 21-24 REKALK",H:H)</f>
        <v>62419</v>
      </c>
      <c r="I9" s="265">
        <f>SUMIF($D:$D,"ØP 21-24 REKALK",I:I)</f>
        <v>62419</v>
      </c>
      <c r="M9" s="91"/>
      <c r="N9" s="49"/>
      <c r="O9" s="49"/>
      <c r="P9" s="26"/>
    </row>
    <row r="10" spans="1:48" s="36" customFormat="1" x14ac:dyDescent="0.25">
      <c r="A10" s="317" t="s">
        <v>24</v>
      </c>
      <c r="B10" s="318"/>
      <c r="C10" s="318"/>
      <c r="D10" s="319"/>
      <c r="E10" s="319"/>
      <c r="F10" s="320">
        <f>F6+F8+F9</f>
        <v>-74534</v>
      </c>
      <c r="G10" s="320">
        <f>G6+G8+G9</f>
        <v>-106743</v>
      </c>
      <c r="H10" s="320">
        <f>H6+H8+H9</f>
        <v>-106976.41666666666</v>
      </c>
      <c r="I10" s="320">
        <f>I6+I8+I9</f>
        <v>-132708</v>
      </c>
      <c r="M10" s="91"/>
      <c r="N10" s="49"/>
      <c r="O10" s="49"/>
      <c r="P10" s="26"/>
    </row>
    <row r="11" spans="1:48" s="26" customFormat="1" x14ac:dyDescent="0.25">
      <c r="A11" s="36"/>
      <c r="B11" s="293"/>
      <c r="C11" s="293"/>
      <c r="D11" s="91"/>
      <c r="E11" s="91"/>
      <c r="F11" s="2"/>
      <c r="G11" s="2"/>
      <c r="H11" s="2"/>
      <c r="I11" s="2"/>
      <c r="J11" s="36"/>
      <c r="K11" s="36"/>
      <c r="L11" s="36"/>
      <c r="M11" s="91"/>
      <c r="N11" s="49"/>
      <c r="O11" s="49"/>
      <c r="Q11" s="93"/>
      <c r="R11" s="93"/>
      <c r="S11" s="93"/>
      <c r="T11" s="93"/>
    </row>
    <row r="12" spans="1:48" s="26" customFormat="1" x14ac:dyDescent="0.25">
      <c r="A12" s="310" t="s">
        <v>25</v>
      </c>
      <c r="B12" s="293"/>
      <c r="C12" s="293"/>
      <c r="D12" s="91"/>
      <c r="E12" s="91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6"/>
      <c r="K12" s="36"/>
      <c r="L12" s="36"/>
      <c r="M12" s="91"/>
      <c r="N12" s="49"/>
      <c r="O12" s="49"/>
      <c r="Q12" s="93"/>
      <c r="R12" s="93"/>
      <c r="S12" s="93"/>
      <c r="T12" s="93"/>
    </row>
    <row r="13" spans="1:48" s="36" customFormat="1" x14ac:dyDescent="0.25">
      <c r="A13" s="314" t="s">
        <v>26</v>
      </c>
      <c r="B13" s="315"/>
      <c r="C13" s="315"/>
      <c r="D13" s="316"/>
      <c r="E13" s="316"/>
      <c r="F13" s="265">
        <f>SUMIFS(F:F,$D:$D,"NYTT",$E:$E,"MÅ")</f>
        <v>156622</v>
      </c>
      <c r="G13" s="265">
        <f>SUMIFS(G:G,$D:$D,"NYTT",$E:$E,"MÅ")</f>
        <v>160962</v>
      </c>
      <c r="H13" s="265">
        <f>SUMIFS(H:H,$D:$D,"NYTT",$E:$E,"MÅ")</f>
        <v>148422</v>
      </c>
      <c r="I13" s="265">
        <f>SUMIFS(I:I,$D:$D,"NYTT",$E:$E,"MÅ")</f>
        <v>152012</v>
      </c>
      <c r="M13" s="91"/>
      <c r="N13" s="49"/>
      <c r="O13" s="49"/>
      <c r="P13" s="27" t="s">
        <v>16</v>
      </c>
      <c r="Q13" s="93" t="e">
        <f t="shared" ref="Q13:T17" si="1">Q4+U4+Y4+AC4+AG4+AK4+AO4+AS4</f>
        <v>#REF!</v>
      </c>
      <c r="R13" s="93" t="e">
        <f t="shared" si="1"/>
        <v>#REF!</v>
      </c>
      <c r="S13" s="93">
        <f t="shared" si="1"/>
        <v>0</v>
      </c>
      <c r="T13" s="93">
        <f t="shared" si="1"/>
        <v>0</v>
      </c>
    </row>
    <row r="14" spans="1:48" s="36" customFormat="1" x14ac:dyDescent="0.25">
      <c r="A14" s="305" t="s">
        <v>27</v>
      </c>
      <c r="B14" s="307"/>
      <c r="C14" s="307"/>
      <c r="D14" s="321"/>
      <c r="E14" s="321"/>
      <c r="F14" s="322">
        <f>F6+F8+F9+F12+F13</f>
        <v>82088</v>
      </c>
      <c r="G14" s="322">
        <f>G6+G8+G9+G12+G13</f>
        <v>54219</v>
      </c>
      <c r="H14" s="322">
        <f>H6+H8+H9+H12+H13</f>
        <v>41445.583333333343</v>
      </c>
      <c r="I14" s="322">
        <f>I6+I8+I9+I12+I13</f>
        <v>19304</v>
      </c>
      <c r="M14" s="91"/>
      <c r="N14" s="49"/>
      <c r="O14" s="49"/>
      <c r="P14" s="1" t="s">
        <v>17</v>
      </c>
      <c r="Q14" s="93" t="e">
        <f t="shared" si="1"/>
        <v>#REF!</v>
      </c>
      <c r="R14" s="93" t="e">
        <f t="shared" si="1"/>
        <v>#REF!</v>
      </c>
      <c r="S14" s="93">
        <f t="shared" si="1"/>
        <v>-30224</v>
      </c>
      <c r="T14" s="93">
        <f t="shared" si="1"/>
        <v>-32069</v>
      </c>
    </row>
    <row r="15" spans="1:48" s="36" customFormat="1" x14ac:dyDescent="0.25">
      <c r="A15" s="310"/>
      <c r="B15" s="300"/>
      <c r="C15" s="300"/>
      <c r="D15" s="302"/>
      <c r="E15" s="302"/>
      <c r="F15" s="311"/>
      <c r="G15" s="311"/>
      <c r="H15" s="311"/>
      <c r="I15" s="311"/>
      <c r="M15" s="91"/>
      <c r="N15" s="49"/>
      <c r="O15" s="49"/>
      <c r="P15" s="27" t="s">
        <v>19</v>
      </c>
      <c r="Q15" s="93" t="e">
        <f t="shared" si="1"/>
        <v>#REF!</v>
      </c>
      <c r="R15" s="93" t="e">
        <f t="shared" si="1"/>
        <v>#REF!</v>
      </c>
      <c r="S15" s="93">
        <f t="shared" si="1"/>
        <v>95481</v>
      </c>
      <c r="T15" s="93">
        <f t="shared" si="1"/>
        <v>97661</v>
      </c>
    </row>
    <row r="16" spans="1:48" s="36" customFormat="1" x14ac:dyDescent="0.25">
      <c r="A16" s="312" t="s">
        <v>28</v>
      </c>
      <c r="B16" s="205"/>
      <c r="C16" s="205"/>
      <c r="D16" s="313"/>
      <c r="E16" s="313"/>
      <c r="F16" s="37">
        <f>SUMIF($D:$D,"NYTT",F:F)-F17-F13-F12</f>
        <v>135451</v>
      </c>
      <c r="G16" s="37">
        <f>SUMIF($D:$D,"NYTT",G:G)-G17-G13-G12</f>
        <v>141583</v>
      </c>
      <c r="H16" s="37">
        <f>SUMIF($D:$D,"NYTT",H:H)-H17-H13-H12</f>
        <v>146683</v>
      </c>
      <c r="I16" s="37">
        <f>SUMIF($D:$D,"NYTT",I:I)-I17-I13-I12</f>
        <v>145683</v>
      </c>
      <c r="M16" s="91"/>
      <c r="N16" s="49"/>
      <c r="O16" s="49"/>
      <c r="P16" s="27" t="s">
        <v>20</v>
      </c>
      <c r="Q16" s="93" t="e">
        <f t="shared" si="1"/>
        <v>#REF!</v>
      </c>
      <c r="R16" s="93" t="e">
        <f t="shared" si="1"/>
        <v>#REF!</v>
      </c>
      <c r="S16" s="93">
        <f t="shared" si="1"/>
        <v>0</v>
      </c>
      <c r="T16" s="93">
        <f t="shared" si="1"/>
        <v>0</v>
      </c>
    </row>
    <row r="17" spans="1:49" s="36" customFormat="1" x14ac:dyDescent="0.25">
      <c r="A17" s="323" t="s">
        <v>29</v>
      </c>
      <c r="B17" s="205"/>
      <c r="C17" s="324"/>
      <c r="D17" s="313"/>
      <c r="E17" s="313"/>
      <c r="F17" s="325">
        <f>SUMIFS(F:F,$D:$D,"NYTT",$E:$E,"IKKE PRI")</f>
        <v>14219</v>
      </c>
      <c r="G17" s="325">
        <f>SUMIFS(G:G,$D:$D,"NYTT",$E:$E,"IKKE PRI")</f>
        <v>6149</v>
      </c>
      <c r="H17" s="325">
        <f>SUMIFS(H:H,$D:$D,"NYTT",$E:$E,"IKKE PRI")</f>
        <v>6449</v>
      </c>
      <c r="I17" s="325">
        <f>SUMIFS(I:I,$D:$D,"NYTT",$E:$E,"IKKE PRI")</f>
        <v>6449</v>
      </c>
      <c r="M17" s="91"/>
      <c r="N17" s="49"/>
      <c r="O17" s="49"/>
      <c r="P17" s="26" t="s">
        <v>22</v>
      </c>
      <c r="Q17" s="93" t="e">
        <f t="shared" si="1"/>
        <v>#REF!</v>
      </c>
      <c r="R17" s="93" t="e">
        <f t="shared" si="1"/>
        <v>#REF!</v>
      </c>
      <c r="S17" s="93">
        <f t="shared" si="1"/>
        <v>65257</v>
      </c>
      <c r="T17" s="93">
        <f t="shared" si="1"/>
        <v>65592</v>
      </c>
    </row>
    <row r="18" spans="1:49" s="36" customFormat="1" x14ac:dyDescent="0.25">
      <c r="A18" s="323"/>
      <c r="B18" s="205"/>
      <c r="C18" s="324"/>
      <c r="D18" s="313"/>
      <c r="E18" s="313"/>
      <c r="F18" s="290">
        <f>(F8+F9+F13+F16+F17+F12)-SUMIF($B:$B,"X",F:F)</f>
        <v>0</v>
      </c>
      <c r="G18" s="290">
        <f>(G8+G9+G13+G16+G17+G12)-SUMIF($B:$B,"X",G:G)</f>
        <v>0</v>
      </c>
      <c r="H18" s="290">
        <f>(H8+H9+H13+H16+H17+H12)-SUMIF($B:$B,"X",H:H)</f>
        <v>0</v>
      </c>
      <c r="I18" s="290">
        <f>(I8+I9+I13+I16+I17+I12)-SUMIF($B:$B,"X",I:I)</f>
        <v>0</v>
      </c>
      <c r="M18" s="91"/>
      <c r="N18" s="49"/>
      <c r="O18" s="49"/>
      <c r="P18" s="26"/>
    </row>
    <row r="19" spans="1:49" s="36" customFormat="1" x14ac:dyDescent="0.25">
      <c r="A19" s="326"/>
      <c r="B19" s="327"/>
      <c r="C19" s="296"/>
      <c r="D19" s="328"/>
      <c r="E19" s="328"/>
      <c r="F19" s="329"/>
      <c r="G19" s="329"/>
      <c r="H19" s="329"/>
      <c r="I19" s="329"/>
      <c r="M19" s="91"/>
      <c r="N19" s="49"/>
      <c r="O19" s="49"/>
      <c r="P19" s="26"/>
    </row>
    <row r="20" spans="1:49" s="36" customFormat="1" x14ac:dyDescent="0.25">
      <c r="A20" s="330"/>
      <c r="B20" s="293"/>
      <c r="C20" s="331"/>
      <c r="D20" s="91"/>
      <c r="E20" s="91"/>
      <c r="F20" s="332">
        <f>F8+F9+F13+F12</f>
        <v>177827</v>
      </c>
      <c r="G20" s="332">
        <f>G8+G9+G13+G12</f>
        <v>206450</v>
      </c>
      <c r="H20" s="332">
        <f>H8+H9+H13+H12</f>
        <v>216932.58333333331</v>
      </c>
      <c r="I20" s="332">
        <f>I8+I9+I13+I12</f>
        <v>244891</v>
      </c>
      <c r="M20" s="91"/>
      <c r="N20" s="49"/>
      <c r="O20" s="49"/>
      <c r="P20" s="26"/>
    </row>
    <row r="21" spans="1:49" s="36" customFormat="1" x14ac:dyDescent="0.25">
      <c r="A21" s="330"/>
      <c r="B21" s="293"/>
      <c r="C21" s="331"/>
      <c r="D21" s="91"/>
      <c r="E21" s="91"/>
      <c r="F21" s="332"/>
      <c r="G21" s="332"/>
      <c r="H21" s="332"/>
      <c r="I21" s="332"/>
      <c r="M21" s="91"/>
      <c r="N21" s="49"/>
      <c r="O21" s="49"/>
      <c r="P21" s="26"/>
    </row>
    <row r="22" spans="1:49" s="36" customFormat="1" hidden="1" x14ac:dyDescent="0.25">
      <c r="A22" s="190" t="s">
        <v>30</v>
      </c>
      <c r="B22" s="333"/>
      <c r="C22" s="234"/>
      <c r="D22" s="235"/>
      <c r="E22" s="235"/>
      <c r="F22" s="191"/>
      <c r="G22" s="191"/>
      <c r="H22" s="191"/>
      <c r="I22" s="191"/>
      <c r="J22" s="26"/>
      <c r="K22" s="26"/>
      <c r="L22" s="26"/>
      <c r="M22" s="49"/>
      <c r="N22" s="49"/>
      <c r="O22" s="49"/>
      <c r="P22" s="26"/>
    </row>
    <row r="23" spans="1:49" s="123" customFormat="1" hidden="1" x14ac:dyDescent="0.25">
      <c r="A23" s="192" t="s">
        <v>31</v>
      </c>
      <c r="B23" s="236"/>
      <c r="C23" s="193"/>
      <c r="D23" s="237"/>
      <c r="E23" s="237"/>
      <c r="F23" s="194">
        <f>SUMIF($N:$N,"FOND",F:F)</f>
        <v>0</v>
      </c>
      <c r="G23" s="194">
        <f>SUMIF($N:$N,"FOND",G:G)</f>
        <v>0</v>
      </c>
      <c r="H23" s="194">
        <f>SUMIF($N:$N,"FOND",H:H)</f>
        <v>0</v>
      </c>
      <c r="I23" s="194">
        <f>SUMIF($N:$N,"FOND",I:I)</f>
        <v>0</v>
      </c>
      <c r="J23" s="238"/>
      <c r="K23" s="238"/>
      <c r="L23" s="238"/>
      <c r="M23" s="239"/>
      <c r="N23" s="239"/>
      <c r="O23" s="239"/>
      <c r="P23" s="238"/>
      <c r="AW23" s="36"/>
    </row>
    <row r="24" spans="1:49" s="36" customFormat="1" hidden="1" x14ac:dyDescent="0.25">
      <c r="A24" s="195" t="s">
        <v>32</v>
      </c>
      <c r="B24" s="333"/>
      <c r="C24" s="234"/>
      <c r="D24" s="235"/>
      <c r="E24" s="235"/>
      <c r="F24" s="196">
        <f>SUBTOTAL(9,F22:F23)</f>
        <v>0</v>
      </c>
      <c r="G24" s="196">
        <f>SUBTOTAL(9,G22:G23)</f>
        <v>0</v>
      </c>
      <c r="H24" s="196">
        <f>SUBTOTAL(9,H22:H23)</f>
        <v>0</v>
      </c>
      <c r="I24" s="196">
        <f>SUBTOTAL(9,I22:I23)</f>
        <v>0</v>
      </c>
      <c r="J24" s="26"/>
      <c r="K24" s="26"/>
      <c r="L24" s="26"/>
      <c r="M24" s="49"/>
      <c r="N24" s="49"/>
      <c r="O24" s="49"/>
      <c r="P24" s="26"/>
    </row>
    <row r="25" spans="1:49" s="36" customFormat="1" x14ac:dyDescent="0.25">
      <c r="A25" s="26"/>
      <c r="B25" s="9"/>
      <c r="C25" s="9"/>
      <c r="D25" s="240"/>
      <c r="E25" s="240"/>
      <c r="F25" s="334">
        <f>(F8+F9+F13+F16+F17+F12)-SUMIF($B:$B,"X",F:F)</f>
        <v>0</v>
      </c>
      <c r="G25" s="334">
        <f>(G8+G9+G13+G16+G17+G12)-SUMIF($B:$B,"X",G:G)</f>
        <v>0</v>
      </c>
      <c r="H25" s="334">
        <f>(H8+H9+H13+H16+H17+H12)-SUMIF($B:$B,"X",H:H)</f>
        <v>0</v>
      </c>
      <c r="I25" s="334">
        <f>(I8+I9+I13+I16+I17+I12)-SUMIF($B:$B,"X",I:I)</f>
        <v>0</v>
      </c>
      <c r="J25" s="26"/>
      <c r="K25" s="26"/>
      <c r="L25" s="26"/>
      <c r="M25" s="49"/>
      <c r="N25" s="49"/>
      <c r="O25" s="49"/>
      <c r="P25" s="26"/>
    </row>
    <row r="26" spans="1:49" s="36" customFormat="1" x14ac:dyDescent="0.25">
      <c r="A26" s="4" t="s">
        <v>33</v>
      </c>
      <c r="B26" s="5" t="s">
        <v>34</v>
      </c>
      <c r="C26" s="3" t="s">
        <v>35</v>
      </c>
      <c r="D26" s="6" t="s">
        <v>36</v>
      </c>
      <c r="E26" s="44" t="s">
        <v>37</v>
      </c>
      <c r="F26" s="4">
        <v>2022</v>
      </c>
      <c r="G26" s="4">
        <v>2023</v>
      </c>
      <c r="H26" s="4">
        <v>2024</v>
      </c>
      <c r="I26" s="4">
        <v>2025</v>
      </c>
      <c r="J26" s="4" t="s">
        <v>38</v>
      </c>
      <c r="K26" s="26" t="s">
        <v>39</v>
      </c>
      <c r="L26" s="26" t="s">
        <v>40</v>
      </c>
      <c r="M26" s="49"/>
      <c r="N26" s="49"/>
      <c r="O26" s="49"/>
      <c r="P26" s="26"/>
    </row>
    <row r="27" spans="1:49" s="36" customFormat="1" x14ac:dyDescent="0.25">
      <c r="A27" s="232"/>
      <c r="B27" s="9"/>
      <c r="C27" s="15"/>
      <c r="D27" s="49"/>
      <c r="E27" s="84" t="s">
        <v>41</v>
      </c>
      <c r="F27" s="233">
        <v>-2691000</v>
      </c>
      <c r="G27" s="233">
        <v>-2721000</v>
      </c>
      <c r="H27" s="233">
        <v>-2752000</v>
      </c>
      <c r="I27" s="233"/>
      <c r="J27" s="37"/>
      <c r="K27" s="26"/>
      <c r="L27" s="26"/>
      <c r="M27" s="26"/>
      <c r="N27" s="26"/>
      <c r="O27" s="26"/>
      <c r="P27" s="26"/>
      <c r="R27" s="233"/>
      <c r="S27" s="233"/>
      <c r="T27" s="233"/>
    </row>
    <row r="28" spans="1:49" s="36" customFormat="1" x14ac:dyDescent="0.25">
      <c r="A28" s="13"/>
      <c r="B28" s="42"/>
      <c r="C28" s="14" t="s">
        <v>42</v>
      </c>
      <c r="D28" s="39"/>
      <c r="E28" s="85" t="s">
        <v>43</v>
      </c>
      <c r="F28" s="83">
        <v>-1958000</v>
      </c>
      <c r="G28" s="83">
        <v>-1989000</v>
      </c>
      <c r="H28" s="83">
        <v>-2013000</v>
      </c>
      <c r="I28" s="83"/>
      <c r="J28" s="37"/>
      <c r="K28" s="335"/>
      <c r="L28" s="335"/>
      <c r="M28" s="75"/>
      <c r="N28" s="241"/>
      <c r="O28" s="241"/>
      <c r="P28" s="241"/>
      <c r="Q28" s="241"/>
      <c r="R28" s="83"/>
      <c r="S28" s="83"/>
      <c r="T28" s="83"/>
    </row>
    <row r="29" spans="1:49" s="36" customFormat="1" x14ac:dyDescent="0.25">
      <c r="A29" s="76" t="s">
        <v>44</v>
      </c>
      <c r="B29" s="336" t="str">
        <f t="shared" ref="B29:B47" si="2">IF(L29,K29&amp;L29,"")</f>
        <v>I1</v>
      </c>
      <c r="C29" s="96" t="s">
        <v>45</v>
      </c>
      <c r="D29" s="77" t="s">
        <v>44</v>
      </c>
      <c r="E29" s="77" t="s">
        <v>46</v>
      </c>
      <c r="F29" s="88">
        <v>-2781000</v>
      </c>
      <c r="G29" s="88">
        <v>-2811000</v>
      </c>
      <c r="H29" s="88">
        <v>-2842000</v>
      </c>
      <c r="I29" s="88">
        <v>-2873000</v>
      </c>
      <c r="J29" s="290" t="s">
        <v>383</v>
      </c>
      <c r="K29" s="26" t="s">
        <v>48</v>
      </c>
      <c r="L29" s="26">
        <f t="shared" ref="L29:L47" si="3">L28+1</f>
        <v>1</v>
      </c>
      <c r="M29" s="197"/>
      <c r="N29" s="198"/>
      <c r="O29" s="198"/>
      <c r="P29" s="26"/>
      <c r="R29" s="88"/>
      <c r="S29" s="88"/>
      <c r="T29" s="88"/>
      <c r="U29" s="88"/>
      <c r="V29" s="93"/>
    </row>
    <row r="30" spans="1:49" s="36" customFormat="1" x14ac:dyDescent="0.25">
      <c r="A30" s="76" t="s">
        <v>44</v>
      </c>
      <c r="B30" s="336" t="str">
        <f t="shared" si="2"/>
        <v>I2</v>
      </c>
      <c r="C30" s="96" t="s">
        <v>49</v>
      </c>
      <c r="D30" s="77" t="s">
        <v>44</v>
      </c>
      <c r="E30" s="77" t="s">
        <v>46</v>
      </c>
      <c r="F30" s="88">
        <f>-2052000-20000</f>
        <v>-2072000</v>
      </c>
      <c r="G30" s="88">
        <f>-2083000-20000</f>
        <v>-2103000</v>
      </c>
      <c r="H30" s="88">
        <f>-2108000-20000</f>
        <v>-2128000</v>
      </c>
      <c r="I30" s="88">
        <f>-2131000-20000</f>
        <v>-2151000</v>
      </c>
      <c r="J30" s="290" t="s">
        <v>383</v>
      </c>
      <c r="K30" s="26" t="s">
        <v>48</v>
      </c>
      <c r="L30" s="26">
        <f t="shared" si="3"/>
        <v>2</v>
      </c>
      <c r="M30" s="197"/>
      <c r="N30" s="198"/>
      <c r="O30" s="198"/>
      <c r="P30" s="26"/>
      <c r="R30" s="88"/>
      <c r="S30" s="88"/>
      <c r="T30" s="88"/>
      <c r="U30" s="88"/>
      <c r="V30" s="93"/>
    </row>
    <row r="31" spans="1:49" s="36" customFormat="1" x14ac:dyDescent="0.25">
      <c r="A31" s="76" t="s">
        <v>44</v>
      </c>
      <c r="B31" s="336" t="str">
        <f t="shared" si="2"/>
        <v>I3</v>
      </c>
      <c r="C31" s="96" t="s">
        <v>50</v>
      </c>
      <c r="D31" s="77" t="s">
        <v>44</v>
      </c>
      <c r="E31" s="77" t="s">
        <v>46</v>
      </c>
      <c r="F31" s="88">
        <v>-53000</v>
      </c>
      <c r="G31" s="88">
        <v>-55000</v>
      </c>
      <c r="H31" s="88">
        <v>-55000</v>
      </c>
      <c r="I31" s="88">
        <v>-55000</v>
      </c>
      <c r="J31" s="290" t="s">
        <v>384</v>
      </c>
      <c r="K31" s="26" t="s">
        <v>48</v>
      </c>
      <c r="L31" s="26">
        <f t="shared" si="3"/>
        <v>3</v>
      </c>
      <c r="M31" s="197"/>
      <c r="N31" s="256">
        <f>1-N32</f>
        <v>0.13649999999999995</v>
      </c>
      <c r="O31" s="198"/>
      <c r="P31" s="26"/>
      <c r="R31" s="88"/>
      <c r="S31" s="88"/>
      <c r="T31" s="88"/>
      <c r="U31" s="88"/>
      <c r="V31" s="93"/>
    </row>
    <row r="32" spans="1:49" s="36" customFormat="1" x14ac:dyDescent="0.25">
      <c r="A32" s="76" t="s">
        <v>44</v>
      </c>
      <c r="B32" s="336" t="str">
        <f t="shared" si="2"/>
        <v>I4</v>
      </c>
      <c r="C32" s="96" t="s">
        <v>52</v>
      </c>
      <c r="D32" s="77" t="s">
        <v>44</v>
      </c>
      <c r="E32" s="77" t="s">
        <v>46</v>
      </c>
      <c r="F32" s="88">
        <v>-17000</v>
      </c>
      <c r="G32" s="88">
        <v>-15000</v>
      </c>
      <c r="H32" s="88">
        <v>-14000</v>
      </c>
      <c r="I32" s="88">
        <v>-16000</v>
      </c>
      <c r="J32" s="290" t="s">
        <v>385</v>
      </c>
      <c r="K32" s="26" t="s">
        <v>48</v>
      </c>
      <c r="L32" s="26">
        <f t="shared" si="3"/>
        <v>4</v>
      </c>
      <c r="M32" s="197"/>
      <c r="N32" s="256">
        <v>0.86350000000000005</v>
      </c>
      <c r="O32" s="198"/>
      <c r="P32" s="26"/>
      <c r="R32" s="248"/>
      <c r="S32" s="248"/>
      <c r="T32" s="248"/>
      <c r="U32" s="248"/>
      <c r="V32" s="337"/>
    </row>
    <row r="33" spans="1:22" s="36" customFormat="1" x14ac:dyDescent="0.25">
      <c r="A33" s="76" t="s">
        <v>44</v>
      </c>
      <c r="B33" s="336" t="str">
        <f t="shared" si="2"/>
        <v>I5</v>
      </c>
      <c r="C33" s="96" t="s">
        <v>54</v>
      </c>
      <c r="D33" s="77" t="s">
        <v>44</v>
      </c>
      <c r="E33" s="77" t="s">
        <v>46</v>
      </c>
      <c r="F33" s="88">
        <v>-10300</v>
      </c>
      <c r="G33" s="88">
        <v>-10300</v>
      </c>
      <c r="H33" s="88">
        <v>-10300</v>
      </c>
      <c r="I33" s="88">
        <v>-10300</v>
      </c>
      <c r="J33" s="290" t="s">
        <v>55</v>
      </c>
      <c r="K33" s="26" t="s">
        <v>48</v>
      </c>
      <c r="L33" s="26">
        <f t="shared" si="3"/>
        <v>5</v>
      </c>
      <c r="M33" s="197"/>
      <c r="N33" s="198"/>
      <c r="O33" s="198"/>
      <c r="P33" s="26"/>
      <c r="R33" s="338"/>
      <c r="S33" s="338"/>
      <c r="T33" s="338"/>
      <c r="U33" s="338"/>
      <c r="V33" s="337"/>
    </row>
    <row r="34" spans="1:22" s="36" customFormat="1" x14ac:dyDescent="0.25">
      <c r="A34" s="76" t="s">
        <v>44</v>
      </c>
      <c r="B34" s="336" t="str">
        <f t="shared" si="2"/>
        <v>I6</v>
      </c>
      <c r="C34" s="96" t="s">
        <v>474</v>
      </c>
      <c r="D34" s="77" t="s">
        <v>44</v>
      </c>
      <c r="E34" s="77" t="s">
        <v>46</v>
      </c>
      <c r="F34" s="88">
        <v>10300</v>
      </c>
      <c r="G34" s="88">
        <v>10300</v>
      </c>
      <c r="H34" s="88">
        <v>10300</v>
      </c>
      <c r="I34" s="88">
        <v>10300</v>
      </c>
      <c r="J34" s="290" t="s">
        <v>55</v>
      </c>
      <c r="K34" s="26" t="s">
        <v>48</v>
      </c>
      <c r="L34" s="26">
        <f t="shared" si="3"/>
        <v>6</v>
      </c>
      <c r="M34" s="197"/>
      <c r="N34" s="198">
        <f>G31+G34</f>
        <v>-44700</v>
      </c>
      <c r="O34" s="198">
        <f>H31+H34</f>
        <v>-44700</v>
      </c>
      <c r="P34" s="198">
        <f>I31+I34</f>
        <v>-44700</v>
      </c>
      <c r="Q34" s="198"/>
      <c r="R34" s="338"/>
      <c r="S34" s="338"/>
      <c r="T34" s="338"/>
      <c r="U34" s="338"/>
      <c r="V34" s="337"/>
    </row>
    <row r="35" spans="1:22" s="36" customFormat="1" x14ac:dyDescent="0.25">
      <c r="A35" s="76" t="s">
        <v>44</v>
      </c>
      <c r="B35" s="336" t="str">
        <f t="shared" si="2"/>
        <v>I7</v>
      </c>
      <c r="C35" s="96" t="s">
        <v>57</v>
      </c>
      <c r="D35" s="77" t="s">
        <v>44</v>
      </c>
      <c r="E35" s="77" t="s">
        <v>46</v>
      </c>
      <c r="F35" s="88">
        <v>-9900</v>
      </c>
      <c r="G35" s="88">
        <v>-9900</v>
      </c>
      <c r="H35" s="88">
        <v>-9500</v>
      </c>
      <c r="I35" s="88">
        <v>-9100</v>
      </c>
      <c r="J35" s="290" t="s">
        <v>475</v>
      </c>
      <c r="K35" s="26" t="s">
        <v>48</v>
      </c>
      <c r="L35" s="26">
        <f>L34+1</f>
        <v>7</v>
      </c>
      <c r="M35" s="197"/>
      <c r="N35" s="198"/>
      <c r="O35" s="198"/>
      <c r="P35" s="26"/>
      <c r="R35" s="338"/>
      <c r="S35" s="338"/>
      <c r="T35" s="338"/>
      <c r="U35" s="338"/>
      <c r="V35" s="337"/>
    </row>
    <row r="36" spans="1:22" s="36" customFormat="1" x14ac:dyDescent="0.25">
      <c r="A36" s="76" t="s">
        <v>44</v>
      </c>
      <c r="B36" s="336" t="str">
        <f t="shared" si="2"/>
        <v>I8</v>
      </c>
      <c r="C36" s="96" t="s">
        <v>59</v>
      </c>
      <c r="D36" s="77" t="s">
        <v>44</v>
      </c>
      <c r="E36" s="77" t="s">
        <v>46</v>
      </c>
      <c r="F36" s="88">
        <v>-39217</v>
      </c>
      <c r="G36" s="88">
        <v>-40722</v>
      </c>
      <c r="H36" s="88">
        <v>-42916</v>
      </c>
      <c r="I36" s="88">
        <v>-42916</v>
      </c>
      <c r="J36" s="250" t="s">
        <v>387</v>
      </c>
      <c r="K36" s="26" t="s">
        <v>48</v>
      </c>
      <c r="L36" s="26">
        <f t="shared" si="3"/>
        <v>8</v>
      </c>
      <c r="M36" s="197"/>
      <c r="N36" s="198"/>
      <c r="O36" s="198"/>
      <c r="P36" s="26"/>
      <c r="R36" s="338"/>
      <c r="S36" s="338"/>
      <c r="T36" s="338"/>
      <c r="U36" s="338"/>
      <c r="V36" s="337"/>
    </row>
    <row r="37" spans="1:22" s="36" customFormat="1" x14ac:dyDescent="0.25">
      <c r="A37" s="76" t="s">
        <v>44</v>
      </c>
      <c r="B37" s="336" t="str">
        <f t="shared" si="2"/>
        <v>I9</v>
      </c>
      <c r="C37" s="281" t="s">
        <v>61</v>
      </c>
      <c r="D37" s="282" t="s">
        <v>44</v>
      </c>
      <c r="E37" s="282" t="s">
        <v>46</v>
      </c>
      <c r="F37" s="283">
        <v>100000</v>
      </c>
      <c r="G37" s="283">
        <v>113000</v>
      </c>
      <c r="H37" s="283">
        <v>115000</v>
      </c>
      <c r="I37" s="283">
        <v>119000</v>
      </c>
      <c r="J37" s="290" t="s">
        <v>475</v>
      </c>
      <c r="K37" s="26" t="s">
        <v>48</v>
      </c>
      <c r="L37" s="26">
        <f t="shared" si="3"/>
        <v>9</v>
      </c>
      <c r="M37" s="197"/>
      <c r="N37" s="198"/>
      <c r="O37" s="198"/>
      <c r="P37" s="26"/>
      <c r="R37" s="338"/>
      <c r="S37" s="338"/>
      <c r="T37" s="338"/>
      <c r="U37" s="338"/>
      <c r="V37" s="337"/>
    </row>
    <row r="38" spans="1:22" s="36" customFormat="1" x14ac:dyDescent="0.25">
      <c r="A38" s="76" t="s">
        <v>44</v>
      </c>
      <c r="B38" s="336" t="str">
        <f t="shared" si="2"/>
        <v>I10</v>
      </c>
      <c r="C38" s="281" t="s">
        <v>62</v>
      </c>
      <c r="D38" s="282" t="s">
        <v>44</v>
      </c>
      <c r="E38" s="282" t="s">
        <v>46</v>
      </c>
      <c r="F38" s="283">
        <v>292000</v>
      </c>
      <c r="G38" s="283">
        <v>299000</v>
      </c>
      <c r="H38" s="283">
        <v>303000</v>
      </c>
      <c r="I38" s="283">
        <v>310000</v>
      </c>
      <c r="J38" s="290" t="s">
        <v>388</v>
      </c>
      <c r="K38" s="26" t="s">
        <v>48</v>
      </c>
      <c r="L38" s="26">
        <f t="shared" si="3"/>
        <v>10</v>
      </c>
      <c r="M38" s="197"/>
      <c r="N38" s="198"/>
      <c r="O38" s="198"/>
      <c r="P38" s="26"/>
      <c r="R38" s="338"/>
      <c r="S38" s="338"/>
      <c r="T38" s="338"/>
      <c r="U38" s="338"/>
      <c r="V38" s="337"/>
    </row>
    <row r="39" spans="1:22" s="36" customFormat="1" x14ac:dyDescent="0.25">
      <c r="A39" s="76" t="s">
        <v>44</v>
      </c>
      <c r="B39" s="336" t="str">
        <f t="shared" si="2"/>
        <v>I11</v>
      </c>
      <c r="C39" s="96" t="s">
        <v>63</v>
      </c>
      <c r="D39" s="77" t="s">
        <v>44</v>
      </c>
      <c r="E39" s="77" t="s">
        <v>46</v>
      </c>
      <c r="F39" s="88">
        <v>-17500</v>
      </c>
      <c r="G39" s="88">
        <v>-21800</v>
      </c>
      <c r="H39" s="88">
        <v>-23900</v>
      </c>
      <c r="I39" s="88">
        <v>-25800</v>
      </c>
      <c r="J39" s="290" t="s">
        <v>475</v>
      </c>
      <c r="K39" s="26" t="s">
        <v>48</v>
      </c>
      <c r="L39" s="26">
        <f t="shared" si="3"/>
        <v>11</v>
      </c>
      <c r="M39" s="197"/>
      <c r="N39" s="197"/>
      <c r="O39" s="197"/>
      <c r="P39" s="26"/>
    </row>
    <row r="40" spans="1:22" s="36" customFormat="1" x14ac:dyDescent="0.25">
      <c r="A40" s="76" t="s">
        <v>44</v>
      </c>
      <c r="B40" s="336" t="str">
        <f t="shared" si="2"/>
        <v>I12</v>
      </c>
      <c r="C40" s="96" t="s">
        <v>64</v>
      </c>
      <c r="D40" s="77" t="s">
        <v>44</v>
      </c>
      <c r="E40" s="77" t="s">
        <v>46</v>
      </c>
      <c r="F40" s="88">
        <v>-35900</v>
      </c>
      <c r="G40" s="88">
        <v>-44800</v>
      </c>
      <c r="H40" s="88">
        <v>-50000</v>
      </c>
      <c r="I40" s="88">
        <v>-54600</v>
      </c>
      <c r="J40" s="290" t="s">
        <v>475</v>
      </c>
      <c r="K40" s="26" t="s">
        <v>48</v>
      </c>
      <c r="L40" s="26">
        <f>L39+1</f>
        <v>12</v>
      </c>
      <c r="M40" s="197"/>
      <c r="N40" s="197"/>
      <c r="O40" s="197"/>
      <c r="P40" s="10"/>
      <c r="Q40" s="2"/>
      <c r="R40" s="2"/>
      <c r="S40" s="2"/>
      <c r="T40" s="93"/>
      <c r="U40" s="93"/>
    </row>
    <row r="41" spans="1:22" s="36" customFormat="1" x14ac:dyDescent="0.25">
      <c r="A41" s="76" t="s">
        <v>44</v>
      </c>
      <c r="B41" s="336" t="str">
        <f t="shared" si="2"/>
        <v>I13</v>
      </c>
      <c r="C41" s="96" t="s">
        <v>65</v>
      </c>
      <c r="D41" s="77" t="s">
        <v>44</v>
      </c>
      <c r="E41" s="77" t="s">
        <v>46</v>
      </c>
      <c r="F41" s="88">
        <v>35900</v>
      </c>
      <c r="G41" s="88">
        <v>44800</v>
      </c>
      <c r="H41" s="88">
        <v>50000</v>
      </c>
      <c r="I41" s="88">
        <v>54600</v>
      </c>
      <c r="J41" s="290" t="s">
        <v>475</v>
      </c>
      <c r="K41" s="26" t="s">
        <v>48</v>
      </c>
      <c r="L41" s="26">
        <f t="shared" si="3"/>
        <v>13</v>
      </c>
      <c r="M41" s="197"/>
      <c r="N41" s="197"/>
      <c r="O41" s="197"/>
      <c r="P41" s="198"/>
      <c r="Q41" s="2"/>
      <c r="R41" s="2"/>
      <c r="S41" s="2"/>
    </row>
    <row r="42" spans="1:22" s="36" customFormat="1" x14ac:dyDescent="0.25">
      <c r="A42" s="76" t="s">
        <v>44</v>
      </c>
      <c r="B42" s="336" t="str">
        <f t="shared" si="2"/>
        <v>I14</v>
      </c>
      <c r="C42" s="96" t="s">
        <v>66</v>
      </c>
      <c r="D42" s="77" t="s">
        <v>44</v>
      </c>
      <c r="E42" s="77" t="s">
        <v>46</v>
      </c>
      <c r="F42" s="88">
        <v>-10400</v>
      </c>
      <c r="G42" s="88">
        <v>-11100</v>
      </c>
      <c r="H42" s="88">
        <v>-11000</v>
      </c>
      <c r="I42" s="88">
        <v>-10700</v>
      </c>
      <c r="J42" s="290" t="s">
        <v>475</v>
      </c>
      <c r="K42" s="26" t="s">
        <v>48</v>
      </c>
      <c r="L42" s="26">
        <f t="shared" si="3"/>
        <v>14</v>
      </c>
      <c r="M42" s="197"/>
      <c r="N42" s="197"/>
      <c r="O42" s="197"/>
      <c r="P42" s="199"/>
      <c r="Q42" s="199"/>
      <c r="R42" s="199"/>
      <c r="S42" s="199"/>
    </row>
    <row r="43" spans="1:22" s="36" customFormat="1" x14ac:dyDescent="0.25">
      <c r="A43" s="76" t="s">
        <v>44</v>
      </c>
      <c r="B43" s="336" t="str">
        <f t="shared" si="2"/>
        <v>I15</v>
      </c>
      <c r="C43" s="96" t="s">
        <v>67</v>
      </c>
      <c r="D43" s="77" t="s">
        <v>44</v>
      </c>
      <c r="E43" s="77" t="s">
        <v>46</v>
      </c>
      <c r="F43" s="88">
        <v>-123000</v>
      </c>
      <c r="G43" s="88">
        <v>-127000</v>
      </c>
      <c r="H43" s="88">
        <v>-131000</v>
      </c>
      <c r="I43" s="88">
        <v>-135000</v>
      </c>
      <c r="J43" s="290" t="s">
        <v>68</v>
      </c>
      <c r="K43" s="26" t="s">
        <v>48</v>
      </c>
      <c r="L43" s="26">
        <f t="shared" si="3"/>
        <v>15</v>
      </c>
      <c r="M43" s="197"/>
      <c r="N43" s="197"/>
      <c r="O43" s="197"/>
      <c r="P43" s="199"/>
      <c r="Q43" s="199"/>
      <c r="R43" s="199"/>
      <c r="S43" s="199"/>
    </row>
    <row r="44" spans="1:22" s="36" customFormat="1" x14ac:dyDescent="0.25">
      <c r="A44" s="76" t="s">
        <v>44</v>
      </c>
      <c r="B44" s="336" t="str">
        <f t="shared" si="2"/>
        <v>I16</v>
      </c>
      <c r="C44" s="96" t="s">
        <v>69</v>
      </c>
      <c r="D44" s="77" t="s">
        <v>44</v>
      </c>
      <c r="E44" s="77" t="s">
        <v>46</v>
      </c>
      <c r="F44" s="88">
        <v>-1250</v>
      </c>
      <c r="G44" s="88">
        <v>-1339</v>
      </c>
      <c r="H44" s="88">
        <v>-1428</v>
      </c>
      <c r="I44" s="88">
        <v>-1428</v>
      </c>
      <c r="J44" s="290" t="s">
        <v>70</v>
      </c>
      <c r="K44" s="26" t="s">
        <v>48</v>
      </c>
      <c r="L44" s="26">
        <f t="shared" si="3"/>
        <v>16</v>
      </c>
      <c r="M44" s="197"/>
      <c r="N44" s="197"/>
      <c r="O44" s="197"/>
      <c r="P44" s="199"/>
      <c r="Q44" s="199"/>
      <c r="R44" s="199"/>
      <c r="S44" s="199"/>
    </row>
    <row r="45" spans="1:22" s="36" customFormat="1" x14ac:dyDescent="0.25">
      <c r="A45" s="76" t="s">
        <v>44</v>
      </c>
      <c r="B45" s="336" t="str">
        <f t="shared" si="2"/>
        <v>I17</v>
      </c>
      <c r="C45" s="96" t="s">
        <v>71</v>
      </c>
      <c r="D45" s="77" t="s">
        <v>44</v>
      </c>
      <c r="E45" s="77" t="s">
        <v>46</v>
      </c>
      <c r="F45" s="88">
        <v>-2000</v>
      </c>
      <c r="G45" s="88">
        <v>-2000</v>
      </c>
      <c r="H45" s="88">
        <v>-2000</v>
      </c>
      <c r="I45" s="88">
        <v>-2000</v>
      </c>
      <c r="J45" s="290" t="s">
        <v>70</v>
      </c>
      <c r="K45" s="26" t="s">
        <v>48</v>
      </c>
      <c r="L45" s="26">
        <f t="shared" si="3"/>
        <v>17</v>
      </c>
      <c r="M45" s="197"/>
      <c r="N45" s="197"/>
      <c r="O45" s="197"/>
      <c r="P45" s="199"/>
      <c r="Q45" s="199"/>
      <c r="R45" s="199"/>
      <c r="S45" s="199"/>
    </row>
    <row r="46" spans="1:22" s="36" customFormat="1" x14ac:dyDescent="0.25">
      <c r="A46" s="76" t="s">
        <v>44</v>
      </c>
      <c r="B46" s="336" t="str">
        <f t="shared" si="2"/>
        <v>I18</v>
      </c>
      <c r="C46" s="96" t="s">
        <v>72</v>
      </c>
      <c r="D46" s="77" t="s">
        <v>44</v>
      </c>
      <c r="E46" s="77" t="s">
        <v>46</v>
      </c>
      <c r="F46" s="88">
        <v>-3600</v>
      </c>
      <c r="G46" s="88">
        <v>-3800</v>
      </c>
      <c r="H46" s="88">
        <v>-3800</v>
      </c>
      <c r="I46" s="88">
        <v>-3700</v>
      </c>
      <c r="J46" s="290" t="s">
        <v>475</v>
      </c>
      <c r="K46" s="26" t="s">
        <v>48</v>
      </c>
      <c r="L46" s="26">
        <f>L45+1</f>
        <v>18</v>
      </c>
      <c r="M46" s="197"/>
      <c r="N46" s="197"/>
      <c r="O46" s="197"/>
      <c r="P46" s="197"/>
    </row>
    <row r="47" spans="1:22" s="36" customFormat="1" x14ac:dyDescent="0.25">
      <c r="A47" s="76" t="s">
        <v>44</v>
      </c>
      <c r="B47" s="336" t="str">
        <f t="shared" si="2"/>
        <v>I19</v>
      </c>
      <c r="C47" s="96" t="s">
        <v>73</v>
      </c>
      <c r="D47" s="77" t="s">
        <v>44</v>
      </c>
      <c r="E47" s="77" t="s">
        <v>46</v>
      </c>
      <c r="F47" s="88"/>
      <c r="G47" s="88"/>
      <c r="H47" s="88"/>
      <c r="I47" s="88"/>
      <c r="J47" s="290" t="s">
        <v>74</v>
      </c>
      <c r="K47" s="26" t="s">
        <v>48</v>
      </c>
      <c r="L47" s="26">
        <f t="shared" si="3"/>
        <v>19</v>
      </c>
      <c r="M47" s="197"/>
      <c r="N47" s="197"/>
      <c r="O47" s="197"/>
      <c r="P47" s="197"/>
    </row>
    <row r="48" spans="1:22" s="36" customFormat="1" x14ac:dyDescent="0.25">
      <c r="A48" s="76" t="s">
        <v>44</v>
      </c>
      <c r="B48" s="336" t="str">
        <f t="shared" ref="B48:B60" si="4">IF(L48,K48&amp;L48,"")</f>
        <v>I20</v>
      </c>
      <c r="C48" s="96" t="s">
        <v>75</v>
      </c>
      <c r="D48" s="77" t="s">
        <v>44</v>
      </c>
      <c r="E48" s="77" t="s">
        <v>46</v>
      </c>
      <c r="F48" s="88">
        <v>-500</v>
      </c>
      <c r="G48" s="88">
        <v>-500</v>
      </c>
      <c r="H48" s="88">
        <v>-500</v>
      </c>
      <c r="I48" s="88">
        <v>-500</v>
      </c>
      <c r="J48" s="290" t="s">
        <v>321</v>
      </c>
      <c r="K48" s="26" t="s">
        <v>48</v>
      </c>
      <c r="L48" s="26">
        <f t="shared" ref="L48:L61" si="5">L47+1</f>
        <v>20</v>
      </c>
      <c r="M48" s="197"/>
      <c r="N48" s="197"/>
      <c r="O48" s="197"/>
      <c r="P48" s="197"/>
    </row>
    <row r="49" spans="1:49" s="36" customFormat="1" x14ac:dyDescent="0.25">
      <c r="A49" s="76" t="s">
        <v>44</v>
      </c>
      <c r="B49" s="336" t="str">
        <f t="shared" si="4"/>
        <v>I21</v>
      </c>
      <c r="C49" s="281" t="s">
        <v>77</v>
      </c>
      <c r="D49" s="282" t="s">
        <v>44</v>
      </c>
      <c r="E49" s="282" t="s">
        <v>46</v>
      </c>
      <c r="F49" s="283">
        <v>150000</v>
      </c>
      <c r="G49" s="283">
        <v>150000</v>
      </c>
      <c r="H49" s="283">
        <v>186803</v>
      </c>
      <c r="I49" s="283">
        <v>186803</v>
      </c>
      <c r="J49" s="290" t="s">
        <v>81</v>
      </c>
      <c r="K49" s="26" t="s">
        <v>48</v>
      </c>
      <c r="L49" s="26">
        <f t="shared" si="5"/>
        <v>21</v>
      </c>
      <c r="M49" s="36">
        <v>47663</v>
      </c>
      <c r="N49" s="36">
        <v>42964</v>
      </c>
      <c r="O49" s="36">
        <v>35638</v>
      </c>
      <c r="P49" s="36">
        <v>35638</v>
      </c>
    </row>
    <row r="50" spans="1:49" s="36" customFormat="1" x14ac:dyDescent="0.25">
      <c r="A50" s="76" t="s">
        <v>44</v>
      </c>
      <c r="B50" s="336" t="str">
        <f t="shared" si="4"/>
        <v>I22</v>
      </c>
      <c r="C50" s="96" t="s">
        <v>78</v>
      </c>
      <c r="D50" s="77" t="s">
        <v>44</v>
      </c>
      <c r="E50" s="77" t="s">
        <v>46</v>
      </c>
      <c r="F50" s="88"/>
      <c r="G50" s="88"/>
      <c r="H50" s="88"/>
      <c r="I50" s="88"/>
      <c r="J50" s="290"/>
      <c r="K50" s="26" t="s">
        <v>48</v>
      </c>
      <c r="L50" s="26">
        <f t="shared" si="5"/>
        <v>22</v>
      </c>
      <c r="M50" s="26"/>
      <c r="N50" s="26"/>
      <c r="O50" s="26"/>
      <c r="P50" s="26"/>
    </row>
    <row r="51" spans="1:49" s="36" customFormat="1" x14ac:dyDescent="0.25">
      <c r="A51" s="43" t="s">
        <v>44</v>
      </c>
      <c r="B51" s="336" t="str">
        <f t="shared" si="4"/>
        <v>I23</v>
      </c>
      <c r="C51" s="96" t="s">
        <v>80</v>
      </c>
      <c r="D51" s="77" t="s">
        <v>44</v>
      </c>
      <c r="E51" s="77" t="s">
        <v>46</v>
      </c>
      <c r="F51" s="88">
        <v>270000</v>
      </c>
      <c r="G51" s="88">
        <v>283000</v>
      </c>
      <c r="H51" s="88">
        <v>296000</v>
      </c>
      <c r="I51" s="88">
        <v>309000</v>
      </c>
      <c r="J51" s="290" t="s">
        <v>81</v>
      </c>
      <c r="K51" s="26" t="s">
        <v>48</v>
      </c>
      <c r="L51" s="26">
        <f t="shared" si="5"/>
        <v>23</v>
      </c>
      <c r="M51" s="26"/>
      <c r="N51" s="26"/>
      <c r="O51" s="26"/>
      <c r="P51" s="26"/>
    </row>
    <row r="52" spans="1:49" s="36" customFormat="1" x14ac:dyDescent="0.25">
      <c r="A52" s="43" t="s">
        <v>44</v>
      </c>
      <c r="B52" s="336" t="str">
        <f t="shared" si="4"/>
        <v>I24</v>
      </c>
      <c r="C52" s="96" t="s">
        <v>82</v>
      </c>
      <c r="D52" s="77" t="s">
        <v>44</v>
      </c>
      <c r="E52" s="77" t="s">
        <v>46</v>
      </c>
      <c r="F52" s="88">
        <v>-270000</v>
      </c>
      <c r="G52" s="88">
        <v>-283000</v>
      </c>
      <c r="H52" s="88">
        <v>-296000</v>
      </c>
      <c r="I52" s="88">
        <v>-309000</v>
      </c>
      <c r="J52" s="290" t="s">
        <v>81</v>
      </c>
      <c r="K52" s="26" t="s">
        <v>48</v>
      </c>
      <c r="L52" s="26">
        <f t="shared" si="5"/>
        <v>24</v>
      </c>
      <c r="M52" s="26"/>
      <c r="N52" s="26"/>
      <c r="O52" s="26"/>
      <c r="P52" s="26"/>
    </row>
    <row r="53" spans="1:49" s="36" customFormat="1" x14ac:dyDescent="0.25">
      <c r="A53" s="43" t="s">
        <v>44</v>
      </c>
      <c r="B53" s="336" t="str">
        <f t="shared" si="4"/>
        <v>I25</v>
      </c>
      <c r="C53" s="96" t="s">
        <v>83</v>
      </c>
      <c r="D53" s="77" t="s">
        <v>44</v>
      </c>
      <c r="E53" s="77" t="s">
        <v>46</v>
      </c>
      <c r="F53" s="88">
        <v>-17258</v>
      </c>
      <c r="G53" s="88">
        <v>-18324</v>
      </c>
      <c r="H53" s="88">
        <v>-18345</v>
      </c>
      <c r="I53" s="88">
        <v>-18345</v>
      </c>
      <c r="J53" s="250" t="s">
        <v>476</v>
      </c>
      <c r="K53" s="26" t="s">
        <v>48</v>
      </c>
      <c r="L53" s="26">
        <f t="shared" si="5"/>
        <v>25</v>
      </c>
      <c r="M53" s="26"/>
      <c r="N53" s="26"/>
      <c r="O53" s="26"/>
      <c r="P53" s="26"/>
    </row>
    <row r="54" spans="1:49" s="36" customFormat="1" x14ac:dyDescent="0.25">
      <c r="A54" s="43" t="s">
        <v>44</v>
      </c>
      <c r="B54" s="336" t="str">
        <f t="shared" si="4"/>
        <v>I26</v>
      </c>
      <c r="C54" s="96" t="s">
        <v>85</v>
      </c>
      <c r="D54" s="77" t="s">
        <v>44</v>
      </c>
      <c r="E54" s="77" t="s">
        <v>46</v>
      </c>
      <c r="F54" s="88">
        <v>-36805</v>
      </c>
      <c r="G54" s="88">
        <v>-40457</v>
      </c>
      <c r="H54" s="88">
        <v>-43433</v>
      </c>
      <c r="I54" s="88">
        <v>-43433</v>
      </c>
      <c r="J54" s="250" t="s">
        <v>476</v>
      </c>
      <c r="K54" s="26" t="s">
        <v>48</v>
      </c>
      <c r="L54" s="26">
        <f t="shared" si="5"/>
        <v>26</v>
      </c>
      <c r="M54" s="26"/>
      <c r="N54" s="26"/>
      <c r="O54" s="26"/>
      <c r="P54" s="26"/>
    </row>
    <row r="55" spans="1:49" s="36" customFormat="1" x14ac:dyDescent="0.25">
      <c r="A55" s="43" t="s">
        <v>44</v>
      </c>
      <c r="B55" s="336" t="str">
        <f t="shared" si="4"/>
        <v>I27</v>
      </c>
      <c r="C55" s="96" t="s">
        <v>86</v>
      </c>
      <c r="D55" s="77" t="s">
        <v>44</v>
      </c>
      <c r="E55" s="77" t="s">
        <v>46</v>
      </c>
      <c r="F55" s="88">
        <v>328</v>
      </c>
      <c r="G55" s="88">
        <v>348</v>
      </c>
      <c r="H55" s="88">
        <v>169</v>
      </c>
      <c r="I55" s="88">
        <v>169</v>
      </c>
      <c r="J55" s="250" t="s">
        <v>476</v>
      </c>
      <c r="K55" s="26" t="s">
        <v>48</v>
      </c>
      <c r="L55" s="26">
        <f t="shared" si="5"/>
        <v>27</v>
      </c>
      <c r="M55" s="26"/>
      <c r="N55" s="26"/>
      <c r="O55" s="26"/>
      <c r="P55" s="26"/>
    </row>
    <row r="56" spans="1:49" s="36" customFormat="1" x14ac:dyDescent="0.25">
      <c r="A56" s="76" t="s">
        <v>44</v>
      </c>
      <c r="B56" s="336" t="str">
        <f t="shared" si="4"/>
        <v>I28</v>
      </c>
      <c r="C56" s="96"/>
      <c r="D56" s="77" t="s">
        <v>44</v>
      </c>
      <c r="E56" s="77" t="s">
        <v>46</v>
      </c>
      <c r="F56" s="88"/>
      <c r="G56" s="88"/>
      <c r="H56" s="88"/>
      <c r="I56" s="88"/>
      <c r="J56" s="290"/>
      <c r="K56" s="26" t="s">
        <v>48</v>
      </c>
      <c r="L56" s="26">
        <f t="shared" si="5"/>
        <v>28</v>
      </c>
      <c r="M56" s="26"/>
      <c r="N56" s="26"/>
      <c r="O56" s="26"/>
      <c r="P56" s="26"/>
    </row>
    <row r="57" spans="1:49" s="36" customFormat="1" x14ac:dyDescent="0.25">
      <c r="A57" s="76" t="s">
        <v>44</v>
      </c>
      <c r="B57" s="336" t="str">
        <f t="shared" si="4"/>
        <v>I29</v>
      </c>
      <c r="C57" s="96"/>
      <c r="D57" s="77" t="s">
        <v>44</v>
      </c>
      <c r="E57" s="77" t="s">
        <v>46</v>
      </c>
      <c r="F57" s="88"/>
      <c r="G57" s="88"/>
      <c r="H57" s="88"/>
      <c r="I57" s="88"/>
      <c r="J57" s="290"/>
      <c r="K57" s="26" t="s">
        <v>48</v>
      </c>
      <c r="L57" s="26">
        <f t="shared" si="5"/>
        <v>29</v>
      </c>
      <c r="M57" s="26"/>
      <c r="N57" s="26"/>
      <c r="O57" s="26"/>
      <c r="P57" s="26"/>
    </row>
    <row r="58" spans="1:49" s="36" customFormat="1" x14ac:dyDescent="0.25">
      <c r="A58" s="76" t="s">
        <v>44</v>
      </c>
      <c r="B58" s="336" t="str">
        <f t="shared" si="4"/>
        <v>I30</v>
      </c>
      <c r="C58" s="96"/>
      <c r="D58" s="77" t="s">
        <v>44</v>
      </c>
      <c r="E58" s="77" t="s">
        <v>46</v>
      </c>
      <c r="F58" s="88"/>
      <c r="G58" s="88"/>
      <c r="H58" s="88"/>
      <c r="I58" s="88"/>
      <c r="J58" s="290"/>
      <c r="K58" s="26" t="s">
        <v>48</v>
      </c>
      <c r="L58" s="26">
        <f t="shared" si="5"/>
        <v>30</v>
      </c>
      <c r="M58" s="26"/>
      <c r="N58" s="26"/>
      <c r="O58" s="26"/>
      <c r="P58" s="26"/>
      <c r="AW58" s="93"/>
    </row>
    <row r="59" spans="1:49" s="36" customFormat="1" x14ac:dyDescent="0.25">
      <c r="A59" s="76" t="s">
        <v>44</v>
      </c>
      <c r="B59" s="336" t="str">
        <f t="shared" si="4"/>
        <v>I31</v>
      </c>
      <c r="C59" s="96"/>
      <c r="D59" s="77" t="s">
        <v>44</v>
      </c>
      <c r="E59" s="77" t="s">
        <v>46</v>
      </c>
      <c r="F59" s="88"/>
      <c r="G59" s="88"/>
      <c r="H59" s="88"/>
      <c r="I59" s="88"/>
      <c r="J59" s="290"/>
      <c r="K59" s="26" t="s">
        <v>48</v>
      </c>
      <c r="L59" s="26">
        <f t="shared" si="5"/>
        <v>31</v>
      </c>
      <c r="M59" s="26"/>
      <c r="N59" s="26"/>
      <c r="O59" s="26"/>
      <c r="P59" s="26"/>
    </row>
    <row r="60" spans="1:49" s="36" customFormat="1" x14ac:dyDescent="0.25">
      <c r="A60" s="76" t="s">
        <v>44</v>
      </c>
      <c r="B60" s="336" t="str">
        <f t="shared" si="4"/>
        <v>I32</v>
      </c>
      <c r="C60" s="96"/>
      <c r="D60" s="77" t="s">
        <v>44</v>
      </c>
      <c r="E60" s="77" t="s">
        <v>46</v>
      </c>
      <c r="F60" s="88"/>
      <c r="G60" s="88"/>
      <c r="H60" s="88"/>
      <c r="I60" s="88"/>
      <c r="J60" s="290"/>
      <c r="K60" s="26" t="s">
        <v>48</v>
      </c>
      <c r="L60" s="26">
        <f t="shared" si="5"/>
        <v>32</v>
      </c>
      <c r="M60" s="26"/>
      <c r="N60" s="26"/>
      <c r="O60" s="26"/>
      <c r="P60" s="26"/>
    </row>
    <row r="61" spans="1:49" s="36" customFormat="1" x14ac:dyDescent="0.25">
      <c r="A61" s="242"/>
      <c r="B61" s="242"/>
      <c r="C61" s="243"/>
      <c r="D61" s="212"/>
      <c r="E61" s="109"/>
      <c r="F61" s="108"/>
      <c r="G61" s="108"/>
      <c r="H61" s="108"/>
      <c r="I61" s="108"/>
      <c r="J61" s="37"/>
      <c r="K61" s="26" t="s">
        <v>48</v>
      </c>
      <c r="L61" s="26">
        <f t="shared" si="5"/>
        <v>33</v>
      </c>
      <c r="M61" s="26"/>
      <c r="N61" s="26"/>
      <c r="O61" s="26"/>
      <c r="P61" s="26"/>
    </row>
    <row r="62" spans="1:49" s="36" customFormat="1" x14ac:dyDescent="0.25">
      <c r="A62" s="41"/>
      <c r="B62" s="41"/>
      <c r="C62" s="3" t="s">
        <v>87</v>
      </c>
      <c r="D62" s="61"/>
      <c r="E62" s="61"/>
      <c r="F62" s="7">
        <f>SUMIF($A:$A,"SENT.INNT",F:F)</f>
        <v>-4642102</v>
      </c>
      <c r="G62" s="7">
        <f>SUMIF($A:$A,"SENT.INNT",G:G)</f>
        <v>-4698594</v>
      </c>
      <c r="H62" s="7">
        <f>SUMIF($A:$A,"SENT.INNT",H:H)</f>
        <v>-4721850</v>
      </c>
      <c r="I62" s="7">
        <f>SUMIF($A:$A,"SENT.INNT",I:I)</f>
        <v>-4771950</v>
      </c>
      <c r="J62" s="37"/>
      <c r="K62" s="26"/>
      <c r="L62" s="26"/>
      <c r="M62" s="26"/>
      <c r="N62" s="26"/>
      <c r="O62" s="26"/>
      <c r="P62" s="26"/>
    </row>
    <row r="63" spans="1:49" s="36" customFormat="1" x14ac:dyDescent="0.25">
      <c r="A63" s="44"/>
      <c r="B63" s="44"/>
      <c r="C63" s="3" t="s">
        <v>88</v>
      </c>
      <c r="D63" s="50"/>
      <c r="E63" s="50"/>
      <c r="F63" s="7">
        <f>F4</f>
        <v>4546363</v>
      </c>
      <c r="G63" s="7">
        <f>G4</f>
        <v>4546363</v>
      </c>
      <c r="H63" s="7">
        <f>H4</f>
        <v>4546363</v>
      </c>
      <c r="I63" s="7">
        <f>I4</f>
        <v>4546363</v>
      </c>
      <c r="J63" s="37"/>
      <c r="K63" s="26"/>
      <c r="L63" s="26"/>
      <c r="M63" s="26"/>
      <c r="N63" s="26"/>
      <c r="O63" s="26"/>
      <c r="P63" s="26"/>
    </row>
    <row r="64" spans="1:49" s="36" customFormat="1" x14ac:dyDescent="0.25">
      <c r="A64" s="41"/>
      <c r="B64" s="41"/>
      <c r="C64" s="3" t="s">
        <v>89</v>
      </c>
      <c r="D64" s="50"/>
      <c r="E64" s="50"/>
      <c r="F64" s="7">
        <f>F62+F63</f>
        <v>-95739</v>
      </c>
      <c r="G64" s="7">
        <f>G62+G63</f>
        <v>-152231</v>
      </c>
      <c r="H64" s="7">
        <f>H62+H63</f>
        <v>-175487</v>
      </c>
      <c r="I64" s="7">
        <f>I62+I63</f>
        <v>-225587</v>
      </c>
      <c r="J64" s="37"/>
      <c r="K64" s="26"/>
      <c r="L64" s="26"/>
      <c r="M64" s="26"/>
      <c r="N64" s="26"/>
      <c r="O64" s="26"/>
      <c r="P64" s="26"/>
    </row>
    <row r="65" spans="1:20" s="36" customFormat="1" x14ac:dyDescent="0.25">
      <c r="A65" s="45"/>
      <c r="B65" s="45"/>
      <c r="C65" s="9"/>
      <c r="D65" s="47"/>
      <c r="E65" s="47"/>
      <c r="F65" s="10"/>
      <c r="G65" s="10"/>
      <c r="H65" s="10"/>
      <c r="I65" s="10"/>
      <c r="J65" s="37"/>
      <c r="K65" s="26"/>
      <c r="L65" s="26"/>
      <c r="M65" s="26"/>
      <c r="N65" s="26"/>
      <c r="O65" s="26"/>
      <c r="P65" s="26"/>
    </row>
    <row r="66" spans="1:20" s="1" customFormat="1" x14ac:dyDescent="0.25">
      <c r="A66" s="46"/>
      <c r="B66" s="46"/>
      <c r="C66" s="11" t="s">
        <v>90</v>
      </c>
      <c r="D66" s="48"/>
      <c r="E66" s="48"/>
      <c r="F66" s="12"/>
      <c r="G66" s="12"/>
      <c r="H66" s="12"/>
      <c r="I66" s="12"/>
      <c r="J66" s="37"/>
      <c r="K66" s="36"/>
      <c r="L66" s="36"/>
      <c r="M66" s="27"/>
      <c r="N66" s="27"/>
      <c r="O66" s="27"/>
      <c r="P66" s="27"/>
    </row>
    <row r="67" spans="1:20" s="36" customFormat="1" x14ac:dyDescent="0.25">
      <c r="A67" s="70"/>
      <c r="B67" s="339"/>
      <c r="C67" s="244" t="s">
        <v>91</v>
      </c>
      <c r="D67" s="81"/>
      <c r="E67" s="81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7"/>
      <c r="K67" s="335"/>
      <c r="L67" s="335"/>
      <c r="M67" s="97" t="s">
        <v>92</v>
      </c>
      <c r="N67" s="97" t="s">
        <v>93</v>
      </c>
      <c r="O67" s="97" t="s">
        <v>94</v>
      </c>
      <c r="P67" s="26"/>
    </row>
    <row r="68" spans="1:20" s="36" customFormat="1" x14ac:dyDescent="0.25">
      <c r="A68" s="76" t="s">
        <v>95</v>
      </c>
      <c r="B68" s="76" t="str">
        <f t="shared" ref="B68:B89" si="6">IF(L68,K68&amp;L68,"")</f>
        <v>OV1</v>
      </c>
      <c r="C68" s="243" t="s">
        <v>96</v>
      </c>
      <c r="D68" s="70" t="s">
        <v>97</v>
      </c>
      <c r="E68" s="77" t="s">
        <v>98</v>
      </c>
      <c r="F68" s="88">
        <v>6680</v>
      </c>
      <c r="G68" s="88">
        <v>13556</v>
      </c>
      <c r="H68" s="88">
        <v>13921</v>
      </c>
      <c r="I68" s="88">
        <v>13921</v>
      </c>
      <c r="J68" s="407" t="s">
        <v>390</v>
      </c>
      <c r="K68" s="26" t="s">
        <v>100</v>
      </c>
      <c r="L68" s="36">
        <v>1</v>
      </c>
      <c r="M68" s="97" t="str">
        <f t="shared" ref="M68" si="7">IF(E68="VEDTATT","VEDTATT",0)</f>
        <v>VEDTATT</v>
      </c>
      <c r="N68" s="97">
        <f>IF(E68="MÅ","Nye tiltak",0)</f>
        <v>0</v>
      </c>
      <c r="O68" s="97"/>
      <c r="P68" s="26"/>
      <c r="Q68" s="93"/>
      <c r="R68" s="93"/>
      <c r="S68" s="93"/>
      <c r="T68" s="93"/>
    </row>
    <row r="69" spans="1:20" s="36" customFormat="1" x14ac:dyDescent="0.25">
      <c r="A69" s="76" t="s">
        <v>95</v>
      </c>
      <c r="B69" s="76" t="str">
        <f t="shared" si="6"/>
        <v>OV2</v>
      </c>
      <c r="C69" s="243" t="s">
        <v>102</v>
      </c>
      <c r="D69" s="70" t="s">
        <v>97</v>
      </c>
      <c r="E69" s="77" t="s">
        <v>98</v>
      </c>
      <c r="F69" s="88">
        <v>1335</v>
      </c>
      <c r="G69" s="88">
        <v>2710</v>
      </c>
      <c r="H69" s="88">
        <v>2782</v>
      </c>
      <c r="I69" s="88">
        <v>2782</v>
      </c>
      <c r="J69" s="407" t="s">
        <v>390</v>
      </c>
      <c r="K69" s="26" t="s">
        <v>100</v>
      </c>
      <c r="L69" s="36">
        <f>L68+1</f>
        <v>2</v>
      </c>
      <c r="M69" s="97" t="str">
        <f>IF(E69="VEDTATT","VEDTATT",0)</f>
        <v>VEDTATT</v>
      </c>
      <c r="N69" s="97">
        <f>IF(E69="MÅ","Nye tiltak",0)</f>
        <v>0</v>
      </c>
      <c r="O69" s="97"/>
      <c r="P69" s="26"/>
      <c r="R69" s="93"/>
      <c r="S69" s="93"/>
      <c r="T69" s="93"/>
    </row>
    <row r="70" spans="1:20" s="36" customFormat="1" x14ac:dyDescent="0.25">
      <c r="A70" s="76" t="s">
        <v>95</v>
      </c>
      <c r="B70" s="76" t="str">
        <f t="shared" si="6"/>
        <v>OV3</v>
      </c>
      <c r="C70" s="243" t="s">
        <v>104</v>
      </c>
      <c r="D70" s="70" t="s">
        <v>105</v>
      </c>
      <c r="E70" s="77" t="s">
        <v>98</v>
      </c>
      <c r="F70" s="88"/>
      <c r="G70" s="88"/>
      <c r="H70" s="88">
        <v>-852</v>
      </c>
      <c r="I70" s="88">
        <v>-852</v>
      </c>
      <c r="J70" s="408"/>
      <c r="K70" s="26" t="s">
        <v>100</v>
      </c>
      <c r="L70" s="36">
        <f t="shared" ref="L70:L89" si="8">L69+1</f>
        <v>3</v>
      </c>
      <c r="M70" s="97" t="str">
        <f>IF(E70="VEDTATT","VEDTATT",0)</f>
        <v>VEDTATT</v>
      </c>
      <c r="N70" s="97">
        <f>IF(E70="MÅ","Nye tiltak",0)</f>
        <v>0</v>
      </c>
      <c r="O70" s="251"/>
      <c r="P70" s="26"/>
    </row>
    <row r="71" spans="1:20" s="36" customFormat="1" x14ac:dyDescent="0.25">
      <c r="A71" s="76" t="s">
        <v>95</v>
      </c>
      <c r="B71" s="76" t="str">
        <f t="shared" si="6"/>
        <v>OV4</v>
      </c>
      <c r="C71" s="243" t="s">
        <v>114</v>
      </c>
      <c r="D71" s="70" t="s">
        <v>97</v>
      </c>
      <c r="E71" s="77" t="s">
        <v>98</v>
      </c>
      <c r="F71" s="88">
        <v>20900</v>
      </c>
      <c r="G71" s="88">
        <v>26400</v>
      </c>
      <c r="H71" s="88">
        <v>33700</v>
      </c>
      <c r="I71" s="88">
        <v>33700</v>
      </c>
      <c r="J71" s="207" t="s">
        <v>390</v>
      </c>
      <c r="K71" s="26" t="s">
        <v>100</v>
      </c>
      <c r="L71" s="36">
        <f t="shared" si="8"/>
        <v>4</v>
      </c>
      <c r="M71" s="97"/>
      <c r="N71" s="97"/>
      <c r="O71" s="251"/>
      <c r="P71" s="26"/>
    </row>
    <row r="72" spans="1:20" s="36" customFormat="1" x14ac:dyDescent="0.25">
      <c r="A72" s="76" t="s">
        <v>95</v>
      </c>
      <c r="B72" s="76" t="str">
        <f t="shared" si="6"/>
        <v>OV5</v>
      </c>
      <c r="C72" s="243" t="s">
        <v>117</v>
      </c>
      <c r="D72" s="70" t="s">
        <v>97</v>
      </c>
      <c r="E72" s="77" t="s">
        <v>98</v>
      </c>
      <c r="F72" s="88">
        <v>520</v>
      </c>
      <c r="G72" s="88">
        <v>520</v>
      </c>
      <c r="H72" s="88">
        <v>520</v>
      </c>
      <c r="I72" s="88">
        <v>520</v>
      </c>
      <c r="J72" s="207" t="s">
        <v>390</v>
      </c>
      <c r="K72" s="26" t="s">
        <v>100</v>
      </c>
      <c r="L72" s="36">
        <f t="shared" si="8"/>
        <v>5</v>
      </c>
      <c r="M72" s="97"/>
      <c r="N72" s="97"/>
      <c r="O72" s="251"/>
      <c r="P72" s="26"/>
    </row>
    <row r="73" spans="1:20" s="36" customFormat="1" x14ac:dyDescent="0.25">
      <c r="A73" s="76" t="s">
        <v>95</v>
      </c>
      <c r="B73" s="76" t="str">
        <f t="shared" si="6"/>
        <v>OV6</v>
      </c>
      <c r="C73" s="243" t="s">
        <v>106</v>
      </c>
      <c r="D73" s="70" t="s">
        <v>105</v>
      </c>
      <c r="E73" s="77" t="s">
        <v>98</v>
      </c>
      <c r="F73" s="88"/>
      <c r="G73" s="88">
        <v>-2300</v>
      </c>
      <c r="H73" s="88">
        <v>-2300</v>
      </c>
      <c r="I73" s="88">
        <v>-2300</v>
      </c>
      <c r="J73" s="407"/>
      <c r="K73" s="26" t="s">
        <v>100</v>
      </c>
      <c r="L73" s="36">
        <f t="shared" si="8"/>
        <v>6</v>
      </c>
      <c r="M73" s="97"/>
      <c r="N73" s="97"/>
      <c r="O73" s="251"/>
      <c r="P73" s="26"/>
    </row>
    <row r="74" spans="1:20" s="36" customFormat="1" x14ac:dyDescent="0.25">
      <c r="A74" s="76" t="s">
        <v>95</v>
      </c>
      <c r="B74" s="76" t="str">
        <f t="shared" si="6"/>
        <v>OV7</v>
      </c>
      <c r="C74" s="243" t="s">
        <v>109</v>
      </c>
      <c r="D74" s="70" t="s">
        <v>97</v>
      </c>
      <c r="E74" s="77" t="s">
        <v>98</v>
      </c>
      <c r="F74" s="88">
        <v>143</v>
      </c>
      <c r="G74" s="88">
        <v>292</v>
      </c>
      <c r="H74" s="88">
        <v>300</v>
      </c>
      <c r="I74" s="88">
        <v>300</v>
      </c>
      <c r="J74" s="407" t="s">
        <v>390</v>
      </c>
      <c r="K74" s="26" t="s">
        <v>100</v>
      </c>
      <c r="L74" s="36">
        <f t="shared" si="8"/>
        <v>7</v>
      </c>
      <c r="M74" s="97" t="str">
        <f>IF(E74="VEDTATT","VEDTATT",0)</f>
        <v>VEDTATT</v>
      </c>
      <c r="N74" s="97">
        <f>IF(E74="MÅ","Nye tiltak",0)</f>
        <v>0</v>
      </c>
      <c r="O74" s="97"/>
      <c r="P74" s="26"/>
    </row>
    <row r="75" spans="1:20" x14ac:dyDescent="0.25">
      <c r="A75" s="76" t="s">
        <v>95</v>
      </c>
      <c r="B75" s="76" t="str">
        <f t="shared" si="6"/>
        <v>OV8</v>
      </c>
      <c r="C75" s="243" t="s">
        <v>391</v>
      </c>
      <c r="D75" s="70" t="s">
        <v>108</v>
      </c>
      <c r="E75" s="228">
        <v>1</v>
      </c>
      <c r="F75" s="388">
        <v>12258</v>
      </c>
      <c r="G75" s="388">
        <v>12258</v>
      </c>
      <c r="H75" s="108">
        <v>12258</v>
      </c>
      <c r="I75" s="108">
        <v>12258</v>
      </c>
      <c r="J75" s="92" t="s">
        <v>392</v>
      </c>
      <c r="K75" s="26" t="s">
        <v>100</v>
      </c>
      <c r="L75" s="36">
        <f t="shared" si="8"/>
        <v>8</v>
      </c>
    </row>
    <row r="76" spans="1:20" x14ac:dyDescent="0.25">
      <c r="A76" s="76" t="s">
        <v>95</v>
      </c>
      <c r="B76" s="76" t="str">
        <f t="shared" si="6"/>
        <v>OV9</v>
      </c>
      <c r="C76" s="243" t="s">
        <v>324</v>
      </c>
      <c r="D76" s="70" t="s">
        <v>108</v>
      </c>
      <c r="E76" s="228">
        <v>10</v>
      </c>
      <c r="F76" s="388">
        <v>2100</v>
      </c>
      <c r="G76" s="108">
        <v>2100</v>
      </c>
      <c r="H76" s="108">
        <v>2100</v>
      </c>
      <c r="I76" s="108">
        <v>2100</v>
      </c>
      <c r="J76" s="92" t="s">
        <v>325</v>
      </c>
      <c r="K76" s="26" t="s">
        <v>100</v>
      </c>
      <c r="L76" s="36">
        <f t="shared" si="8"/>
        <v>9</v>
      </c>
    </row>
    <row r="77" spans="1:20" x14ac:dyDescent="0.25">
      <c r="A77" s="76" t="s">
        <v>95</v>
      </c>
      <c r="B77" s="76" t="str">
        <f t="shared" si="6"/>
        <v>OV10</v>
      </c>
      <c r="C77" s="243" t="s">
        <v>326</v>
      </c>
      <c r="D77" s="70" t="s">
        <v>108</v>
      </c>
      <c r="E77" s="228"/>
      <c r="J77" s="92" t="s">
        <v>477</v>
      </c>
      <c r="K77" s="26" t="s">
        <v>100</v>
      </c>
      <c r="L77" s="36">
        <f t="shared" si="8"/>
        <v>10</v>
      </c>
    </row>
    <row r="78" spans="1:20" s="36" customFormat="1" x14ac:dyDescent="0.25">
      <c r="A78" s="76"/>
      <c r="B78" s="76" t="str">
        <f t="shared" si="6"/>
        <v>OV11</v>
      </c>
      <c r="C78" s="243"/>
      <c r="D78" s="77"/>
      <c r="E78" s="77"/>
      <c r="F78" s="88"/>
      <c r="G78" s="88"/>
      <c r="H78" s="88"/>
      <c r="I78" s="88"/>
      <c r="J78" s="407"/>
      <c r="K78" s="26" t="s">
        <v>100</v>
      </c>
      <c r="L78" s="36">
        <f t="shared" si="8"/>
        <v>11</v>
      </c>
      <c r="M78" s="97"/>
      <c r="N78" s="97"/>
      <c r="O78" s="251"/>
      <c r="P78" s="26"/>
    </row>
    <row r="79" spans="1:20" x14ac:dyDescent="0.25">
      <c r="B79" s="76" t="str">
        <f t="shared" si="6"/>
        <v>OV12</v>
      </c>
      <c r="J79" s="92"/>
      <c r="K79" s="26" t="s">
        <v>100</v>
      </c>
      <c r="L79" s="36">
        <f t="shared" si="8"/>
        <v>12</v>
      </c>
    </row>
    <row r="80" spans="1:20" s="36" customFormat="1" x14ac:dyDescent="0.25">
      <c r="A80" s="76"/>
      <c r="B80" s="76" t="str">
        <f t="shared" si="6"/>
        <v>OV13</v>
      </c>
      <c r="C80" s="243"/>
      <c r="D80" s="70"/>
      <c r="E80" s="77"/>
      <c r="F80" s="88"/>
      <c r="G80" s="88"/>
      <c r="H80" s="88"/>
      <c r="I80" s="88"/>
      <c r="J80" s="407"/>
      <c r="K80" s="26" t="s">
        <v>100</v>
      </c>
      <c r="L80" s="36">
        <f t="shared" si="8"/>
        <v>13</v>
      </c>
      <c r="M80" s="97"/>
      <c r="N80" s="97"/>
      <c r="O80" s="251"/>
      <c r="P80" s="26"/>
    </row>
    <row r="81" spans="1:16" s="36" customFormat="1" x14ac:dyDescent="0.25">
      <c r="A81" s="76"/>
      <c r="B81" s="76" t="str">
        <f t="shared" si="6"/>
        <v>OV14</v>
      </c>
      <c r="C81" s="243"/>
      <c r="D81" s="70"/>
      <c r="E81" s="77"/>
      <c r="F81" s="88"/>
      <c r="G81" s="88"/>
      <c r="H81" s="88"/>
      <c r="I81" s="88"/>
      <c r="J81" s="408"/>
      <c r="K81" s="26" t="s">
        <v>100</v>
      </c>
      <c r="L81" s="36">
        <f t="shared" si="8"/>
        <v>14</v>
      </c>
      <c r="M81" s="97">
        <f>IF(E81="VEDTATT","VEDTATT",0)</f>
        <v>0</v>
      </c>
      <c r="N81" s="97">
        <f>IF(E81="MÅ","Nye tiltak",0)</f>
        <v>0</v>
      </c>
      <c r="O81" s="251"/>
      <c r="P81" s="26"/>
    </row>
    <row r="82" spans="1:16" s="36" customFormat="1" x14ac:dyDescent="0.25">
      <c r="A82" s="76"/>
      <c r="B82" s="76" t="str">
        <f t="shared" si="6"/>
        <v>OV15</v>
      </c>
      <c r="C82" s="341"/>
      <c r="D82" s="286"/>
      <c r="E82" s="286"/>
      <c r="F82" s="249"/>
      <c r="G82" s="249"/>
      <c r="H82" s="249"/>
      <c r="I82" s="249"/>
      <c r="J82" s="408"/>
      <c r="K82" s="26" t="s">
        <v>100</v>
      </c>
      <c r="L82" s="36">
        <f t="shared" si="8"/>
        <v>15</v>
      </c>
      <c r="M82" s="97"/>
      <c r="N82" s="97"/>
      <c r="O82" s="251"/>
      <c r="P82" s="26"/>
    </row>
    <row r="83" spans="1:16" s="36" customFormat="1" x14ac:dyDescent="0.25">
      <c r="B83" s="76" t="str">
        <f t="shared" si="6"/>
        <v>OV16</v>
      </c>
      <c r="C83" s="80"/>
      <c r="D83" s="286"/>
      <c r="E83" s="286"/>
      <c r="F83" s="249"/>
      <c r="G83" s="249"/>
      <c r="H83" s="249"/>
      <c r="I83" s="249"/>
      <c r="J83" s="207"/>
      <c r="K83" s="26" t="s">
        <v>100</v>
      </c>
      <c r="L83" s="36">
        <f t="shared" si="8"/>
        <v>16</v>
      </c>
    </row>
    <row r="84" spans="1:16" s="36" customFormat="1" x14ac:dyDescent="0.25">
      <c r="A84" s="76"/>
      <c r="B84" s="76" t="str">
        <f t="shared" si="6"/>
        <v>OV17</v>
      </c>
      <c r="D84" s="245"/>
      <c r="E84" s="245"/>
      <c r="F84" s="72"/>
      <c r="G84" s="72"/>
      <c r="H84" s="72"/>
      <c r="I84" s="72"/>
      <c r="J84" s="207"/>
      <c r="K84" s="26" t="s">
        <v>100</v>
      </c>
      <c r="L84" s="36">
        <f t="shared" si="8"/>
        <v>17</v>
      </c>
      <c r="M84" s="97"/>
      <c r="N84" s="97"/>
      <c r="O84" s="97"/>
    </row>
    <row r="85" spans="1:16" x14ac:dyDescent="0.25">
      <c r="B85" s="76" t="str">
        <f t="shared" si="6"/>
        <v>OV18</v>
      </c>
      <c r="J85" s="92"/>
      <c r="K85" s="26" t="s">
        <v>100</v>
      </c>
      <c r="L85" s="36">
        <f t="shared" si="8"/>
        <v>18</v>
      </c>
    </row>
    <row r="86" spans="1:16" s="36" customFormat="1" x14ac:dyDescent="0.25">
      <c r="A86" s="242"/>
      <c r="B86" s="76" t="str">
        <f t="shared" si="6"/>
        <v>OV19</v>
      </c>
      <c r="C86" s="243"/>
      <c r="D86" s="70"/>
      <c r="E86" s="109"/>
      <c r="F86" s="108"/>
      <c r="G86" s="108"/>
      <c r="H86" s="108"/>
      <c r="I86" s="108"/>
      <c r="J86" s="407"/>
      <c r="K86" s="26" t="s">
        <v>100</v>
      </c>
      <c r="L86" s="36">
        <f t="shared" si="8"/>
        <v>19</v>
      </c>
      <c r="M86" s="97"/>
      <c r="N86" s="97"/>
      <c r="O86" s="97"/>
      <c r="P86" s="26"/>
    </row>
    <row r="87" spans="1:16" s="36" customFormat="1" x14ac:dyDescent="0.25">
      <c r="A87" s="242"/>
      <c r="B87" s="76" t="str">
        <f t="shared" si="6"/>
        <v>OV20</v>
      </c>
      <c r="C87" s="243"/>
      <c r="D87" s="70"/>
      <c r="E87" s="109"/>
      <c r="F87"/>
      <c r="G87"/>
      <c r="H87"/>
      <c r="I87"/>
      <c r="J87" s="207"/>
      <c r="K87" s="26" t="s">
        <v>100</v>
      </c>
      <c r="L87" s="36">
        <f t="shared" si="8"/>
        <v>20</v>
      </c>
      <c r="M87" s="97">
        <f>IF(E87="VEDTATT","VEDTATT",0)</f>
        <v>0</v>
      </c>
      <c r="N87" s="97">
        <f>IF(E87="MÅ","Nye tiltak",0)</f>
        <v>0</v>
      </c>
      <c r="O87" s="97"/>
      <c r="P87" s="26"/>
    </row>
    <row r="88" spans="1:16" s="36" customFormat="1" x14ac:dyDescent="0.25">
      <c r="A88" s="242"/>
      <c r="B88" s="76" t="str">
        <f t="shared" si="6"/>
        <v>OV21</v>
      </c>
      <c r="C88" s="243"/>
      <c r="D88" s="70"/>
      <c r="E88" s="109"/>
      <c r="F88"/>
      <c r="G88"/>
      <c r="H88"/>
      <c r="I88"/>
      <c r="J88" s="207"/>
      <c r="K88" s="26" t="s">
        <v>100</v>
      </c>
      <c r="L88" s="36">
        <f t="shared" si="8"/>
        <v>21</v>
      </c>
      <c r="M88" s="97">
        <f>IF(E88="VEDTATT","VEDTATT",0)</f>
        <v>0</v>
      </c>
      <c r="N88" s="97">
        <f>IF(E88="MÅ","Nye tiltak",0)</f>
        <v>0</v>
      </c>
      <c r="O88" s="97"/>
      <c r="P88" s="26"/>
    </row>
    <row r="89" spans="1:16" s="36" customFormat="1" x14ac:dyDescent="0.25">
      <c r="A89" s="242"/>
      <c r="B89" s="76" t="str">
        <f t="shared" si="6"/>
        <v>OV22</v>
      </c>
      <c r="C89" s="243"/>
      <c r="D89" s="212"/>
      <c r="E89" s="212"/>
      <c r="F89" s="108"/>
      <c r="G89" s="108"/>
      <c r="H89" s="108"/>
      <c r="I89" s="108"/>
      <c r="J89" s="407"/>
      <c r="K89" s="26" t="s">
        <v>100</v>
      </c>
      <c r="L89" s="36">
        <f t="shared" si="8"/>
        <v>22</v>
      </c>
      <c r="M89" s="97"/>
      <c r="N89" s="97"/>
      <c r="O89" s="97"/>
      <c r="P89" s="26"/>
    </row>
    <row r="90" spans="1:16" s="36" customFormat="1" x14ac:dyDescent="0.25">
      <c r="A90" s="46"/>
      <c r="B90" s="46"/>
      <c r="C90" s="11"/>
      <c r="D90" s="48"/>
      <c r="E90" s="48"/>
      <c r="F90" s="56"/>
      <c r="G90" s="56"/>
      <c r="H90" s="56"/>
      <c r="I90" s="56"/>
      <c r="J90" s="207"/>
      <c r="M90" s="97"/>
      <c r="N90" s="97"/>
      <c r="O90" s="97"/>
      <c r="P90" s="26"/>
    </row>
    <row r="91" spans="1:16" s="1" customFormat="1" x14ac:dyDescent="0.25">
      <c r="A91" s="42"/>
      <c r="B91" s="42"/>
      <c r="C91" s="14" t="s">
        <v>119</v>
      </c>
      <c r="D91" s="48"/>
      <c r="E91" s="48"/>
      <c r="F91" s="4">
        <f>F67</f>
        <v>2022</v>
      </c>
      <c r="G91" s="4">
        <f>F91+1</f>
        <v>2023</v>
      </c>
      <c r="H91" s="4">
        <f>G91+1</f>
        <v>2024</v>
      </c>
      <c r="I91" s="4">
        <f>H91+1</f>
        <v>2025</v>
      </c>
      <c r="J91" s="207"/>
      <c r="K91" s="335"/>
      <c r="L91" s="335"/>
      <c r="M91" s="97"/>
      <c r="N91" s="97"/>
      <c r="O91" s="97"/>
      <c r="P91" s="27"/>
    </row>
    <row r="92" spans="1:16" s="36" customFormat="1" x14ac:dyDescent="0.25">
      <c r="A92" s="76" t="s">
        <v>95</v>
      </c>
      <c r="B92" s="76" t="str">
        <f t="shared" ref="B92:B102" si="9">IF(L92,K92&amp;L92,"")</f>
        <v>OV23</v>
      </c>
      <c r="C92" s="243" t="s">
        <v>120</v>
      </c>
      <c r="D92" s="70" t="s">
        <v>105</v>
      </c>
      <c r="E92" s="77" t="s">
        <v>98</v>
      </c>
      <c r="F92" s="425"/>
      <c r="G92" s="425"/>
      <c r="H92" s="425">
        <f>I92/12*5</f>
        <v>6666.6666666666661</v>
      </c>
      <c r="I92" s="425">
        <v>16000</v>
      </c>
      <c r="J92" s="255" t="s">
        <v>393</v>
      </c>
      <c r="K92" s="26" t="s">
        <v>100</v>
      </c>
      <c r="L92" s="26">
        <f>L89+1</f>
        <v>23</v>
      </c>
      <c r="M92" s="97" t="str">
        <f>IF(E92="VEDTATT","VEDTATT",0)</f>
        <v>VEDTATT</v>
      </c>
      <c r="N92" s="97">
        <f>IF(E92="MÅ","Nye tiltak",0)</f>
        <v>0</v>
      </c>
      <c r="O92" s="97"/>
      <c r="P92" s="26"/>
    </row>
    <row r="93" spans="1:16" s="36" customFormat="1" x14ac:dyDescent="0.25">
      <c r="A93" s="76" t="s">
        <v>95</v>
      </c>
      <c r="B93" s="76" t="str">
        <f t="shared" si="9"/>
        <v>OV24</v>
      </c>
      <c r="C93" s="243" t="s">
        <v>122</v>
      </c>
      <c r="D93" s="70" t="s">
        <v>105</v>
      </c>
      <c r="E93" s="77" t="s">
        <v>98</v>
      </c>
      <c r="F93" s="425"/>
      <c r="G93" s="425"/>
      <c r="H93" s="425">
        <f>I93/12*5</f>
        <v>-1332.0833333333335</v>
      </c>
      <c r="I93" s="425">
        <v>-3197</v>
      </c>
      <c r="J93" s="255" t="s">
        <v>394</v>
      </c>
      <c r="K93" s="26" t="s">
        <v>100</v>
      </c>
      <c r="L93" s="26">
        <f t="shared" ref="L93:L101" si="10">L92+1</f>
        <v>24</v>
      </c>
      <c r="M93" s="97" t="str">
        <f>IF(E93="VEDTATT","VEDTATT",0)</f>
        <v>VEDTATT</v>
      </c>
      <c r="N93" s="97">
        <f>IF(E93="MÅ","Nye tiltak",0)</f>
        <v>0</v>
      </c>
      <c r="O93" s="97"/>
      <c r="P93" s="26"/>
    </row>
    <row r="94" spans="1:16" s="36" customFormat="1" x14ac:dyDescent="0.25">
      <c r="A94" s="76" t="s">
        <v>95</v>
      </c>
      <c r="B94" s="76" t="str">
        <f t="shared" si="9"/>
        <v>OV25</v>
      </c>
      <c r="C94" s="243" t="s">
        <v>124</v>
      </c>
      <c r="D94" s="70" t="s">
        <v>105</v>
      </c>
      <c r="E94" s="77" t="s">
        <v>98</v>
      </c>
      <c r="F94" s="72">
        <v>-5390</v>
      </c>
      <c r="G94" s="72">
        <v>-5390</v>
      </c>
      <c r="H94" s="72">
        <v>-5390</v>
      </c>
      <c r="I94" s="72">
        <v>-5390</v>
      </c>
      <c r="J94" s="340"/>
      <c r="K94" s="26" t="s">
        <v>100</v>
      </c>
      <c r="L94" s="26">
        <f t="shared" si="10"/>
        <v>25</v>
      </c>
      <c r="M94" s="97" t="str">
        <f>IF(E94="VEDTATT","VEDTATT",0)</f>
        <v>VEDTATT</v>
      </c>
      <c r="N94" s="97">
        <f>IF(E94="MÅ","Nye tiltak",0)</f>
        <v>0</v>
      </c>
      <c r="O94" s="97"/>
      <c r="P94" s="26"/>
    </row>
    <row r="95" spans="1:16" s="36" customFormat="1" x14ac:dyDescent="0.25">
      <c r="A95" s="76" t="s">
        <v>95</v>
      </c>
      <c r="B95" s="76" t="str">
        <f t="shared" si="9"/>
        <v>OV26</v>
      </c>
      <c r="C95" s="243" t="s">
        <v>328</v>
      </c>
      <c r="D95" s="70" t="s">
        <v>105</v>
      </c>
      <c r="E95" s="77" t="s">
        <v>98</v>
      </c>
      <c r="F95" s="88"/>
      <c r="G95" s="88"/>
      <c r="H95" s="88"/>
      <c r="I95" s="88"/>
      <c r="J95" s="207"/>
      <c r="K95" s="26" t="s">
        <v>100</v>
      </c>
      <c r="L95" s="26">
        <f t="shared" si="10"/>
        <v>26</v>
      </c>
      <c r="M95" s="97" t="str">
        <f>IF(E95="VEDTATT","VEDTATT",0)</f>
        <v>VEDTATT</v>
      </c>
      <c r="N95" s="97">
        <f>IF(E95="MÅ","Nye tiltak",0)</f>
        <v>0</v>
      </c>
      <c r="O95" s="97"/>
      <c r="P95" s="26"/>
    </row>
    <row r="96" spans="1:16" s="36" customFormat="1" x14ac:dyDescent="0.25">
      <c r="A96" s="76" t="s">
        <v>95</v>
      </c>
      <c r="B96" s="76" t="str">
        <f t="shared" si="9"/>
        <v>OV27</v>
      </c>
      <c r="C96" s="243" t="s">
        <v>125</v>
      </c>
      <c r="D96" s="77" t="s">
        <v>97</v>
      </c>
      <c r="E96" s="77" t="s">
        <v>98</v>
      </c>
      <c r="F96" s="418">
        <v>19000</v>
      </c>
      <c r="G96" s="418">
        <v>19000</v>
      </c>
      <c r="H96" s="418">
        <v>19000</v>
      </c>
      <c r="I96" s="418">
        <v>19000</v>
      </c>
      <c r="J96" s="255" t="s">
        <v>395</v>
      </c>
      <c r="K96" s="26" t="s">
        <v>100</v>
      </c>
      <c r="L96" s="26">
        <f t="shared" si="10"/>
        <v>27</v>
      </c>
      <c r="M96" s="97"/>
      <c r="N96" s="97"/>
      <c r="O96" s="97"/>
      <c r="P96" s="26"/>
    </row>
    <row r="97" spans="1:21" s="36" customFormat="1" x14ac:dyDescent="0.25">
      <c r="A97" s="76" t="s">
        <v>95</v>
      </c>
      <c r="B97" s="76" t="str">
        <f t="shared" si="9"/>
        <v>OV28</v>
      </c>
      <c r="C97" s="341"/>
      <c r="D97" s="286"/>
      <c r="E97" s="286"/>
      <c r="F97" s="249"/>
      <c r="G97" s="249"/>
      <c r="H97" s="249"/>
      <c r="I97" s="249"/>
      <c r="J97" s="340"/>
      <c r="K97" s="26" t="s">
        <v>100</v>
      </c>
      <c r="L97" s="26">
        <f t="shared" si="10"/>
        <v>28</v>
      </c>
      <c r="M97" s="97"/>
      <c r="N97" s="97"/>
      <c r="O97" s="97"/>
      <c r="P97" s="26"/>
    </row>
    <row r="98" spans="1:21" s="36" customFormat="1" x14ac:dyDescent="0.25">
      <c r="A98" s="76" t="s">
        <v>95</v>
      </c>
      <c r="B98" s="76" t="str">
        <f t="shared" si="9"/>
        <v>OV29</v>
      </c>
      <c r="C98" s="341"/>
      <c r="D98" s="286"/>
      <c r="E98" s="286"/>
      <c r="F98" s="249"/>
      <c r="G98" s="249"/>
      <c r="H98" s="249"/>
      <c r="I98" s="249"/>
      <c r="J98" s="340"/>
      <c r="K98" s="26" t="s">
        <v>100</v>
      </c>
      <c r="L98" s="26">
        <f t="shared" si="10"/>
        <v>29</v>
      </c>
      <c r="M98" s="97"/>
      <c r="N98" s="97"/>
      <c r="O98" s="97"/>
      <c r="P98" s="26"/>
    </row>
    <row r="99" spans="1:21" s="36" customFormat="1" x14ac:dyDescent="0.25">
      <c r="A99" s="76" t="s">
        <v>95</v>
      </c>
      <c r="B99" s="76" t="str">
        <f t="shared" si="9"/>
        <v>OV30</v>
      </c>
      <c r="C99" s="341"/>
      <c r="D99" s="286"/>
      <c r="E99" s="286"/>
      <c r="F99" s="249"/>
      <c r="G99" s="249"/>
      <c r="H99" s="249"/>
      <c r="I99" s="249"/>
      <c r="J99" s="340"/>
      <c r="K99" s="26" t="s">
        <v>100</v>
      </c>
      <c r="L99" s="26">
        <f t="shared" si="10"/>
        <v>30</v>
      </c>
      <c r="M99" s="97"/>
      <c r="N99" s="97"/>
      <c r="O99" s="97"/>
      <c r="P99" s="26"/>
    </row>
    <row r="100" spans="1:21" s="36" customFormat="1" x14ac:dyDescent="0.25">
      <c r="A100" s="76" t="s">
        <v>95</v>
      </c>
      <c r="B100" s="76" t="str">
        <f t="shared" si="9"/>
        <v>OV31</v>
      </c>
      <c r="C100" s="341"/>
      <c r="D100" s="286"/>
      <c r="E100" s="286"/>
      <c r="F100" s="249"/>
      <c r="G100" s="249"/>
      <c r="H100" s="249"/>
      <c r="I100" s="249"/>
      <c r="J100" s="340"/>
      <c r="K100" s="26" t="s">
        <v>100</v>
      </c>
      <c r="L100" s="26">
        <f t="shared" si="10"/>
        <v>31</v>
      </c>
      <c r="M100" s="97"/>
      <c r="N100" s="97"/>
      <c r="O100" s="97"/>
      <c r="P100" s="26"/>
    </row>
    <row r="101" spans="1:21" s="36" customFormat="1" x14ac:dyDescent="0.25">
      <c r="A101" s="76" t="s">
        <v>95</v>
      </c>
      <c r="B101" s="76" t="str">
        <f t="shared" si="9"/>
        <v>OV32</v>
      </c>
      <c r="C101" s="341"/>
      <c r="D101" s="348"/>
      <c r="E101" s="348"/>
      <c r="F101" s="249"/>
      <c r="G101" s="249"/>
      <c r="H101" s="249"/>
      <c r="I101" s="249"/>
      <c r="J101" s="91"/>
      <c r="K101" s="26" t="s">
        <v>100</v>
      </c>
      <c r="L101" s="26">
        <f t="shared" si="10"/>
        <v>32</v>
      </c>
      <c r="M101" s="97">
        <f>IF(E101="VEDTATT","VEDTATT",0)</f>
        <v>0</v>
      </c>
      <c r="N101" s="97">
        <f>IF(E101="MÅ","Nye tiltak",0)</f>
        <v>0</v>
      </c>
      <c r="O101" s="97"/>
      <c r="P101" s="26"/>
    </row>
    <row r="102" spans="1:21" s="36" customFormat="1" x14ac:dyDescent="0.25">
      <c r="A102" s="76"/>
      <c r="B102" s="76" t="str">
        <f t="shared" si="9"/>
        <v/>
      </c>
      <c r="C102" s="243"/>
      <c r="J102" s="91"/>
      <c r="K102" s="26" t="s">
        <v>100</v>
      </c>
      <c r="L102" s="26"/>
      <c r="M102" s="97">
        <f>IF(E102="VEDTATT","VEDTATT",0)</f>
        <v>0</v>
      </c>
      <c r="N102" s="97">
        <f>IF(E102="MÅ","Nye tiltak",0)</f>
        <v>0</v>
      </c>
      <c r="O102" s="97"/>
      <c r="P102" s="26"/>
    </row>
    <row r="103" spans="1:21" s="36" customFormat="1" x14ac:dyDescent="0.25">
      <c r="A103" s="76"/>
      <c r="B103" s="76"/>
      <c r="C103" s="80" t="s">
        <v>129</v>
      </c>
      <c r="D103" s="94"/>
      <c r="E103" s="69"/>
      <c r="F103" s="4">
        <f>F91</f>
        <v>2022</v>
      </c>
      <c r="G103" s="4">
        <f>F103+1</f>
        <v>2023</v>
      </c>
      <c r="H103" s="4">
        <f>G103+1</f>
        <v>2024</v>
      </c>
      <c r="I103" s="4">
        <f>H103+1</f>
        <v>2025</v>
      </c>
      <c r="J103" s="207"/>
      <c r="K103" s="335"/>
      <c r="L103" s="335"/>
      <c r="M103" s="97"/>
      <c r="N103" s="97"/>
      <c r="O103" s="97"/>
      <c r="P103" s="26"/>
      <c r="Q103" s="2"/>
      <c r="R103" s="2"/>
      <c r="S103" s="2"/>
      <c r="T103" s="2"/>
      <c r="U103" s="2"/>
    </row>
    <row r="104" spans="1:21" s="36" customFormat="1" x14ac:dyDescent="0.25">
      <c r="A104" s="76" t="s">
        <v>95</v>
      </c>
      <c r="B104" s="76" t="str">
        <f t="shared" ref="B104:B125" si="11">IF(L104,K104&amp;L104,"")</f>
        <v>OV33</v>
      </c>
      <c r="C104" s="243" t="s">
        <v>130</v>
      </c>
      <c r="D104" s="70" t="s">
        <v>105</v>
      </c>
      <c r="E104" s="109" t="s">
        <v>98</v>
      </c>
      <c r="F104" s="72">
        <v>0</v>
      </c>
      <c r="G104" s="72">
        <v>990</v>
      </c>
      <c r="H104" s="72">
        <v>990</v>
      </c>
      <c r="I104" s="72">
        <v>990</v>
      </c>
      <c r="J104" s="207"/>
      <c r="K104" s="26" t="s">
        <v>100</v>
      </c>
      <c r="L104" s="26">
        <f>L101+1</f>
        <v>33</v>
      </c>
      <c r="M104" s="97" t="str">
        <f>IF(E104="VEDTATT","VEDTATT",0)</f>
        <v>VEDTATT</v>
      </c>
      <c r="N104" s="97">
        <f>IF(E104="MÅ","Nye tiltak",0)</f>
        <v>0</v>
      </c>
      <c r="O104" s="97"/>
      <c r="P104" s="26"/>
    </row>
    <row r="105" spans="1:21" s="36" customFormat="1" x14ac:dyDescent="0.25">
      <c r="A105" s="76" t="s">
        <v>95</v>
      </c>
      <c r="B105" s="76" t="str">
        <f t="shared" si="11"/>
        <v>OV34</v>
      </c>
      <c r="C105" s="243" t="s">
        <v>148</v>
      </c>
      <c r="D105" s="70" t="s">
        <v>97</v>
      </c>
      <c r="E105" s="77" t="s">
        <v>98</v>
      </c>
      <c r="F105" s="88">
        <v>1357</v>
      </c>
      <c r="G105" s="88">
        <v>1357</v>
      </c>
      <c r="H105" s="88">
        <v>1357</v>
      </c>
      <c r="I105" s="88">
        <v>1357</v>
      </c>
      <c r="J105" s="207"/>
      <c r="K105" s="26" t="s">
        <v>100</v>
      </c>
      <c r="L105" s="26">
        <f t="shared" ref="L105:L122" si="12">L104+1</f>
        <v>34</v>
      </c>
      <c r="M105" s="97" t="str">
        <f>IF(E105="VEDTATT","VEDTATT",0)</f>
        <v>VEDTATT</v>
      </c>
      <c r="N105" s="97">
        <f>IF(E105="MÅ","Nye tiltak",0)</f>
        <v>0</v>
      </c>
      <c r="O105" s="97"/>
      <c r="P105" s="26"/>
    </row>
    <row r="106" spans="1:21" s="36" customFormat="1" ht="25.5" x14ac:dyDescent="0.25">
      <c r="A106" s="76" t="s">
        <v>95</v>
      </c>
      <c r="B106" s="76" t="str">
        <f t="shared" si="11"/>
        <v>OV35</v>
      </c>
      <c r="C106" s="243" t="s">
        <v>150</v>
      </c>
      <c r="D106" s="70" t="s">
        <v>97</v>
      </c>
      <c r="E106" s="109" t="s">
        <v>98</v>
      </c>
      <c r="F106" s="88">
        <v>1160</v>
      </c>
      <c r="G106" s="88">
        <v>1160</v>
      </c>
      <c r="H106" s="88">
        <v>1160</v>
      </c>
      <c r="I106" s="88">
        <v>1160</v>
      </c>
      <c r="J106" s="207"/>
      <c r="K106" s="26" t="s">
        <v>100</v>
      </c>
      <c r="L106" s="26">
        <f t="shared" si="12"/>
        <v>35</v>
      </c>
      <c r="M106" s="97" t="str">
        <f>IF(E106="VEDTATT","VEDTATT",0)</f>
        <v>VEDTATT</v>
      </c>
      <c r="N106" s="97">
        <f>IF(E106="MÅ","Nye tiltak",0)</f>
        <v>0</v>
      </c>
      <c r="O106" s="97"/>
      <c r="P106" s="26"/>
    </row>
    <row r="107" spans="1:21" s="36" customFormat="1" x14ac:dyDescent="0.25">
      <c r="A107" s="76" t="s">
        <v>95</v>
      </c>
      <c r="B107" s="76" t="str">
        <f t="shared" si="11"/>
        <v>OV36</v>
      </c>
      <c r="C107" s="243" t="s">
        <v>330</v>
      </c>
      <c r="D107" s="70" t="s">
        <v>105</v>
      </c>
      <c r="E107" s="69" t="s">
        <v>98</v>
      </c>
      <c r="F107" s="189"/>
      <c r="G107" s="189">
        <v>-3040</v>
      </c>
      <c r="H107" s="189">
        <v>-3040</v>
      </c>
      <c r="I107" s="189">
        <v>-3040</v>
      </c>
      <c r="J107" s="207" t="s">
        <v>132</v>
      </c>
      <c r="K107" s="26" t="s">
        <v>100</v>
      </c>
      <c r="L107" s="26">
        <f t="shared" si="12"/>
        <v>36</v>
      </c>
      <c r="M107" s="97" t="str">
        <f>IF(E108="VEDTATT","VEDTATT",0)</f>
        <v>VEDTATT</v>
      </c>
      <c r="N107" s="97">
        <f>IF(E108="MÅ","Nye tiltak",0)</f>
        <v>0</v>
      </c>
      <c r="O107" s="97"/>
      <c r="P107" s="26"/>
    </row>
    <row r="108" spans="1:21" s="36" customFormat="1" x14ac:dyDescent="0.25">
      <c r="A108" s="76" t="s">
        <v>95</v>
      </c>
      <c r="B108" s="76" t="str">
        <f t="shared" si="11"/>
        <v>OV37</v>
      </c>
      <c r="C108" s="243" t="s">
        <v>133</v>
      </c>
      <c r="D108" s="70" t="s">
        <v>97</v>
      </c>
      <c r="E108" s="69" t="s">
        <v>98</v>
      </c>
      <c r="F108" s="189"/>
      <c r="G108" s="189"/>
      <c r="H108" s="189"/>
      <c r="I108" s="189"/>
      <c r="J108" s="207"/>
      <c r="K108" s="26" t="s">
        <v>100</v>
      </c>
      <c r="L108" s="26">
        <f t="shared" si="12"/>
        <v>37</v>
      </c>
      <c r="M108" s="97" t="str">
        <f>IF(E109="VEDTATT","VEDTATT",0)</f>
        <v>VEDTATT</v>
      </c>
      <c r="N108" s="97">
        <f>IF(E109="MÅ","Nye tiltak",0)</f>
        <v>0</v>
      </c>
      <c r="O108" s="97"/>
      <c r="P108" s="26"/>
    </row>
    <row r="109" spans="1:21" s="36" customFormat="1" x14ac:dyDescent="0.25">
      <c r="A109" s="76" t="s">
        <v>95</v>
      </c>
      <c r="B109" s="76" t="str">
        <f t="shared" si="11"/>
        <v>OV38</v>
      </c>
      <c r="C109" s="243" t="s">
        <v>134</v>
      </c>
      <c r="D109" s="392" t="s">
        <v>97</v>
      </c>
      <c r="E109" s="393" t="s">
        <v>98</v>
      </c>
      <c r="F109" s="395"/>
      <c r="G109" s="395"/>
      <c r="H109" s="395"/>
      <c r="I109" s="395"/>
      <c r="J109" s="207"/>
      <c r="K109" s="26" t="s">
        <v>100</v>
      </c>
      <c r="L109" s="26">
        <f t="shared" si="12"/>
        <v>38</v>
      </c>
      <c r="M109" s="97"/>
      <c r="N109" s="97"/>
      <c r="O109" s="97"/>
      <c r="P109" s="26"/>
    </row>
    <row r="110" spans="1:21" s="36" customFormat="1" x14ac:dyDescent="0.25">
      <c r="A110" s="76" t="s">
        <v>95</v>
      </c>
      <c r="B110" s="76" t="str">
        <f t="shared" ref="B110:B112" si="13">IF(L110,K110&amp;L110,"")</f>
        <v>OV39</v>
      </c>
      <c r="C110" s="243" t="s">
        <v>396</v>
      </c>
      <c r="D110" s="392" t="s">
        <v>108</v>
      </c>
      <c r="E110" s="405">
        <v>1</v>
      </c>
      <c r="F110" s="395">
        <v>1500</v>
      </c>
      <c r="G110" s="395">
        <f t="shared" ref="G110:I110" si="14">F110</f>
        <v>1500</v>
      </c>
      <c r="H110" s="395">
        <f t="shared" si="14"/>
        <v>1500</v>
      </c>
      <c r="I110" s="395">
        <f t="shared" si="14"/>
        <v>1500</v>
      </c>
      <c r="J110" s="429">
        <v>7</v>
      </c>
      <c r="K110" s="26" t="s">
        <v>100</v>
      </c>
      <c r="L110" s="26">
        <f>L109+1</f>
        <v>39</v>
      </c>
      <c r="M110" s="97"/>
      <c r="N110" s="97"/>
      <c r="O110" s="97"/>
      <c r="P110" s="26"/>
    </row>
    <row r="111" spans="1:21" s="36" customFormat="1" x14ac:dyDescent="0.25">
      <c r="A111" s="76" t="s">
        <v>95</v>
      </c>
      <c r="B111" s="76" t="str">
        <f t="shared" si="13"/>
        <v>OV40</v>
      </c>
      <c r="C111" s="243" t="s">
        <v>398</v>
      </c>
      <c r="D111" s="392" t="s">
        <v>108</v>
      </c>
      <c r="E111" s="405">
        <v>2</v>
      </c>
      <c r="F111" s="395">
        <v>1500</v>
      </c>
      <c r="G111" s="395">
        <f t="shared" ref="G111:I111" si="15">F111</f>
        <v>1500</v>
      </c>
      <c r="H111" s="395">
        <f t="shared" si="15"/>
        <v>1500</v>
      </c>
      <c r="I111" s="395">
        <f t="shared" si="15"/>
        <v>1500</v>
      </c>
      <c r="J111" s="429">
        <v>6</v>
      </c>
      <c r="K111" s="26" t="s">
        <v>100</v>
      </c>
      <c r="L111" s="26">
        <f t="shared" si="12"/>
        <v>40</v>
      </c>
      <c r="M111" s="97"/>
      <c r="N111" s="97"/>
      <c r="O111" s="97"/>
      <c r="P111" s="26"/>
    </row>
    <row r="112" spans="1:21" s="36" customFormat="1" x14ac:dyDescent="0.25">
      <c r="A112" s="76" t="s">
        <v>95</v>
      </c>
      <c r="B112" s="76" t="str">
        <f t="shared" si="13"/>
        <v>OV41</v>
      </c>
      <c r="C112" s="243" t="s">
        <v>135</v>
      </c>
      <c r="D112" s="392" t="s">
        <v>108</v>
      </c>
      <c r="E112" s="405" t="s">
        <v>46</v>
      </c>
      <c r="F112" s="395">
        <v>1800</v>
      </c>
      <c r="G112" s="395">
        <f>F112</f>
        <v>1800</v>
      </c>
      <c r="H112" s="395">
        <f t="shared" ref="H112:I112" si="16">G112</f>
        <v>1800</v>
      </c>
      <c r="I112" s="395">
        <f t="shared" si="16"/>
        <v>1800</v>
      </c>
      <c r="J112" s="429">
        <v>3</v>
      </c>
      <c r="K112" s="26" t="s">
        <v>100</v>
      </c>
      <c r="L112" s="26">
        <f t="shared" si="12"/>
        <v>41</v>
      </c>
      <c r="M112" s="97"/>
      <c r="N112" s="97"/>
      <c r="O112" s="97"/>
      <c r="P112" s="26"/>
    </row>
    <row r="113" spans="1:16" s="36" customFormat="1" x14ac:dyDescent="0.25">
      <c r="A113" s="76" t="s">
        <v>95</v>
      </c>
      <c r="B113" s="76" t="str">
        <f t="shared" si="11"/>
        <v>OV42</v>
      </c>
      <c r="C113" s="243" t="s">
        <v>136</v>
      </c>
      <c r="D113" s="392" t="s">
        <v>108</v>
      </c>
      <c r="E113" s="405" t="s">
        <v>46</v>
      </c>
      <c r="F113" s="395">
        <v>8000</v>
      </c>
      <c r="G113" s="395">
        <f t="shared" ref="G113:I113" si="17">F113</f>
        <v>8000</v>
      </c>
      <c r="H113" s="395">
        <f t="shared" si="17"/>
        <v>8000</v>
      </c>
      <c r="I113" s="395">
        <f t="shared" si="17"/>
        <v>8000</v>
      </c>
      <c r="J113" s="429">
        <v>2</v>
      </c>
      <c r="K113" s="26" t="s">
        <v>100</v>
      </c>
      <c r="L113" s="26">
        <f t="shared" si="12"/>
        <v>42</v>
      </c>
      <c r="M113" s="97"/>
      <c r="N113" s="97"/>
      <c r="O113" s="97"/>
      <c r="P113" s="26"/>
    </row>
    <row r="114" spans="1:16" s="36" customFormat="1" x14ac:dyDescent="0.25">
      <c r="A114" s="76" t="s">
        <v>95</v>
      </c>
      <c r="B114" s="76" t="str">
        <f t="shared" si="11"/>
        <v>OV43</v>
      </c>
      <c r="C114" s="243" t="s">
        <v>137</v>
      </c>
      <c r="D114" s="392" t="s">
        <v>108</v>
      </c>
      <c r="E114" s="405" t="s">
        <v>46</v>
      </c>
      <c r="F114" s="395">
        <v>34000</v>
      </c>
      <c r="G114" s="395">
        <f t="shared" ref="G114:I117" si="18">F114</f>
        <v>34000</v>
      </c>
      <c r="H114" s="395">
        <f t="shared" si="18"/>
        <v>34000</v>
      </c>
      <c r="I114" s="395">
        <f t="shared" si="18"/>
        <v>34000</v>
      </c>
      <c r="J114" s="429">
        <v>1</v>
      </c>
      <c r="K114" s="26" t="s">
        <v>100</v>
      </c>
      <c r="L114" s="26">
        <f t="shared" si="12"/>
        <v>43</v>
      </c>
      <c r="M114" s="97"/>
      <c r="N114" s="97"/>
      <c r="O114" s="97"/>
      <c r="P114" s="26"/>
    </row>
    <row r="115" spans="1:16" s="36" customFormat="1" x14ac:dyDescent="0.25">
      <c r="A115" s="76" t="s">
        <v>95</v>
      </c>
      <c r="B115" s="76" t="str">
        <f t="shared" ref="B115:B116" si="19">IF(L115,K115&amp;L115,"")</f>
        <v>OV44</v>
      </c>
      <c r="C115" s="243" t="s">
        <v>399</v>
      </c>
      <c r="D115" s="392" t="s">
        <v>108</v>
      </c>
      <c r="E115" s="405">
        <v>3</v>
      </c>
      <c r="F115" s="395">
        <v>2300</v>
      </c>
      <c r="G115" s="395">
        <f t="shared" ref="G115:I115" si="20">F115</f>
        <v>2300</v>
      </c>
      <c r="H115" s="395">
        <f t="shared" si="20"/>
        <v>2300</v>
      </c>
      <c r="I115" s="395">
        <f t="shared" si="20"/>
        <v>2300</v>
      </c>
      <c r="J115" s="429">
        <v>5</v>
      </c>
      <c r="K115" s="26" t="s">
        <v>100</v>
      </c>
      <c r="L115" s="26">
        <f t="shared" si="12"/>
        <v>44</v>
      </c>
      <c r="M115" s="97"/>
      <c r="N115" s="97"/>
      <c r="O115" s="97"/>
      <c r="P115" s="26"/>
    </row>
    <row r="116" spans="1:16" s="36" customFormat="1" x14ac:dyDescent="0.25">
      <c r="A116" s="76" t="s">
        <v>95</v>
      </c>
      <c r="B116" s="76" t="str">
        <f t="shared" si="19"/>
        <v>OV45</v>
      </c>
      <c r="C116" s="243" t="s">
        <v>401</v>
      </c>
      <c r="D116" s="392" t="s">
        <v>108</v>
      </c>
      <c r="E116" s="405">
        <v>4</v>
      </c>
      <c r="F116" s="395">
        <v>3800</v>
      </c>
      <c r="G116" s="395">
        <f t="shared" ref="G116:I116" si="21">F116</f>
        <v>3800</v>
      </c>
      <c r="H116" s="395">
        <f t="shared" si="21"/>
        <v>3800</v>
      </c>
      <c r="I116" s="395">
        <f t="shared" si="21"/>
        <v>3800</v>
      </c>
      <c r="J116" s="429">
        <v>4</v>
      </c>
      <c r="K116" s="26" t="s">
        <v>100</v>
      </c>
      <c r="L116" s="26">
        <f t="shared" si="12"/>
        <v>45</v>
      </c>
      <c r="M116" s="97"/>
      <c r="N116" s="97"/>
      <c r="O116" s="97"/>
      <c r="P116" s="26"/>
    </row>
    <row r="117" spans="1:16" s="36" customFormat="1" x14ac:dyDescent="0.25">
      <c r="A117" s="76" t="s">
        <v>95</v>
      </c>
      <c r="B117" s="76" t="str">
        <f t="shared" si="11"/>
        <v>OV46</v>
      </c>
      <c r="C117" s="243" t="s">
        <v>138</v>
      </c>
      <c r="D117" s="392" t="s">
        <v>108</v>
      </c>
      <c r="E117" s="405">
        <v>5</v>
      </c>
      <c r="F117" s="395">
        <v>1900</v>
      </c>
      <c r="G117" s="395">
        <f t="shared" si="18"/>
        <v>1900</v>
      </c>
      <c r="H117" s="395">
        <f t="shared" si="18"/>
        <v>1900</v>
      </c>
      <c r="I117" s="395">
        <f t="shared" si="18"/>
        <v>1900</v>
      </c>
      <c r="J117" s="429">
        <v>8</v>
      </c>
      <c r="K117" s="26" t="s">
        <v>100</v>
      </c>
      <c r="L117" s="26">
        <f t="shared" si="12"/>
        <v>46</v>
      </c>
      <c r="M117" s="97"/>
      <c r="N117" s="97"/>
      <c r="O117" s="97"/>
      <c r="P117" s="26"/>
    </row>
    <row r="118" spans="1:16" s="36" customFormat="1" ht="25.5" x14ac:dyDescent="0.25">
      <c r="A118" s="76" t="s">
        <v>95</v>
      </c>
      <c r="B118" s="76" t="str">
        <f t="shared" ref="B118" si="22">IF(L118,K118&amp;L118,"")</f>
        <v>OV47</v>
      </c>
      <c r="C118" s="243" t="s">
        <v>403</v>
      </c>
      <c r="D118" s="392" t="s">
        <v>108</v>
      </c>
      <c r="E118" s="405">
        <v>8</v>
      </c>
      <c r="F118" s="395"/>
      <c r="G118" s="395">
        <f t="shared" ref="G118:I118" si="23">F118</f>
        <v>0</v>
      </c>
      <c r="H118" s="395">
        <f t="shared" si="23"/>
        <v>0</v>
      </c>
      <c r="I118" s="395">
        <f t="shared" si="23"/>
        <v>0</v>
      </c>
      <c r="J118" s="429">
        <v>9</v>
      </c>
      <c r="K118" s="26" t="s">
        <v>100</v>
      </c>
      <c r="L118" s="26">
        <f t="shared" si="12"/>
        <v>47</v>
      </c>
      <c r="M118" s="97"/>
      <c r="N118" s="97"/>
      <c r="O118" s="97"/>
      <c r="P118" s="26"/>
    </row>
    <row r="119" spans="1:16" s="36" customFormat="1" x14ac:dyDescent="0.25">
      <c r="A119" s="76" t="s">
        <v>95</v>
      </c>
      <c r="B119" s="76" t="str">
        <f t="shared" ref="B119:B121" si="24">IF(L119,K119&amp;L119,"")</f>
        <v>OV48</v>
      </c>
      <c r="C119" s="243" t="s">
        <v>478</v>
      </c>
      <c r="D119" s="392" t="s">
        <v>108</v>
      </c>
      <c r="E119" s="109" t="s">
        <v>342</v>
      </c>
      <c r="F119" s="395">
        <v>600</v>
      </c>
      <c r="G119" s="395">
        <f t="shared" ref="G119:I119" si="25">F119</f>
        <v>600</v>
      </c>
      <c r="H119" s="395">
        <f t="shared" si="25"/>
        <v>600</v>
      </c>
      <c r="I119" s="395">
        <f t="shared" si="25"/>
        <v>600</v>
      </c>
      <c r="J119" s="429"/>
      <c r="K119" s="26" t="s">
        <v>100</v>
      </c>
      <c r="L119" s="26">
        <f t="shared" si="12"/>
        <v>48</v>
      </c>
      <c r="M119" s="97"/>
      <c r="N119" s="97"/>
      <c r="O119" s="97"/>
      <c r="P119" s="26"/>
    </row>
    <row r="120" spans="1:16" s="36" customFormat="1" x14ac:dyDescent="0.25">
      <c r="A120" s="76" t="s">
        <v>95</v>
      </c>
      <c r="B120" s="76" t="str">
        <f>IF(L120,K120&amp;L120,"")</f>
        <v>OV49</v>
      </c>
      <c r="C120" s="243" t="s">
        <v>331</v>
      </c>
      <c r="D120" s="392" t="s">
        <v>108</v>
      </c>
      <c r="E120" s="405" t="s">
        <v>46</v>
      </c>
      <c r="F120" s="395">
        <v>950</v>
      </c>
      <c r="G120" s="395">
        <f t="shared" ref="G120:I121" si="26">F120</f>
        <v>950</v>
      </c>
      <c r="H120" s="395">
        <f t="shared" si="26"/>
        <v>950</v>
      </c>
      <c r="I120" s="395">
        <f t="shared" si="26"/>
        <v>950</v>
      </c>
      <c r="J120" s="429">
        <v>10</v>
      </c>
      <c r="K120" s="26" t="s">
        <v>100</v>
      </c>
      <c r="L120" s="26">
        <f>L119+1</f>
        <v>49</v>
      </c>
      <c r="M120" s="97"/>
      <c r="N120" s="97"/>
      <c r="O120" s="97"/>
      <c r="P120" s="26"/>
    </row>
    <row r="121" spans="1:16" s="36" customFormat="1" x14ac:dyDescent="0.25">
      <c r="A121" s="76" t="s">
        <v>95</v>
      </c>
      <c r="B121" s="76" t="str">
        <f t="shared" si="24"/>
        <v>OV50</v>
      </c>
      <c r="C121" s="243" t="s">
        <v>479</v>
      </c>
      <c r="D121" s="392" t="s">
        <v>108</v>
      </c>
      <c r="E121" s="393" t="s">
        <v>342</v>
      </c>
      <c r="F121" s="395"/>
      <c r="G121" s="395">
        <f t="shared" si="26"/>
        <v>0</v>
      </c>
      <c r="H121" s="395">
        <f t="shared" si="26"/>
        <v>0</v>
      </c>
      <c r="I121" s="395">
        <f t="shared" si="26"/>
        <v>0</v>
      </c>
      <c r="J121" s="207"/>
      <c r="K121" s="26" t="s">
        <v>100</v>
      </c>
      <c r="L121" s="26">
        <f>L120+1</f>
        <v>50</v>
      </c>
      <c r="M121" s="97"/>
      <c r="N121" s="97"/>
      <c r="O121" s="97"/>
      <c r="P121" s="26"/>
    </row>
    <row r="122" spans="1:16" s="36" customFormat="1" x14ac:dyDescent="0.25">
      <c r="A122" s="76" t="s">
        <v>95</v>
      </c>
      <c r="B122" s="76" t="str">
        <f t="shared" si="11"/>
        <v>OV51</v>
      </c>
      <c r="C122" s="394" t="s">
        <v>480</v>
      </c>
      <c r="D122" s="392" t="s">
        <v>108</v>
      </c>
      <c r="E122" s="405" t="s">
        <v>46</v>
      </c>
      <c r="F122" s="395">
        <v>550</v>
      </c>
      <c r="G122" s="395">
        <f>F122</f>
        <v>550</v>
      </c>
      <c r="H122" s="395">
        <f t="shared" ref="H122:I122" si="27">G122</f>
        <v>550</v>
      </c>
      <c r="I122" s="395">
        <f t="shared" si="27"/>
        <v>550</v>
      </c>
      <c r="J122" s="255" t="s">
        <v>481</v>
      </c>
      <c r="K122" s="26" t="s">
        <v>100</v>
      </c>
      <c r="L122" s="26">
        <f t="shared" si="12"/>
        <v>51</v>
      </c>
      <c r="M122" s="97"/>
      <c r="N122" s="97"/>
      <c r="O122" s="97"/>
      <c r="P122" s="26"/>
    </row>
    <row r="123" spans="1:16" s="36" customFormat="1" x14ac:dyDescent="0.25">
      <c r="A123" s="76" t="s">
        <v>95</v>
      </c>
      <c r="B123" s="76" t="str">
        <f>IF(L123,K123&amp;L123,"")</f>
        <v>OV52</v>
      </c>
      <c r="C123" s="394" t="s">
        <v>404</v>
      </c>
      <c r="D123" s="109" t="s">
        <v>108</v>
      </c>
      <c r="E123" s="404">
        <v>6</v>
      </c>
      <c r="F123" s="388">
        <v>770</v>
      </c>
      <c r="G123" s="388">
        <v>770</v>
      </c>
      <c r="H123" s="388">
        <v>770</v>
      </c>
      <c r="I123" s="388">
        <v>770</v>
      </c>
      <c r="J123" s="409"/>
      <c r="K123" s="26" t="s">
        <v>100</v>
      </c>
      <c r="L123" s="26">
        <f t="shared" ref="L123:L129" si="28">L122+1</f>
        <v>52</v>
      </c>
      <c r="M123" s="97"/>
      <c r="N123" s="97"/>
      <c r="O123" s="97"/>
      <c r="P123" s="26"/>
    </row>
    <row r="124" spans="1:16" s="36" customFormat="1" x14ac:dyDescent="0.25">
      <c r="A124" s="76" t="s">
        <v>95</v>
      </c>
      <c r="B124" s="76" t="str">
        <f>IF(L124,K124&amp;L124,"")</f>
        <v>OV53</v>
      </c>
      <c r="C124" s="394" t="s">
        <v>482</v>
      </c>
      <c r="D124" s="392" t="s">
        <v>108</v>
      </c>
      <c r="E124" s="109" t="s">
        <v>342</v>
      </c>
      <c r="F124" s="388">
        <v>20</v>
      </c>
      <c r="G124" s="388">
        <v>20</v>
      </c>
      <c r="H124" s="388">
        <v>20</v>
      </c>
      <c r="I124" s="388">
        <v>20</v>
      </c>
      <c r="J124" s="207" t="s">
        <v>483</v>
      </c>
      <c r="K124" s="26" t="s">
        <v>100</v>
      </c>
      <c r="L124" s="26">
        <f t="shared" si="28"/>
        <v>53</v>
      </c>
      <c r="M124" s="97"/>
      <c r="N124" s="97"/>
      <c r="O124" s="97"/>
      <c r="P124" s="26"/>
    </row>
    <row r="125" spans="1:16" s="36" customFormat="1" x14ac:dyDescent="0.25">
      <c r="A125" s="76" t="s">
        <v>95</v>
      </c>
      <c r="B125" s="76" t="str">
        <f t="shared" si="11"/>
        <v>OV54</v>
      </c>
      <c r="C125" s="394" t="s">
        <v>484</v>
      </c>
      <c r="D125" s="392" t="s">
        <v>108</v>
      </c>
      <c r="E125" s="404">
        <v>7</v>
      </c>
      <c r="F125" s="395">
        <v>2840</v>
      </c>
      <c r="G125" s="395">
        <v>3672</v>
      </c>
      <c r="H125" s="395">
        <v>3672</v>
      </c>
      <c r="I125" s="395">
        <v>3672</v>
      </c>
      <c r="J125" s="207" t="s">
        <v>485</v>
      </c>
      <c r="K125" s="26" t="s">
        <v>100</v>
      </c>
      <c r="L125" s="26">
        <f t="shared" si="28"/>
        <v>54</v>
      </c>
      <c r="M125" s="97"/>
      <c r="N125" s="97"/>
      <c r="O125" s="97"/>
      <c r="P125" s="26"/>
    </row>
    <row r="126" spans="1:16" s="36" customFormat="1" x14ac:dyDescent="0.25">
      <c r="A126" s="398" t="s">
        <v>95</v>
      </c>
      <c r="B126" s="76" t="s">
        <v>486</v>
      </c>
      <c r="C126" s="394" t="s">
        <v>487</v>
      </c>
      <c r="D126" s="392" t="s">
        <v>108</v>
      </c>
      <c r="E126" s="404" t="s">
        <v>342</v>
      </c>
      <c r="F126" s="395">
        <v>100</v>
      </c>
      <c r="G126" s="395">
        <v>100</v>
      </c>
      <c r="H126" s="395">
        <v>100</v>
      </c>
      <c r="I126" s="395">
        <v>100</v>
      </c>
      <c r="J126" s="207"/>
      <c r="K126" s="26" t="s">
        <v>100</v>
      </c>
      <c r="L126" s="26">
        <f t="shared" si="28"/>
        <v>55</v>
      </c>
      <c r="M126" s="97"/>
      <c r="N126" s="97"/>
      <c r="O126" s="97"/>
      <c r="P126" s="26"/>
    </row>
    <row r="127" spans="1:16" s="36" customFormat="1" x14ac:dyDescent="0.25">
      <c r="A127" s="398" t="s">
        <v>95</v>
      </c>
      <c r="B127" s="76" t="s">
        <v>488</v>
      </c>
      <c r="C127" s="394" t="s">
        <v>489</v>
      </c>
      <c r="D127" s="109" t="s">
        <v>108</v>
      </c>
      <c r="E127" s="404" t="s">
        <v>342</v>
      </c>
      <c r="F127" s="395">
        <v>175</v>
      </c>
      <c r="G127" s="395">
        <v>175</v>
      </c>
      <c r="H127" s="395">
        <v>175</v>
      </c>
      <c r="I127" s="395">
        <v>175</v>
      </c>
      <c r="J127" s="207"/>
      <c r="K127" s="26" t="s">
        <v>100</v>
      </c>
      <c r="L127" s="26">
        <f t="shared" si="28"/>
        <v>56</v>
      </c>
      <c r="M127" s="97"/>
      <c r="N127" s="97"/>
      <c r="O127" s="97"/>
      <c r="P127" s="26"/>
    </row>
    <row r="128" spans="1:16" s="36" customFormat="1" x14ac:dyDescent="0.25">
      <c r="A128" s="398" t="s">
        <v>95</v>
      </c>
      <c r="B128" s="76" t="s">
        <v>490</v>
      </c>
      <c r="C128" s="394" t="s">
        <v>491</v>
      </c>
      <c r="D128" s="392" t="s">
        <v>108</v>
      </c>
      <c r="E128" s="404" t="s">
        <v>342</v>
      </c>
      <c r="F128" s="395">
        <v>220</v>
      </c>
      <c r="J128" s="207"/>
      <c r="K128" s="26" t="s">
        <v>100</v>
      </c>
      <c r="L128" s="26">
        <f t="shared" si="28"/>
        <v>57</v>
      </c>
      <c r="M128" s="97"/>
      <c r="N128" s="97"/>
      <c r="O128" s="97"/>
      <c r="P128" s="26"/>
    </row>
    <row r="129" spans="1:16" s="36" customFormat="1" x14ac:dyDescent="0.25">
      <c r="A129" s="398" t="s">
        <v>95</v>
      </c>
      <c r="B129" s="76" t="s">
        <v>490</v>
      </c>
      <c r="C129" s="394" t="s">
        <v>142</v>
      </c>
      <c r="D129" s="392" t="s">
        <v>108</v>
      </c>
      <c r="E129" s="109" t="s">
        <v>46</v>
      </c>
      <c r="F129" s="395">
        <v>5500</v>
      </c>
      <c r="G129" s="395">
        <v>5500</v>
      </c>
      <c r="J129" s="207"/>
      <c r="K129" s="26" t="s">
        <v>100</v>
      </c>
      <c r="L129" s="26">
        <f t="shared" si="28"/>
        <v>58</v>
      </c>
      <c r="M129" s="97"/>
      <c r="N129" s="97"/>
      <c r="O129" s="97"/>
      <c r="P129" s="26"/>
    </row>
    <row r="130" spans="1:16" s="36" customFormat="1" x14ac:dyDescent="0.25">
      <c r="A130" s="398"/>
      <c r="B130" s="398"/>
      <c r="C130" s="394"/>
      <c r="J130" s="207"/>
      <c r="K130" s="26"/>
      <c r="L130" s="26"/>
      <c r="M130" s="97"/>
      <c r="N130" s="97"/>
      <c r="O130" s="97"/>
      <c r="P130" s="26"/>
    </row>
    <row r="131" spans="1:16" s="36" customFormat="1" x14ac:dyDescent="0.25">
      <c r="A131" s="398"/>
      <c r="B131" s="398"/>
      <c r="C131" s="394"/>
      <c r="J131" s="207"/>
      <c r="K131" s="26"/>
      <c r="L131" s="26"/>
      <c r="M131" s="97"/>
      <c r="N131" s="97"/>
      <c r="O131" s="97"/>
      <c r="P131" s="26"/>
    </row>
    <row r="132" spans="1:16" s="36" customFormat="1" x14ac:dyDescent="0.25">
      <c r="A132" s="398"/>
      <c r="B132" s="398"/>
      <c r="C132" s="394"/>
      <c r="J132" s="207"/>
      <c r="K132" s="26"/>
      <c r="L132" s="26"/>
      <c r="M132" s="97"/>
      <c r="N132" s="97"/>
      <c r="O132" s="97"/>
      <c r="P132" s="26"/>
    </row>
    <row r="133" spans="1:16" s="36" customFormat="1" x14ac:dyDescent="0.25">
      <c r="A133" s="398"/>
      <c r="B133" s="398"/>
      <c r="C133" s="394"/>
      <c r="J133" s="207"/>
      <c r="K133" s="26"/>
      <c r="L133" s="26"/>
      <c r="M133" s="97"/>
      <c r="N133" s="97"/>
      <c r="O133" s="97"/>
      <c r="P133" s="26"/>
    </row>
    <row r="134" spans="1:16" s="36" customFormat="1" x14ac:dyDescent="0.25">
      <c r="A134" s="41"/>
      <c r="B134" s="41" t="s">
        <v>152</v>
      </c>
      <c r="C134" s="3" t="s">
        <v>153</v>
      </c>
      <c r="D134" s="50"/>
      <c r="E134" s="50"/>
      <c r="F134" s="54">
        <f>SUMIF($A:$A,"OPP",F:F)</f>
        <v>126588</v>
      </c>
      <c r="G134" s="54">
        <f>SUMIF($A:$A,"OPP",G:G)</f>
        <v>136750</v>
      </c>
      <c r="H134" s="54">
        <f>SUMIF($A:$A,"OPP",H:H)</f>
        <v>143477.58333333334</v>
      </c>
      <c r="I134" s="54">
        <f>SUMIF($A:$A,"OPP",I:I)</f>
        <v>150946</v>
      </c>
      <c r="J134" s="207"/>
      <c r="K134" s="335"/>
      <c r="L134" s="335"/>
      <c r="M134" s="97"/>
      <c r="N134" s="97"/>
      <c r="O134" s="97"/>
      <c r="P134" s="26"/>
    </row>
    <row r="135" spans="1:16" s="36" customFormat="1" x14ac:dyDescent="0.25">
      <c r="A135" s="45"/>
      <c r="B135" s="45"/>
      <c r="C135" s="9"/>
      <c r="D135" s="47"/>
      <c r="E135" s="47"/>
      <c r="F135" s="55"/>
      <c r="G135" s="55"/>
      <c r="H135" s="55"/>
      <c r="I135" s="55"/>
      <c r="J135" s="207"/>
      <c r="K135" s="26"/>
      <c r="L135" s="26"/>
      <c r="M135" s="97"/>
      <c r="N135" s="97"/>
      <c r="O135" s="97"/>
      <c r="P135" s="26"/>
    </row>
    <row r="136" spans="1:16" s="36" customFormat="1" x14ac:dyDescent="0.25">
      <c r="A136" s="46"/>
      <c r="B136" s="46"/>
      <c r="C136" s="11" t="s">
        <v>154</v>
      </c>
      <c r="D136" s="48"/>
      <c r="E136" s="59"/>
      <c r="F136" s="56"/>
      <c r="G136" s="56"/>
      <c r="H136" s="56"/>
      <c r="I136" s="56"/>
      <c r="J136" s="207"/>
      <c r="M136" s="97"/>
      <c r="N136" s="97"/>
      <c r="O136" s="97"/>
      <c r="P136" s="26"/>
    </row>
    <row r="137" spans="1:16" s="36" customFormat="1" x14ac:dyDescent="0.25">
      <c r="A137" s="76"/>
      <c r="B137" s="76" t="str">
        <f t="shared" ref="B137:B147" si="29">IF(L137,K137&amp;L137,"")</f>
        <v/>
      </c>
      <c r="C137" s="80" t="s">
        <v>155</v>
      </c>
      <c r="D137" s="70"/>
      <c r="E137" s="69"/>
      <c r="F137" s="4">
        <f>F103</f>
        <v>2022</v>
      </c>
      <c r="G137" s="4">
        <f>F137+1</f>
        <v>2023</v>
      </c>
      <c r="H137" s="4">
        <f>G137+1</f>
        <v>2024</v>
      </c>
      <c r="I137" s="4">
        <f>H137+1</f>
        <v>2025</v>
      </c>
      <c r="J137" s="207"/>
      <c r="K137" s="335"/>
      <c r="L137" s="335"/>
      <c r="M137" s="97"/>
      <c r="N137" s="97"/>
      <c r="O137" s="97"/>
      <c r="P137" s="26"/>
    </row>
    <row r="138" spans="1:16" s="36" customFormat="1" x14ac:dyDescent="0.25">
      <c r="A138" s="76" t="s">
        <v>156</v>
      </c>
      <c r="B138" s="76" t="str">
        <f t="shared" si="29"/>
        <v>H1</v>
      </c>
      <c r="C138" s="243" t="s">
        <v>157</v>
      </c>
      <c r="D138" s="70" t="s">
        <v>105</v>
      </c>
      <c r="E138" s="69" t="s">
        <v>98</v>
      </c>
      <c r="F138" s="72">
        <v>5000</v>
      </c>
      <c r="G138" s="72">
        <v>5000</v>
      </c>
      <c r="H138" s="72">
        <v>5000</v>
      </c>
      <c r="I138" s="68">
        <v>5000</v>
      </c>
      <c r="J138" s="207"/>
      <c r="K138" s="26" t="s">
        <v>158</v>
      </c>
      <c r="L138" s="26">
        <v>1</v>
      </c>
      <c r="M138" s="97" t="str">
        <f>IF(E138="VEDTATT","VEDTATT",0)</f>
        <v>VEDTATT</v>
      </c>
      <c r="N138" s="97">
        <f>IF(E138="MÅ","Nye tiltak",0)</f>
        <v>0</v>
      </c>
      <c r="O138" s="97"/>
      <c r="P138" s="26"/>
    </row>
    <row r="139" spans="1:16" s="36" customFormat="1" x14ac:dyDescent="0.25">
      <c r="A139" s="76" t="s">
        <v>156</v>
      </c>
      <c r="B139" s="76" t="str">
        <f t="shared" si="29"/>
        <v>H2</v>
      </c>
      <c r="C139" s="243" t="s">
        <v>159</v>
      </c>
      <c r="D139" s="70" t="s">
        <v>105</v>
      </c>
      <c r="E139" s="69" t="s">
        <v>98</v>
      </c>
      <c r="F139" s="72"/>
      <c r="G139" s="72"/>
      <c r="H139" s="72">
        <v>1000</v>
      </c>
      <c r="I139" s="72">
        <v>10000</v>
      </c>
      <c r="J139" s="207"/>
      <c r="K139" s="26" t="s">
        <v>158</v>
      </c>
      <c r="L139" s="26">
        <f>L138+1</f>
        <v>2</v>
      </c>
      <c r="M139" s="97" t="str">
        <f>IF(E139="VEDTATT","VEDTATT",0)</f>
        <v>VEDTATT</v>
      </c>
      <c r="N139" s="97">
        <f>IF(E139="MÅ","Nye tiltak",0)</f>
        <v>0</v>
      </c>
      <c r="O139" s="97"/>
      <c r="P139" s="26"/>
    </row>
    <row r="140" spans="1:16" s="36" customFormat="1" x14ac:dyDescent="0.25">
      <c r="A140" s="76" t="s">
        <v>156</v>
      </c>
      <c r="B140" s="76" t="str">
        <f>IF(L140,K140&amp;L140,"")</f>
        <v>H3</v>
      </c>
      <c r="C140" s="243" t="s">
        <v>408</v>
      </c>
      <c r="D140" s="70" t="s">
        <v>108</v>
      </c>
      <c r="E140" s="229">
        <v>2</v>
      </c>
      <c r="F140" s="72">
        <v>1600</v>
      </c>
      <c r="G140" s="72">
        <v>1600</v>
      </c>
      <c r="H140" s="72">
        <v>1600</v>
      </c>
      <c r="I140" s="72">
        <v>1600</v>
      </c>
      <c r="J140" s="207">
        <v>7</v>
      </c>
      <c r="K140" s="26" t="s">
        <v>158</v>
      </c>
      <c r="L140" s="26">
        <f>L139+1</f>
        <v>3</v>
      </c>
      <c r="M140" s="97"/>
      <c r="N140" s="97"/>
      <c r="O140" s="97"/>
      <c r="P140" s="26"/>
    </row>
    <row r="141" spans="1:16" s="36" customFormat="1" x14ac:dyDescent="0.25">
      <c r="A141" s="76" t="s">
        <v>156</v>
      </c>
      <c r="B141" s="76" t="str">
        <f>IF(L141,K141&amp;L141,"")</f>
        <v>H4</v>
      </c>
      <c r="C141" s="243" t="s">
        <v>409</v>
      </c>
      <c r="D141" s="70" t="s">
        <v>108</v>
      </c>
      <c r="E141" s="229">
        <v>6</v>
      </c>
      <c r="F141" s="72">
        <f>2700+300</f>
        <v>3000</v>
      </c>
      <c r="G141" s="72">
        <f>3700+300</f>
        <v>4000</v>
      </c>
      <c r="H141" s="72">
        <f>4700+300</f>
        <v>5000</v>
      </c>
      <c r="I141" s="72">
        <f>H141</f>
        <v>5000</v>
      </c>
      <c r="J141" s="207">
        <v>8</v>
      </c>
      <c r="K141" s="26" t="s">
        <v>158</v>
      </c>
      <c r="L141" s="26">
        <f>L140+1</f>
        <v>4</v>
      </c>
      <c r="M141" s="97"/>
      <c r="N141" s="97"/>
      <c r="O141" s="97"/>
      <c r="P141" s="26"/>
    </row>
    <row r="142" spans="1:16" s="36" customFormat="1" x14ac:dyDescent="0.25">
      <c r="A142" s="76" t="s">
        <v>156</v>
      </c>
      <c r="B142" s="76" t="str">
        <f t="shared" si="29"/>
        <v>H5</v>
      </c>
      <c r="C142" s="243" t="s">
        <v>161</v>
      </c>
      <c r="D142" s="70" t="s">
        <v>105</v>
      </c>
      <c r="E142" s="69" t="s">
        <v>98</v>
      </c>
      <c r="F142" s="88">
        <v>900</v>
      </c>
      <c r="G142" s="88">
        <v>1800</v>
      </c>
      <c r="H142" s="88">
        <v>1800</v>
      </c>
      <c r="I142" s="88">
        <v>1800</v>
      </c>
      <c r="J142" s="207"/>
      <c r="K142" s="26" t="s">
        <v>158</v>
      </c>
      <c r="L142" s="26">
        <f>L141+1</f>
        <v>5</v>
      </c>
      <c r="M142" s="97" t="str">
        <f>IF(E142="VEDTATT","VEDTATT",0)</f>
        <v>VEDTATT</v>
      </c>
      <c r="N142" s="97">
        <f>IF(E142="MÅ","Nye tiltak",0)</f>
        <v>0</v>
      </c>
      <c r="O142" s="97"/>
      <c r="P142" s="26"/>
    </row>
    <row r="143" spans="1:16" s="36" customFormat="1" x14ac:dyDescent="0.25">
      <c r="A143" s="76"/>
      <c r="B143" s="76" t="str">
        <f t="shared" si="29"/>
        <v/>
      </c>
      <c r="C143" s="80" t="s">
        <v>162</v>
      </c>
      <c r="D143" s="70"/>
      <c r="E143" s="69"/>
      <c r="F143" s="4">
        <f>F137</f>
        <v>2022</v>
      </c>
      <c r="G143" s="4">
        <f>F143+1</f>
        <v>2023</v>
      </c>
      <c r="H143" s="4">
        <f>G143+1</f>
        <v>2024</v>
      </c>
      <c r="I143" s="4">
        <f>H143+1</f>
        <v>2025</v>
      </c>
      <c r="J143" s="207"/>
      <c r="K143" s="335"/>
      <c r="L143" s="335"/>
      <c r="M143" s="97"/>
      <c r="N143" s="97"/>
      <c r="O143" s="97"/>
      <c r="P143" s="26"/>
    </row>
    <row r="144" spans="1:16" s="36" customFormat="1" x14ac:dyDescent="0.25">
      <c r="A144" s="76" t="s">
        <v>156</v>
      </c>
      <c r="B144" s="76" t="str">
        <f t="shared" si="29"/>
        <v>H6</v>
      </c>
      <c r="C144" s="243" t="s">
        <v>163</v>
      </c>
      <c r="D144" s="70" t="s">
        <v>105</v>
      </c>
      <c r="E144" s="69" t="s">
        <v>98</v>
      </c>
      <c r="F144" s="68">
        <v>2500</v>
      </c>
      <c r="G144" s="68">
        <v>5000</v>
      </c>
      <c r="H144" s="68">
        <v>7500</v>
      </c>
      <c r="I144" s="68">
        <v>10000</v>
      </c>
      <c r="J144" s="207"/>
      <c r="K144" s="26" t="s">
        <v>158</v>
      </c>
      <c r="L144" s="26">
        <f>L142+1</f>
        <v>6</v>
      </c>
      <c r="M144" s="97" t="str">
        <f>IF(E144="VEDTATT","VEDTATT",0)</f>
        <v>VEDTATT</v>
      </c>
      <c r="N144" s="97">
        <f>IF(E144="MÅ","Nye tiltak",0)</f>
        <v>0</v>
      </c>
      <c r="O144" s="97"/>
      <c r="P144" s="26"/>
    </row>
    <row r="145" spans="1:17" s="36" customFormat="1" x14ac:dyDescent="0.25">
      <c r="A145" s="76" t="s">
        <v>156</v>
      </c>
      <c r="B145" s="76" t="str">
        <f t="shared" si="29"/>
        <v>H7</v>
      </c>
      <c r="C145" s="243" t="s">
        <v>164</v>
      </c>
      <c r="D145" s="70" t="s">
        <v>105</v>
      </c>
      <c r="E145" s="69" t="s">
        <v>98</v>
      </c>
      <c r="F145" s="215">
        <v>10000</v>
      </c>
      <c r="G145" s="215">
        <v>20000</v>
      </c>
      <c r="H145" s="215">
        <v>20000</v>
      </c>
      <c r="I145" s="215">
        <v>20000</v>
      </c>
      <c r="J145" s="207"/>
      <c r="K145" s="26" t="s">
        <v>158</v>
      </c>
      <c r="L145" s="26">
        <f>L144+1</f>
        <v>7</v>
      </c>
      <c r="M145" s="97" t="str">
        <f>IF(E145="VEDTATT","VEDTATT",0)</f>
        <v>VEDTATT</v>
      </c>
      <c r="N145" s="97">
        <f>IF(E145="MÅ","Nye tiltak",0)</f>
        <v>0</v>
      </c>
      <c r="O145" s="97"/>
      <c r="P145" s="26"/>
    </row>
    <row r="146" spans="1:17" s="36" customFormat="1" x14ac:dyDescent="0.25">
      <c r="A146" s="76" t="s">
        <v>156</v>
      </c>
      <c r="B146" s="76" t="str">
        <f>IF(L146,K146&amp;L146,"")</f>
        <v>H8</v>
      </c>
      <c r="C146" s="243" t="s">
        <v>492</v>
      </c>
      <c r="D146" s="70" t="s">
        <v>108</v>
      </c>
      <c r="E146" s="229" t="s">
        <v>342</v>
      </c>
      <c r="F146" s="215">
        <v>7200</v>
      </c>
      <c r="G146" s="399"/>
      <c r="H146" s="399"/>
      <c r="I146" s="399"/>
      <c r="J146" s="255" t="s">
        <v>493</v>
      </c>
      <c r="K146" s="26" t="s">
        <v>158</v>
      </c>
      <c r="L146" s="26">
        <f>L145+1</f>
        <v>8</v>
      </c>
      <c r="M146" s="97"/>
      <c r="N146" s="97"/>
      <c r="O146" s="97"/>
      <c r="P146" s="26"/>
    </row>
    <row r="147" spans="1:17" s="36" customFormat="1" x14ac:dyDescent="0.25">
      <c r="A147" s="76" t="s">
        <v>156</v>
      </c>
      <c r="B147" s="76" t="str">
        <f t="shared" si="29"/>
        <v>H9</v>
      </c>
      <c r="C147" s="243" t="s">
        <v>494</v>
      </c>
      <c r="D147" s="70" t="s">
        <v>108</v>
      </c>
      <c r="E147" s="69" t="s">
        <v>342</v>
      </c>
      <c r="F147" s="215"/>
      <c r="G147" s="215"/>
      <c r="H147" s="215"/>
      <c r="I147" s="215"/>
      <c r="J147" s="207"/>
      <c r="K147" s="26" t="s">
        <v>158</v>
      </c>
      <c r="L147" s="26">
        <f>L146+1</f>
        <v>9</v>
      </c>
      <c r="M147" s="97">
        <f>IF(E147="VEDTATT","VEDTATT",0)</f>
        <v>0</v>
      </c>
      <c r="N147" s="97">
        <f>IF(E147="MÅ","Nye tiltak",0)</f>
        <v>0</v>
      </c>
      <c r="O147" s="97"/>
      <c r="P147" s="26"/>
    </row>
    <row r="148" spans="1:17" s="36" customFormat="1" x14ac:dyDescent="0.25">
      <c r="A148" s="339"/>
      <c r="B148" s="339"/>
      <c r="C148" s="80" t="s">
        <v>166</v>
      </c>
      <c r="D148" s="81"/>
      <c r="E148" s="69"/>
      <c r="F148" s="4">
        <f>F143</f>
        <v>2022</v>
      </c>
      <c r="G148" s="4">
        <f>F148+1</f>
        <v>2023</v>
      </c>
      <c r="H148" s="4">
        <f>G148+1</f>
        <v>2024</v>
      </c>
      <c r="I148" s="4">
        <f>H148+1</f>
        <v>2025</v>
      </c>
      <c r="J148" s="207"/>
      <c r="K148" s="335"/>
      <c r="L148" s="335"/>
      <c r="M148" s="97"/>
      <c r="N148" s="97"/>
      <c r="O148" s="97"/>
      <c r="P148" s="26"/>
    </row>
    <row r="149" spans="1:17" s="36" customFormat="1" x14ac:dyDescent="0.25">
      <c r="A149" s="76" t="s">
        <v>156</v>
      </c>
      <c r="B149" s="76" t="str">
        <f t="shared" ref="B149:B163" si="30">IF(L149,K149&amp;L149,"")</f>
        <v>H10</v>
      </c>
      <c r="C149" s="243" t="s">
        <v>167</v>
      </c>
      <c r="D149" s="70" t="s">
        <v>105</v>
      </c>
      <c r="E149" s="69" t="s">
        <v>98</v>
      </c>
      <c r="F149" s="68">
        <v>-300</v>
      </c>
      <c r="G149" s="68">
        <v>-900</v>
      </c>
      <c r="H149" s="68">
        <v>-1500</v>
      </c>
      <c r="I149" s="68">
        <v>-2100</v>
      </c>
      <c r="J149" s="207"/>
      <c r="K149" s="26" t="s">
        <v>158</v>
      </c>
      <c r="L149" s="26">
        <f>L147+1</f>
        <v>10</v>
      </c>
      <c r="M149" s="97" t="str">
        <f>IF(E149="VEDTATT","VEDTATT",0)</f>
        <v>VEDTATT</v>
      </c>
      <c r="N149" s="97">
        <f>IF(E149="MÅ","Nye tiltak",0)</f>
        <v>0</v>
      </c>
      <c r="O149" s="97"/>
      <c r="P149" s="26"/>
    </row>
    <row r="150" spans="1:17" s="36" customFormat="1" ht="30" customHeight="1" x14ac:dyDescent="0.25">
      <c r="A150" s="76" t="s">
        <v>156</v>
      </c>
      <c r="B150" s="76" t="str">
        <f t="shared" si="30"/>
        <v>H11</v>
      </c>
      <c r="C150" s="243" t="s">
        <v>495</v>
      </c>
      <c r="D150" s="70" t="s">
        <v>108</v>
      </c>
      <c r="E150" s="69" t="s">
        <v>46</v>
      </c>
      <c r="F150" s="68"/>
      <c r="G150" s="68"/>
      <c r="H150" s="68"/>
      <c r="I150" s="68"/>
      <c r="J150" s="207" t="s">
        <v>334</v>
      </c>
      <c r="K150" s="26" t="s">
        <v>158</v>
      </c>
      <c r="L150" s="26">
        <f t="shared" ref="L150:L154" si="31">L149+1</f>
        <v>11</v>
      </c>
      <c r="M150" s="97">
        <f>IF(E150="VEDTATT","VEDTATT",0)</f>
        <v>0</v>
      </c>
      <c r="N150" s="97" t="str">
        <f>IF(E150="MÅ","Nye tiltak",0)</f>
        <v>Nye tiltak</v>
      </c>
      <c r="O150" s="97"/>
      <c r="P150" s="26"/>
      <c r="Q150" s="293"/>
    </row>
    <row r="151" spans="1:17" s="36" customFormat="1" ht="30" customHeight="1" x14ac:dyDescent="0.25">
      <c r="A151" s="76" t="s">
        <v>156</v>
      </c>
      <c r="B151" s="76" t="str">
        <f>IF(L151,K151&amp;L151,"")</f>
        <v>H12</v>
      </c>
      <c r="C151" s="243" t="s">
        <v>172</v>
      </c>
      <c r="D151" s="70" t="s">
        <v>108</v>
      </c>
      <c r="E151" s="229">
        <v>8</v>
      </c>
      <c r="F151" s="68">
        <v>1000</v>
      </c>
      <c r="G151" s="68">
        <v>1000</v>
      </c>
      <c r="H151" s="68">
        <v>1000</v>
      </c>
      <c r="I151" s="68">
        <v>1000</v>
      </c>
      <c r="J151" s="207"/>
      <c r="K151" s="26" t="s">
        <v>158</v>
      </c>
      <c r="L151" s="26">
        <f>L150+1</f>
        <v>12</v>
      </c>
      <c r="M151" s="97"/>
      <c r="N151" s="97"/>
      <c r="O151" s="97"/>
      <c r="P151" s="26"/>
      <c r="Q151" s="293"/>
    </row>
    <row r="152" spans="1:17" s="36" customFormat="1" x14ac:dyDescent="0.25">
      <c r="A152" s="76" t="s">
        <v>156</v>
      </c>
      <c r="B152" s="76" t="str">
        <f t="shared" si="30"/>
        <v>H13</v>
      </c>
      <c r="C152" s="243" t="s">
        <v>496</v>
      </c>
      <c r="D152" s="70" t="s">
        <v>108</v>
      </c>
      <c r="E152" s="69" t="s">
        <v>342</v>
      </c>
      <c r="F152" s="68">
        <v>1000</v>
      </c>
      <c r="G152" s="68">
        <v>1000</v>
      </c>
      <c r="H152" s="68">
        <v>1000</v>
      </c>
      <c r="I152" s="68">
        <v>1000</v>
      </c>
      <c r="J152" s="408"/>
      <c r="K152" s="26" t="s">
        <v>158</v>
      </c>
      <c r="L152" s="26">
        <f>L151+1</f>
        <v>13</v>
      </c>
      <c r="M152" s="97">
        <f>IF(E152="VEDTATT","VEDTATT",0)</f>
        <v>0</v>
      </c>
      <c r="N152" s="97">
        <f>IF(E152="MÅ","Nye tiltak",0)</f>
        <v>0</v>
      </c>
      <c r="O152" s="97"/>
      <c r="Q152" s="293"/>
    </row>
    <row r="153" spans="1:17" s="36" customFormat="1" x14ac:dyDescent="0.25">
      <c r="A153" s="76" t="s">
        <v>156</v>
      </c>
      <c r="B153" s="76" t="str">
        <f t="shared" ref="B153" si="32">IF(L153,K153&amp;L153,"")</f>
        <v>H14</v>
      </c>
      <c r="C153" s="243" t="s">
        <v>168</v>
      </c>
      <c r="D153" s="70" t="s">
        <v>108</v>
      </c>
      <c r="E153" s="229">
        <v>3</v>
      </c>
      <c r="F153" s="68">
        <v>950</v>
      </c>
      <c r="G153" s="68">
        <v>950</v>
      </c>
      <c r="H153" s="68">
        <v>950</v>
      </c>
      <c r="I153" s="68">
        <v>950</v>
      </c>
      <c r="J153" s="408">
        <v>2</v>
      </c>
      <c r="K153" s="26" t="s">
        <v>158</v>
      </c>
      <c r="L153" s="26">
        <f t="shared" si="31"/>
        <v>14</v>
      </c>
      <c r="M153" s="97"/>
      <c r="N153" s="97"/>
      <c r="O153" s="97"/>
      <c r="Q153" s="293"/>
    </row>
    <row r="154" spans="1:17" s="36" customFormat="1" x14ac:dyDescent="0.25">
      <c r="A154" s="76" t="s">
        <v>156</v>
      </c>
      <c r="B154" s="76" t="str">
        <f t="shared" si="30"/>
        <v>H15</v>
      </c>
      <c r="C154" s="243" t="s">
        <v>169</v>
      </c>
      <c r="D154" s="70" t="s">
        <v>105</v>
      </c>
      <c r="E154" s="69" t="s">
        <v>98</v>
      </c>
      <c r="F154" s="68">
        <f>-11400-15856</f>
        <v>-27256</v>
      </c>
      <c r="G154" s="68">
        <f>-11400-15856</f>
        <v>-27256</v>
      </c>
      <c r="H154" s="68">
        <f>G154</f>
        <v>-27256</v>
      </c>
      <c r="I154" s="68">
        <f>H154</f>
        <v>-27256</v>
      </c>
      <c r="J154" s="207"/>
      <c r="K154" s="26" t="s">
        <v>158</v>
      </c>
      <c r="L154" s="26">
        <f t="shared" si="31"/>
        <v>15</v>
      </c>
      <c r="M154" s="97" t="str">
        <f>IF(E154="VEDTATT","VEDTATT",0)</f>
        <v>VEDTATT</v>
      </c>
      <c r="N154" s="97">
        <f>IF(E154="MÅ","Nye tiltak",0)</f>
        <v>0</v>
      </c>
      <c r="O154" s="97"/>
      <c r="Q154" s="293"/>
    </row>
    <row r="155" spans="1:17" s="36" customFormat="1" x14ac:dyDescent="0.25">
      <c r="A155" s="76"/>
      <c r="B155" s="76" t="str">
        <f t="shared" si="30"/>
        <v/>
      </c>
      <c r="C155" s="80" t="s">
        <v>173</v>
      </c>
      <c r="D155" s="70"/>
      <c r="E155" s="69"/>
      <c r="F155" s="4">
        <f>F148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207"/>
      <c r="K155" s="4"/>
      <c r="L155" s="4"/>
      <c r="M155" s="97"/>
      <c r="N155" s="97"/>
      <c r="O155" s="97"/>
    </row>
    <row r="156" spans="1:17" s="36" customFormat="1" x14ac:dyDescent="0.25">
      <c r="A156" s="433" t="s">
        <v>156</v>
      </c>
      <c r="B156" s="433" t="str">
        <f t="shared" si="30"/>
        <v>H16</v>
      </c>
      <c r="C156" s="431" t="s">
        <v>497</v>
      </c>
      <c r="D156" s="432" t="s">
        <v>105</v>
      </c>
      <c r="E156" s="69" t="s">
        <v>98</v>
      </c>
      <c r="F156" s="434"/>
      <c r="G156" s="434"/>
      <c r="H156" s="434">
        <v>1000</v>
      </c>
      <c r="I156" s="434">
        <v>1000</v>
      </c>
      <c r="J156" s="207" t="s">
        <v>498</v>
      </c>
      <c r="K156" s="26" t="s">
        <v>158</v>
      </c>
      <c r="L156" s="26">
        <f>L154+1</f>
        <v>16</v>
      </c>
      <c r="M156" s="97" t="str">
        <f>IF(E156="VEDTATT","VEDTATT",0)</f>
        <v>VEDTATT</v>
      </c>
      <c r="N156" s="97">
        <f>IF(E156="MÅ","Nye tiltak",0)</f>
        <v>0</v>
      </c>
      <c r="O156" s="97"/>
      <c r="P156" s="26"/>
    </row>
    <row r="157" spans="1:17" s="36" customFormat="1" x14ac:dyDescent="0.25">
      <c r="A157" s="76" t="s">
        <v>156</v>
      </c>
      <c r="B157" s="76" t="str">
        <f t="shared" si="30"/>
        <v>H17</v>
      </c>
      <c r="C157" s="243" t="s">
        <v>174</v>
      </c>
      <c r="D157" s="70" t="s">
        <v>108</v>
      </c>
      <c r="E157" s="69" t="s">
        <v>46</v>
      </c>
      <c r="F157" s="68">
        <v>600</v>
      </c>
      <c r="G157" s="68">
        <f>F157</f>
        <v>600</v>
      </c>
      <c r="H157" s="68">
        <f t="shared" ref="H157:I157" si="33">G157</f>
        <v>600</v>
      </c>
      <c r="I157" s="68">
        <f t="shared" si="33"/>
        <v>600</v>
      </c>
      <c r="J157" s="207"/>
      <c r="K157" s="26" t="s">
        <v>158</v>
      </c>
      <c r="L157" s="26">
        <f>L156+1</f>
        <v>17</v>
      </c>
      <c r="M157" s="97"/>
      <c r="N157" s="97"/>
      <c r="O157" s="97"/>
      <c r="P157" s="26"/>
    </row>
    <row r="158" spans="1:17" s="36" customFormat="1" ht="25.5" x14ac:dyDescent="0.25">
      <c r="A158" s="76" t="s">
        <v>156</v>
      </c>
      <c r="B158" s="76" t="str">
        <f t="shared" si="30"/>
        <v>H18</v>
      </c>
      <c r="C158" s="243" t="s">
        <v>411</v>
      </c>
      <c r="D158" s="70" t="s">
        <v>97</v>
      </c>
      <c r="E158" s="69" t="s">
        <v>98</v>
      </c>
      <c r="F158" s="68">
        <v>0</v>
      </c>
      <c r="G158" s="68">
        <v>50</v>
      </c>
      <c r="H158" s="68">
        <v>150</v>
      </c>
      <c r="I158" s="68">
        <v>150</v>
      </c>
      <c r="J158" s="408" t="s">
        <v>412</v>
      </c>
      <c r="K158" s="26" t="s">
        <v>158</v>
      </c>
      <c r="L158" s="26">
        <f t="shared" ref="L158:L164" si="34">L157+1</f>
        <v>18</v>
      </c>
      <c r="M158" s="97" t="str">
        <f t="shared" ref="M158:M163" si="35">IF(E158="VEDTATT","VEDTATT",0)</f>
        <v>VEDTATT</v>
      </c>
      <c r="N158" s="97">
        <f t="shared" ref="N158:N163" si="36">IF(E158="MÅ","Nye tiltak",0)</f>
        <v>0</v>
      </c>
      <c r="O158" s="97"/>
      <c r="P158" s="26"/>
    </row>
    <row r="159" spans="1:17" s="36" customFormat="1" ht="25.5" x14ac:dyDescent="0.25">
      <c r="A159" s="76" t="s">
        <v>156</v>
      </c>
      <c r="B159" s="76" t="str">
        <f t="shared" si="30"/>
        <v>H19</v>
      </c>
      <c r="C159" s="243" t="s">
        <v>176</v>
      </c>
      <c r="D159" s="70" t="s">
        <v>97</v>
      </c>
      <c r="E159" s="69" t="s">
        <v>98</v>
      </c>
      <c r="F159" s="88">
        <v>0</v>
      </c>
      <c r="G159" s="88">
        <v>0</v>
      </c>
      <c r="H159" s="88">
        <v>1100</v>
      </c>
      <c r="I159" s="88">
        <v>1100</v>
      </c>
      <c r="J159" s="408" t="s">
        <v>412</v>
      </c>
      <c r="K159" s="26" t="s">
        <v>158</v>
      </c>
      <c r="L159" s="26">
        <f t="shared" si="34"/>
        <v>19</v>
      </c>
      <c r="M159" s="97" t="str">
        <f t="shared" si="35"/>
        <v>VEDTATT</v>
      </c>
      <c r="N159" s="97">
        <f t="shared" si="36"/>
        <v>0</v>
      </c>
      <c r="O159" s="97"/>
      <c r="P159" s="26"/>
    </row>
    <row r="160" spans="1:17" s="36" customFormat="1" x14ac:dyDescent="0.25">
      <c r="A160" s="76" t="s">
        <v>156</v>
      </c>
      <c r="B160" s="76" t="str">
        <f t="shared" si="30"/>
        <v>H20</v>
      </c>
      <c r="C160" s="243" t="s">
        <v>413</v>
      </c>
      <c r="D160" s="70" t="s">
        <v>108</v>
      </c>
      <c r="E160" s="229">
        <v>4</v>
      </c>
      <c r="F160" s="68">
        <v>600</v>
      </c>
      <c r="G160" s="68">
        <v>600</v>
      </c>
      <c r="H160" s="68">
        <v>600</v>
      </c>
      <c r="I160" s="68">
        <v>600</v>
      </c>
      <c r="J160" s="255">
        <v>4</v>
      </c>
      <c r="K160" s="26" t="s">
        <v>158</v>
      </c>
      <c r="L160" s="26">
        <f t="shared" si="34"/>
        <v>20</v>
      </c>
      <c r="M160" s="97">
        <f t="shared" si="35"/>
        <v>0</v>
      </c>
      <c r="N160" s="97">
        <f t="shared" si="36"/>
        <v>0</v>
      </c>
      <c r="O160" s="97"/>
      <c r="P160" s="26"/>
    </row>
    <row r="161" spans="1:16" s="36" customFormat="1" x14ac:dyDescent="0.2">
      <c r="A161" s="76" t="s">
        <v>156</v>
      </c>
      <c r="B161" s="76" t="str">
        <f t="shared" si="30"/>
        <v>H21</v>
      </c>
      <c r="C161" s="243" t="s">
        <v>414</v>
      </c>
      <c r="D161" s="77" t="s">
        <v>108</v>
      </c>
      <c r="E161" s="229">
        <v>9</v>
      </c>
      <c r="F161" s="389"/>
      <c r="G161" s="389">
        <v>700</v>
      </c>
      <c r="H161" s="389">
        <v>700</v>
      </c>
      <c r="I161" s="389">
        <v>700</v>
      </c>
      <c r="J161" s="427">
        <v>9</v>
      </c>
      <c r="K161" s="26" t="s">
        <v>158</v>
      </c>
      <c r="L161" s="26">
        <f t="shared" si="34"/>
        <v>21</v>
      </c>
      <c r="M161" s="97">
        <f t="shared" si="35"/>
        <v>0</v>
      </c>
      <c r="N161" s="97">
        <f t="shared" si="36"/>
        <v>0</v>
      </c>
      <c r="O161" s="97"/>
      <c r="P161" s="26"/>
    </row>
    <row r="162" spans="1:16" s="36" customFormat="1" x14ac:dyDescent="0.25">
      <c r="A162" s="76" t="s">
        <v>156</v>
      </c>
      <c r="B162" s="76" t="str">
        <f t="shared" si="30"/>
        <v>H22</v>
      </c>
      <c r="C162" s="243" t="s">
        <v>499</v>
      </c>
      <c r="D162" s="77" t="s">
        <v>108</v>
      </c>
      <c r="E162" s="403" t="s">
        <v>342</v>
      </c>
      <c r="F162" s="189">
        <v>300</v>
      </c>
      <c r="G162" s="189">
        <v>300</v>
      </c>
      <c r="H162" s="189">
        <v>300</v>
      </c>
      <c r="I162" s="189">
        <v>300</v>
      </c>
      <c r="J162" s="207" t="s">
        <v>500</v>
      </c>
      <c r="K162" s="26" t="s">
        <v>158</v>
      </c>
      <c r="L162" s="26">
        <f t="shared" si="34"/>
        <v>22</v>
      </c>
      <c r="M162" s="97">
        <f t="shared" si="35"/>
        <v>0</v>
      </c>
      <c r="N162" s="97">
        <f t="shared" si="36"/>
        <v>0</v>
      </c>
      <c r="O162" s="97"/>
      <c r="P162" s="26"/>
    </row>
    <row r="163" spans="1:16" s="36" customFormat="1" x14ac:dyDescent="0.25">
      <c r="A163" s="76" t="s">
        <v>156</v>
      </c>
      <c r="B163" s="76" t="str">
        <f t="shared" si="30"/>
        <v>H23</v>
      </c>
      <c r="C163" s="243"/>
      <c r="D163" s="77"/>
      <c r="E163" s="69"/>
      <c r="F163" s="280"/>
      <c r="G163" s="280"/>
      <c r="H163" s="280"/>
      <c r="I163" s="280"/>
      <c r="J163" s="207"/>
      <c r="K163" s="26" t="s">
        <v>158</v>
      </c>
      <c r="L163" s="26">
        <f t="shared" si="34"/>
        <v>23</v>
      </c>
      <c r="M163" s="97">
        <f t="shared" si="35"/>
        <v>0</v>
      </c>
      <c r="N163" s="97">
        <f t="shared" si="36"/>
        <v>0</v>
      </c>
      <c r="O163" s="97"/>
      <c r="P163" s="26"/>
    </row>
    <row r="164" spans="1:16" s="36" customFormat="1" ht="25.5" x14ac:dyDescent="0.25">
      <c r="A164" s="76" t="s">
        <v>156</v>
      </c>
      <c r="B164" s="76" t="str">
        <f t="shared" ref="B164" si="37">IF(L164,K164&amp;L164,"")</f>
        <v>H24</v>
      </c>
      <c r="C164" s="243" t="s">
        <v>335</v>
      </c>
      <c r="D164" s="77" t="s">
        <v>108</v>
      </c>
      <c r="E164" s="69"/>
      <c r="F164" s="280"/>
      <c r="G164" s="280"/>
      <c r="H164" s="280"/>
      <c r="I164" s="280"/>
      <c r="J164" s="207" t="s">
        <v>336</v>
      </c>
      <c r="K164" s="26" t="s">
        <v>158</v>
      </c>
      <c r="L164" s="26">
        <f t="shared" si="34"/>
        <v>24</v>
      </c>
      <c r="M164" s="97">
        <f t="shared" ref="M164" si="38">IF(E164="VEDTATT","VEDTATT",0)</f>
        <v>0</v>
      </c>
      <c r="N164" s="97">
        <f t="shared" ref="N164" si="39">IF(E164="MÅ","Nye tiltak",0)</f>
        <v>0</v>
      </c>
      <c r="O164" s="97"/>
      <c r="P164" s="26"/>
    </row>
    <row r="165" spans="1:16" s="36" customFormat="1" x14ac:dyDescent="0.25">
      <c r="A165" s="76"/>
      <c r="B165" s="76"/>
      <c r="C165" s="80" t="s">
        <v>178</v>
      </c>
      <c r="D165" s="81"/>
      <c r="E165" s="69"/>
      <c r="F165" s="4">
        <f>F155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207"/>
      <c r="K165" s="335"/>
      <c r="L165" s="335"/>
      <c r="M165" s="97"/>
      <c r="N165" s="97"/>
      <c r="O165" s="97"/>
      <c r="P165" s="26"/>
    </row>
    <row r="166" spans="1:16" s="36" customFormat="1" x14ac:dyDescent="0.25">
      <c r="A166" s="76" t="s">
        <v>156</v>
      </c>
      <c r="B166" s="76" t="str">
        <f t="shared" ref="B166:B176" si="40">IF(L166,K166&amp;L166,"")</f>
        <v>H23</v>
      </c>
      <c r="C166" s="243" t="s">
        <v>415</v>
      </c>
      <c r="D166" s="70" t="s">
        <v>97</v>
      </c>
      <c r="E166" s="69" t="s">
        <v>98</v>
      </c>
      <c r="F166" s="285"/>
      <c r="G166" s="285">
        <v>-1100</v>
      </c>
      <c r="H166" s="285">
        <v>-2200</v>
      </c>
      <c r="I166" s="285">
        <v>-2200</v>
      </c>
      <c r="J166" s="408" t="s">
        <v>412</v>
      </c>
      <c r="K166" s="26" t="s">
        <v>158</v>
      </c>
      <c r="L166" s="26">
        <f>L162+1</f>
        <v>23</v>
      </c>
      <c r="M166" s="97" t="str">
        <f t="shared" ref="M166:M167" si="41">IF(E166="VEDTATT","VEDTATT",0)</f>
        <v>VEDTATT</v>
      </c>
      <c r="N166" s="97">
        <f t="shared" ref="N166:N167" si="42">IF(E166="MÅ","Nye tiltak",0)</f>
        <v>0</v>
      </c>
      <c r="O166" s="97"/>
      <c r="P166" s="26"/>
    </row>
    <row r="167" spans="1:16" s="36" customFormat="1" x14ac:dyDescent="0.25">
      <c r="A167" s="76" t="s">
        <v>156</v>
      </c>
      <c r="B167" s="76" t="str">
        <f t="shared" si="40"/>
        <v>H24</v>
      </c>
      <c r="C167" s="243" t="s">
        <v>416</v>
      </c>
      <c r="D167" s="70" t="s">
        <v>97</v>
      </c>
      <c r="E167" s="69" t="s">
        <v>98</v>
      </c>
      <c r="F167" s="68"/>
      <c r="G167" s="57">
        <v>728</v>
      </c>
      <c r="H167" s="57">
        <v>728</v>
      </c>
      <c r="I167" s="57">
        <v>728</v>
      </c>
      <c r="J167" s="408" t="s">
        <v>412</v>
      </c>
      <c r="K167" s="26" t="s">
        <v>158</v>
      </c>
      <c r="L167" s="26">
        <f t="shared" ref="L167:L171" si="43">L166+1</f>
        <v>24</v>
      </c>
      <c r="M167" s="97" t="str">
        <f t="shared" si="41"/>
        <v>VEDTATT</v>
      </c>
      <c r="N167" s="97">
        <f t="shared" si="42"/>
        <v>0</v>
      </c>
      <c r="O167" s="97"/>
      <c r="P167" s="26"/>
    </row>
    <row r="168" spans="1:16" s="36" customFormat="1" x14ac:dyDescent="0.25">
      <c r="A168" s="76" t="s">
        <v>156</v>
      </c>
      <c r="B168" s="76" t="str">
        <f t="shared" si="40"/>
        <v>H25</v>
      </c>
      <c r="C168" s="243" t="s">
        <v>180</v>
      </c>
      <c r="D168" s="70" t="s">
        <v>97</v>
      </c>
      <c r="E168" s="69" t="s">
        <v>98</v>
      </c>
      <c r="F168" s="428">
        <v>2000</v>
      </c>
      <c r="G168" s="428">
        <v>2000</v>
      </c>
      <c r="H168" s="428">
        <v>2000</v>
      </c>
      <c r="I168" s="428">
        <v>2000</v>
      </c>
      <c r="J168" s="408" t="s">
        <v>412</v>
      </c>
      <c r="K168" s="26" t="s">
        <v>158</v>
      </c>
      <c r="L168" s="26">
        <f t="shared" si="43"/>
        <v>25</v>
      </c>
      <c r="M168" s="97" t="str">
        <f>IF(E168="VEDTATT","VEDTATT",0)</f>
        <v>VEDTATT</v>
      </c>
      <c r="N168" s="97">
        <f>IF(E168="MÅ","Nye tiltak",0)</f>
        <v>0</v>
      </c>
      <c r="O168" s="97"/>
      <c r="P168" s="26"/>
    </row>
    <row r="169" spans="1:16" s="36" customFormat="1" x14ac:dyDescent="0.25">
      <c r="A169" s="76" t="s">
        <v>156</v>
      </c>
      <c r="B169" s="76" t="str">
        <f t="shared" si="40"/>
        <v>H26</v>
      </c>
      <c r="C169" s="243" t="s">
        <v>181</v>
      </c>
      <c r="D169" s="70" t="s">
        <v>97</v>
      </c>
      <c r="E169" s="69" t="s">
        <v>98</v>
      </c>
      <c r="F169" s="88">
        <v>5600</v>
      </c>
      <c r="G169" s="88">
        <v>9400</v>
      </c>
      <c r="H169" s="88">
        <v>11100</v>
      </c>
      <c r="I169" s="88">
        <v>11100</v>
      </c>
      <c r="J169" s="408" t="s">
        <v>412</v>
      </c>
      <c r="K169" s="26" t="s">
        <v>158</v>
      </c>
      <c r="L169" s="26">
        <f>L168+1</f>
        <v>26</v>
      </c>
      <c r="M169" s="97" t="str">
        <f>IF(E168="VEDTATT","VEDTATT",0)</f>
        <v>VEDTATT</v>
      </c>
      <c r="N169" s="97">
        <f>IF(E168="MÅ","Nye tiltak",0)</f>
        <v>0</v>
      </c>
      <c r="O169" s="97"/>
      <c r="P169" s="26"/>
    </row>
    <row r="170" spans="1:16" s="36" customFormat="1" x14ac:dyDescent="0.25">
      <c r="A170" s="76" t="s">
        <v>156</v>
      </c>
      <c r="B170" s="76" t="str">
        <f t="shared" si="40"/>
        <v>H27</v>
      </c>
      <c r="C170" s="243" t="s">
        <v>181</v>
      </c>
      <c r="D170" s="70" t="s">
        <v>97</v>
      </c>
      <c r="E170" s="69" t="s">
        <v>98</v>
      </c>
      <c r="F170" s="88">
        <v>300</v>
      </c>
      <c r="G170" s="88">
        <v>300</v>
      </c>
      <c r="H170" s="88">
        <v>1900</v>
      </c>
      <c r="I170" s="88">
        <v>1900</v>
      </c>
      <c r="J170" s="408" t="s">
        <v>412</v>
      </c>
      <c r="K170" s="26" t="s">
        <v>158</v>
      </c>
      <c r="L170" s="26">
        <f>L169+1</f>
        <v>27</v>
      </c>
      <c r="M170" s="97" t="str">
        <f>IF(E169="VEDTATT","VEDTATT",0)</f>
        <v>VEDTATT</v>
      </c>
      <c r="N170" s="97">
        <f>IF(E169="MÅ","Nye tiltak",0)</f>
        <v>0</v>
      </c>
      <c r="O170" s="97"/>
      <c r="P170" s="26"/>
    </row>
    <row r="171" spans="1:16" s="36" customFormat="1" x14ac:dyDescent="0.25">
      <c r="A171" s="76" t="s">
        <v>156</v>
      </c>
      <c r="B171" s="76" t="str">
        <f t="shared" si="40"/>
        <v>H28</v>
      </c>
      <c r="D171" s="70"/>
      <c r="J171" s="207"/>
      <c r="K171" s="26" t="s">
        <v>158</v>
      </c>
      <c r="L171" s="26">
        <f t="shared" si="43"/>
        <v>28</v>
      </c>
      <c r="M171" s="97" t="str">
        <f>IF(E170="VEDTATT","VEDTATT",0)</f>
        <v>VEDTATT</v>
      </c>
      <c r="N171" s="97">
        <f>IF(E170="MÅ","Nye tiltak",0)</f>
        <v>0</v>
      </c>
      <c r="O171" s="97"/>
      <c r="P171" s="26"/>
    </row>
    <row r="172" spans="1:16" s="36" customFormat="1" x14ac:dyDescent="0.25">
      <c r="A172" s="76"/>
      <c r="B172" s="76" t="str">
        <f t="shared" si="40"/>
        <v/>
      </c>
      <c r="C172" s="80" t="s">
        <v>184</v>
      </c>
      <c r="D172" s="81"/>
      <c r="E172" s="69"/>
      <c r="F172" s="4">
        <f>F165</f>
        <v>2022</v>
      </c>
      <c r="G172" s="4">
        <f>F172+1</f>
        <v>2023</v>
      </c>
      <c r="H172" s="4">
        <f>G172+1</f>
        <v>2024</v>
      </c>
      <c r="I172" s="4">
        <f>H172+1</f>
        <v>2025</v>
      </c>
      <c r="J172" s="207"/>
      <c r="K172" s="335"/>
      <c r="L172" s="335"/>
      <c r="M172" s="97"/>
      <c r="N172" s="97"/>
      <c r="O172" s="97"/>
      <c r="P172" s="26"/>
    </row>
    <row r="173" spans="1:16" s="36" customFormat="1" x14ac:dyDescent="0.25">
      <c r="A173" s="76" t="s">
        <v>156</v>
      </c>
      <c r="B173" s="76" t="str">
        <f t="shared" si="40"/>
        <v>H29</v>
      </c>
      <c r="C173" s="243" t="s">
        <v>185</v>
      </c>
      <c r="D173" s="70" t="s">
        <v>105</v>
      </c>
      <c r="E173" s="69" t="s">
        <v>98</v>
      </c>
      <c r="F173" s="68">
        <v>0</v>
      </c>
      <c r="G173" s="68"/>
      <c r="H173" s="68">
        <v>6000</v>
      </c>
      <c r="I173" s="189">
        <v>12000</v>
      </c>
      <c r="J173" s="207" t="s">
        <v>186</v>
      </c>
      <c r="K173" s="26" t="s">
        <v>158</v>
      </c>
      <c r="L173" s="26">
        <f>L171+1</f>
        <v>29</v>
      </c>
      <c r="M173" s="97" t="str">
        <f>IF(E173="VEDTATT","VEDTATT",0)</f>
        <v>VEDTATT</v>
      </c>
      <c r="N173" s="97">
        <f>IF(E173="MÅ","Nye tiltak",0)</f>
        <v>0</v>
      </c>
      <c r="O173" s="97"/>
      <c r="P173" s="26"/>
    </row>
    <row r="174" spans="1:16" s="36" customFormat="1" x14ac:dyDescent="0.25">
      <c r="A174" s="76" t="s">
        <v>156</v>
      </c>
      <c r="B174" s="76" t="str">
        <f>IF(L174,K174&amp;L174,"")</f>
        <v>H30</v>
      </c>
      <c r="C174" s="243" t="s">
        <v>187</v>
      </c>
      <c r="D174" s="70" t="s">
        <v>105</v>
      </c>
      <c r="E174" s="69" t="s">
        <v>98</v>
      </c>
      <c r="F174" s="189">
        <v>0</v>
      </c>
      <c r="G174" s="189">
        <v>-2500</v>
      </c>
      <c r="H174" s="189">
        <f t="shared" ref="H174:I176" si="44">G174</f>
        <v>-2500</v>
      </c>
      <c r="I174" s="189">
        <f t="shared" si="44"/>
        <v>-2500</v>
      </c>
      <c r="J174" s="207"/>
      <c r="K174" s="26" t="s">
        <v>158</v>
      </c>
      <c r="L174" s="26">
        <f>L173+1</f>
        <v>30</v>
      </c>
      <c r="M174" s="97"/>
      <c r="N174" s="97"/>
      <c r="O174" s="97"/>
      <c r="P174" s="26"/>
    </row>
    <row r="175" spans="1:16" s="36" customFormat="1" x14ac:dyDescent="0.25">
      <c r="A175" s="76" t="s">
        <v>156</v>
      </c>
      <c r="B175" s="76" t="str">
        <f t="shared" si="40"/>
        <v>H31</v>
      </c>
      <c r="C175" s="243" t="s">
        <v>188</v>
      </c>
      <c r="D175" s="70" t="s">
        <v>108</v>
      </c>
      <c r="E175" s="229">
        <v>1</v>
      </c>
      <c r="F175" s="189">
        <v>4000</v>
      </c>
      <c r="G175" s="189">
        <f>F175</f>
        <v>4000</v>
      </c>
      <c r="H175" s="189">
        <f t="shared" si="44"/>
        <v>4000</v>
      </c>
      <c r="I175" s="189">
        <f t="shared" si="44"/>
        <v>4000</v>
      </c>
      <c r="J175" s="255"/>
      <c r="K175" s="26" t="s">
        <v>158</v>
      </c>
      <c r="L175" s="26">
        <f>L174+1</f>
        <v>31</v>
      </c>
      <c r="M175" s="97">
        <f>IF(E175="VEDTATT","VEDTATT",0)</f>
        <v>0</v>
      </c>
      <c r="N175" s="97">
        <f>IF(E175="MÅ","Nye tiltak",0)</f>
        <v>0</v>
      </c>
      <c r="O175" s="97"/>
      <c r="P175" s="26"/>
    </row>
    <row r="176" spans="1:16" s="36" customFormat="1" ht="15.75" customHeight="1" x14ac:dyDescent="0.25">
      <c r="A176" s="76" t="s">
        <v>156</v>
      </c>
      <c r="B176" s="76" t="str">
        <f t="shared" si="40"/>
        <v>H32</v>
      </c>
      <c r="C176" s="243" t="s">
        <v>417</v>
      </c>
      <c r="D176" s="70" t="s">
        <v>108</v>
      </c>
      <c r="E176" s="229">
        <v>5</v>
      </c>
      <c r="F176" s="215">
        <v>600</v>
      </c>
      <c r="G176" s="215">
        <f>F176</f>
        <v>600</v>
      </c>
      <c r="H176" s="215">
        <f t="shared" si="44"/>
        <v>600</v>
      </c>
      <c r="I176" s="215">
        <f t="shared" si="44"/>
        <v>600</v>
      </c>
      <c r="J176" s="426">
        <v>6</v>
      </c>
      <c r="K176" s="26" t="s">
        <v>158</v>
      </c>
      <c r="L176" s="26">
        <f>L175+1</f>
        <v>32</v>
      </c>
      <c r="M176" s="97">
        <f>IF(E176="VEDTATT","VEDTATT",0)</f>
        <v>0</v>
      </c>
      <c r="N176" s="97">
        <f>IF(E176="MÅ","Nye tiltak",0)</f>
        <v>0</v>
      </c>
      <c r="O176" s="97"/>
      <c r="P176" s="26"/>
    </row>
    <row r="177" spans="1:16" s="36" customFormat="1" x14ac:dyDescent="0.25">
      <c r="A177" s="242" t="s">
        <v>156</v>
      </c>
      <c r="B177" s="76" t="str">
        <f>IF(L177,K177&amp;L177,"")</f>
        <v>H33</v>
      </c>
      <c r="C177" s="243" t="s">
        <v>418</v>
      </c>
      <c r="D177" s="212" t="s">
        <v>108</v>
      </c>
      <c r="E177" s="404">
        <v>7</v>
      </c>
      <c r="F177" s="215">
        <v>150</v>
      </c>
      <c r="G177" s="215">
        <v>150</v>
      </c>
      <c r="H177" s="215">
        <v>150</v>
      </c>
      <c r="I177" s="215">
        <v>150</v>
      </c>
      <c r="J177" s="426">
        <v>3</v>
      </c>
      <c r="K177" s="26" t="s">
        <v>158</v>
      </c>
      <c r="L177" s="26">
        <f>L176+1</f>
        <v>33</v>
      </c>
      <c r="M177" s="97">
        <f>IF(E177="VEDTATT","VEDTATT",0)</f>
        <v>0</v>
      </c>
      <c r="N177" s="97">
        <f>IF(E177="MÅ","Nye tiltak",0)</f>
        <v>0</v>
      </c>
      <c r="O177" s="97"/>
      <c r="P177" s="26"/>
    </row>
    <row r="178" spans="1:16" s="36" customFormat="1" x14ac:dyDescent="0.25">
      <c r="A178" s="41"/>
      <c r="B178" s="41" t="s">
        <v>152</v>
      </c>
      <c r="C178" s="3" t="s">
        <v>189</v>
      </c>
      <c r="D178" s="50"/>
      <c r="E178" s="50"/>
      <c r="F178" s="54">
        <f>SUMIF($A:$A,"H&amp;V",F:F)</f>
        <v>19744</v>
      </c>
      <c r="G178" s="54">
        <f>SUMIF($A:$A,"H&amp;V",G:G)</f>
        <v>28022</v>
      </c>
      <c r="H178" s="54">
        <f>SUMIF($A:$A,"H&amp;V",H:H)</f>
        <v>42322</v>
      </c>
      <c r="I178" s="54">
        <f>SUMIF($A:$A,"H&amp;V",I:I)</f>
        <v>59222</v>
      </c>
      <c r="J178" s="207"/>
      <c r="K178" s="335"/>
      <c r="L178" s="335"/>
      <c r="M178" s="97"/>
      <c r="N178" s="97"/>
      <c r="O178" s="97"/>
    </row>
    <row r="179" spans="1:16" s="36" customFormat="1" x14ac:dyDescent="0.25">
      <c r="A179" s="45"/>
      <c r="B179" s="45"/>
      <c r="C179" s="9"/>
      <c r="D179" s="47"/>
      <c r="E179" s="47"/>
      <c r="F179" s="55"/>
      <c r="G179" s="55"/>
      <c r="H179" s="55"/>
      <c r="I179" s="55"/>
      <c r="J179" s="207"/>
      <c r="K179" s="26"/>
      <c r="L179" s="26"/>
      <c r="M179" s="97"/>
      <c r="N179" s="97"/>
      <c r="O179" s="97"/>
    </row>
    <row r="180" spans="1:16" s="36" customFormat="1" x14ac:dyDescent="0.25">
      <c r="A180" s="46"/>
      <c r="B180" s="46"/>
      <c r="C180" s="11" t="s">
        <v>190</v>
      </c>
      <c r="D180" s="48"/>
      <c r="E180" s="59"/>
      <c r="F180" s="56"/>
      <c r="G180" s="56"/>
      <c r="H180" s="56"/>
      <c r="I180" s="56"/>
      <c r="J180" s="207"/>
      <c r="M180" s="97"/>
      <c r="N180" s="97"/>
      <c r="O180" s="97"/>
    </row>
    <row r="181" spans="1:16" s="36" customFormat="1" x14ac:dyDescent="0.25">
      <c r="A181" s="339"/>
      <c r="B181" s="339"/>
      <c r="C181" s="80" t="s">
        <v>191</v>
      </c>
      <c r="D181" s="81"/>
      <c r="E181" s="69"/>
      <c r="F181" s="4">
        <f>F172</f>
        <v>2022</v>
      </c>
      <c r="G181" s="4">
        <f>F181+1</f>
        <v>2023</v>
      </c>
      <c r="H181" s="4">
        <f>G181+1</f>
        <v>2024</v>
      </c>
      <c r="I181" s="4">
        <f>H181+1</f>
        <v>2025</v>
      </c>
      <c r="J181" s="410"/>
      <c r="K181" s="335"/>
      <c r="L181" s="335"/>
      <c r="M181" s="97"/>
      <c r="N181" s="97"/>
      <c r="O181" s="97"/>
    </row>
    <row r="182" spans="1:16" s="36" customFormat="1" x14ac:dyDescent="0.25">
      <c r="A182" s="76" t="s">
        <v>192</v>
      </c>
      <c r="B182" s="76" t="str">
        <f t="shared" ref="B182:B190" si="45">IF(L182,K182&amp;L182,"")</f>
        <v>K1</v>
      </c>
      <c r="C182" s="210" t="s">
        <v>193</v>
      </c>
      <c r="D182" s="77" t="s">
        <v>105</v>
      </c>
      <c r="E182" s="69" t="s">
        <v>98</v>
      </c>
      <c r="F182" s="189">
        <v>-400</v>
      </c>
      <c r="G182" s="189">
        <v>-500</v>
      </c>
      <c r="H182" s="189">
        <v>-600</v>
      </c>
      <c r="I182" s="189">
        <v>-600</v>
      </c>
      <c r="J182" s="207"/>
      <c r="K182" s="26" t="s">
        <v>194</v>
      </c>
      <c r="L182" s="26">
        <v>1</v>
      </c>
      <c r="M182" s="97" t="str">
        <f>IF(E182="VEDTATT","VEDTATT",0)</f>
        <v>VEDTATT</v>
      </c>
      <c r="N182" s="97">
        <f>IF(E182="MÅ","Nye tiltak",0)</f>
        <v>0</v>
      </c>
      <c r="O182" s="97"/>
    </row>
    <row r="183" spans="1:16" s="36" customFormat="1" x14ac:dyDescent="0.25">
      <c r="A183" s="76" t="s">
        <v>192</v>
      </c>
      <c r="B183" s="76" t="str">
        <f>IF(L183,K183&amp;L183,"")</f>
        <v>K2</v>
      </c>
      <c r="C183" s="210" t="s">
        <v>419</v>
      </c>
      <c r="D183" s="77" t="s">
        <v>108</v>
      </c>
      <c r="E183" s="229">
        <v>1</v>
      </c>
      <c r="F183" s="422">
        <v>400</v>
      </c>
      <c r="G183" s="422">
        <v>100</v>
      </c>
      <c r="H183" s="422">
        <v>100</v>
      </c>
      <c r="I183" s="422"/>
      <c r="J183" s="207"/>
      <c r="K183" s="26" t="s">
        <v>194</v>
      </c>
      <c r="L183" s="26">
        <v>2</v>
      </c>
      <c r="M183" s="97"/>
      <c r="N183" s="97"/>
      <c r="O183" s="97"/>
    </row>
    <row r="184" spans="1:16" s="36" customFormat="1" x14ac:dyDescent="0.25">
      <c r="A184" s="76" t="s">
        <v>192</v>
      </c>
      <c r="B184" s="76" t="str">
        <f t="shared" si="45"/>
        <v>K3</v>
      </c>
      <c r="C184" s="342" t="s">
        <v>501</v>
      </c>
      <c r="D184" s="77" t="s">
        <v>108</v>
      </c>
      <c r="E184" s="421" t="s">
        <v>342</v>
      </c>
      <c r="F184" s="285">
        <v>350</v>
      </c>
      <c r="G184" s="285">
        <v>350</v>
      </c>
      <c r="H184" s="285">
        <v>350</v>
      </c>
      <c r="I184" s="285">
        <v>350</v>
      </c>
      <c r="J184" s="207"/>
      <c r="K184" s="26" t="s">
        <v>194</v>
      </c>
      <c r="L184" s="26">
        <v>3</v>
      </c>
      <c r="M184" s="97"/>
      <c r="N184" s="97"/>
      <c r="O184" s="97"/>
    </row>
    <row r="185" spans="1:16" s="36" customFormat="1" x14ac:dyDescent="0.25">
      <c r="A185" s="76" t="s">
        <v>192</v>
      </c>
      <c r="B185" s="76" t="str">
        <f t="shared" ref="B185" si="46">IF(L185,K185&amp;L185,"")</f>
        <v>K4</v>
      </c>
      <c r="C185" s="342" t="s">
        <v>420</v>
      </c>
      <c r="D185" s="77" t="s">
        <v>108</v>
      </c>
      <c r="E185" s="229">
        <v>2</v>
      </c>
      <c r="F185" s="285">
        <v>300</v>
      </c>
      <c r="G185" s="285">
        <v>400</v>
      </c>
      <c r="H185" s="285">
        <v>500</v>
      </c>
      <c r="I185" s="285">
        <v>600</v>
      </c>
      <c r="J185" s="207"/>
      <c r="K185" s="26" t="s">
        <v>194</v>
      </c>
      <c r="L185" s="26">
        <v>4</v>
      </c>
      <c r="M185" s="97"/>
      <c r="N185" s="97"/>
      <c r="O185" s="97"/>
    </row>
    <row r="186" spans="1:16" s="36" customFormat="1" x14ac:dyDescent="0.25">
      <c r="A186" s="76" t="s">
        <v>192</v>
      </c>
      <c r="B186" s="76" t="str">
        <f t="shared" si="45"/>
        <v>K5</v>
      </c>
      <c r="C186" s="342" t="s">
        <v>422</v>
      </c>
      <c r="D186" s="77" t="s">
        <v>108</v>
      </c>
      <c r="E186" s="229">
        <v>1</v>
      </c>
      <c r="F186" s="285">
        <v>138</v>
      </c>
      <c r="G186" s="285">
        <v>138</v>
      </c>
      <c r="H186" s="285">
        <v>138</v>
      </c>
      <c r="I186" s="285">
        <v>138</v>
      </c>
      <c r="J186" s="207"/>
      <c r="K186" s="26" t="s">
        <v>194</v>
      </c>
      <c r="L186" s="26">
        <v>5</v>
      </c>
      <c r="M186" s="97">
        <f t="shared" ref="M186:M198" si="47">IF(E186="VEDTATT","VEDTATT",0)</f>
        <v>0</v>
      </c>
      <c r="N186" s="97">
        <f t="shared" ref="N186:N198" si="48">IF(E186="MÅ","Nye tiltak",0)</f>
        <v>0</v>
      </c>
      <c r="O186" s="97"/>
    </row>
    <row r="187" spans="1:16" s="36" customFormat="1" ht="30.75" customHeight="1" x14ac:dyDescent="0.25">
      <c r="A187" s="76" t="s">
        <v>192</v>
      </c>
      <c r="B187" s="76" t="str">
        <f t="shared" si="45"/>
        <v>K6</v>
      </c>
      <c r="C187" s="342" t="s">
        <v>424</v>
      </c>
      <c r="D187" s="77" t="s">
        <v>108</v>
      </c>
      <c r="E187" s="229">
        <v>1</v>
      </c>
      <c r="F187" s="285">
        <v>235</v>
      </c>
      <c r="G187" s="285">
        <v>235</v>
      </c>
      <c r="H187" s="285">
        <v>235</v>
      </c>
      <c r="I187" s="285">
        <v>235</v>
      </c>
      <c r="J187" s="207"/>
      <c r="K187" s="26" t="s">
        <v>194</v>
      </c>
      <c r="L187" s="26">
        <v>6</v>
      </c>
      <c r="M187" s="97">
        <f t="shared" si="47"/>
        <v>0</v>
      </c>
      <c r="N187" s="97">
        <f t="shared" si="48"/>
        <v>0</v>
      </c>
      <c r="O187" s="97"/>
    </row>
    <row r="188" spans="1:16" s="36" customFormat="1" ht="26.25" customHeight="1" x14ac:dyDescent="0.25">
      <c r="A188" s="76" t="s">
        <v>192</v>
      </c>
      <c r="B188" s="76" t="str">
        <f t="shared" si="45"/>
        <v>K7</v>
      </c>
      <c r="C188" s="210" t="s">
        <v>502</v>
      </c>
      <c r="D188" s="77" t="s">
        <v>108</v>
      </c>
      <c r="E188" s="421" t="s">
        <v>342</v>
      </c>
      <c r="F188" s="422">
        <v>100</v>
      </c>
      <c r="G188" s="422">
        <v>200</v>
      </c>
      <c r="H188" s="422">
        <v>500</v>
      </c>
      <c r="I188" s="422">
        <v>500</v>
      </c>
      <c r="J188" s="207"/>
      <c r="K188" s="26" t="s">
        <v>194</v>
      </c>
      <c r="L188" s="26">
        <v>7</v>
      </c>
      <c r="M188" s="97">
        <f t="shared" si="47"/>
        <v>0</v>
      </c>
      <c r="N188" s="97">
        <f t="shared" si="48"/>
        <v>0</v>
      </c>
      <c r="O188" s="97"/>
    </row>
    <row r="189" spans="1:16" s="36" customFormat="1" ht="25.5" x14ac:dyDescent="0.25">
      <c r="A189" s="76" t="s">
        <v>192</v>
      </c>
      <c r="B189" s="76" t="str">
        <f t="shared" si="45"/>
        <v>K8</v>
      </c>
      <c r="C189" s="210" t="s">
        <v>503</v>
      </c>
      <c r="D189" s="77" t="s">
        <v>108</v>
      </c>
      <c r="E189" s="421" t="s">
        <v>342</v>
      </c>
      <c r="F189" s="422">
        <v>794</v>
      </c>
      <c r="G189" s="422">
        <v>794</v>
      </c>
      <c r="H189" s="422">
        <v>794</v>
      </c>
      <c r="I189" s="422">
        <v>794</v>
      </c>
      <c r="J189" s="207"/>
      <c r="K189" s="26" t="s">
        <v>194</v>
      </c>
      <c r="L189" s="26">
        <v>8</v>
      </c>
      <c r="M189" s="97">
        <f t="shared" si="47"/>
        <v>0</v>
      </c>
      <c r="N189" s="97">
        <f t="shared" si="48"/>
        <v>0</v>
      </c>
      <c r="O189" s="97"/>
    </row>
    <row r="190" spans="1:16" s="36" customFormat="1" x14ac:dyDescent="0.25">
      <c r="A190" s="76" t="s">
        <v>192</v>
      </c>
      <c r="B190" s="76" t="str">
        <f t="shared" si="45"/>
        <v>K9</v>
      </c>
      <c r="C190" s="210" t="s">
        <v>426</v>
      </c>
      <c r="D190" s="77" t="s">
        <v>108</v>
      </c>
      <c r="E190" s="229">
        <v>2</v>
      </c>
      <c r="F190" s="422">
        <v>200</v>
      </c>
      <c r="G190" s="422">
        <v>200</v>
      </c>
      <c r="H190" s="422">
        <v>200</v>
      </c>
      <c r="I190" s="422">
        <v>200</v>
      </c>
      <c r="J190" s="255"/>
      <c r="K190" s="26" t="s">
        <v>194</v>
      </c>
      <c r="L190" s="26">
        <v>9</v>
      </c>
      <c r="M190" s="97">
        <f t="shared" si="47"/>
        <v>0</v>
      </c>
      <c r="N190" s="97">
        <f t="shared" si="48"/>
        <v>0</v>
      </c>
      <c r="O190" s="97"/>
    </row>
    <row r="191" spans="1:16" s="36" customFormat="1" ht="25.5" x14ac:dyDescent="0.25">
      <c r="A191" s="76" t="s">
        <v>192</v>
      </c>
      <c r="B191" s="76" t="str">
        <f t="shared" ref="B191:B199" si="49">IF(L191,K191&amp;L191,"")</f>
        <v>K10</v>
      </c>
      <c r="C191" s="210" t="s">
        <v>427</v>
      </c>
      <c r="D191" s="77" t="s">
        <v>108</v>
      </c>
      <c r="E191" s="229">
        <v>2</v>
      </c>
      <c r="F191" s="422">
        <v>375</v>
      </c>
      <c r="G191" s="422">
        <v>375</v>
      </c>
      <c r="H191" s="422">
        <v>375</v>
      </c>
      <c r="I191" s="422">
        <v>375</v>
      </c>
      <c r="J191" s="207"/>
      <c r="K191" s="26" t="s">
        <v>194</v>
      </c>
      <c r="L191" s="26">
        <v>10</v>
      </c>
      <c r="M191" s="97">
        <f t="shared" si="47"/>
        <v>0</v>
      </c>
      <c r="N191" s="97">
        <f t="shared" si="48"/>
        <v>0</v>
      </c>
      <c r="O191" s="97"/>
    </row>
    <row r="192" spans="1:16" s="36" customFormat="1" ht="23.25" customHeight="1" x14ac:dyDescent="0.25">
      <c r="A192" s="76" t="s">
        <v>192</v>
      </c>
      <c r="B192" s="76" t="str">
        <f t="shared" si="49"/>
        <v>K11</v>
      </c>
      <c r="C192" s="210" t="s">
        <v>504</v>
      </c>
      <c r="D192" s="77" t="s">
        <v>108</v>
      </c>
      <c r="E192" s="421" t="s">
        <v>342</v>
      </c>
      <c r="F192" s="422">
        <v>150</v>
      </c>
      <c r="G192" s="422">
        <v>150</v>
      </c>
      <c r="H192" s="422">
        <v>150</v>
      </c>
      <c r="I192" s="422">
        <v>150</v>
      </c>
      <c r="J192" s="207"/>
      <c r="K192" s="26" t="s">
        <v>194</v>
      </c>
      <c r="L192" s="26">
        <v>11</v>
      </c>
      <c r="M192" s="97">
        <f t="shared" si="47"/>
        <v>0</v>
      </c>
      <c r="N192" s="97">
        <f t="shared" si="48"/>
        <v>0</v>
      </c>
      <c r="O192" s="97"/>
    </row>
    <row r="193" spans="1:15" s="36" customFormat="1" ht="25.5" x14ac:dyDescent="0.25">
      <c r="A193" s="76" t="s">
        <v>192</v>
      </c>
      <c r="B193" s="76" t="str">
        <f t="shared" si="49"/>
        <v>K12</v>
      </c>
      <c r="C193" s="210" t="s">
        <v>505</v>
      </c>
      <c r="D193" s="77" t="s">
        <v>108</v>
      </c>
      <c r="E193" s="421" t="s">
        <v>342</v>
      </c>
      <c r="F193" s="422">
        <v>750</v>
      </c>
      <c r="G193" s="422"/>
      <c r="H193" s="422"/>
      <c r="I193" s="422"/>
      <c r="J193" s="207"/>
      <c r="K193" s="26" t="s">
        <v>194</v>
      </c>
      <c r="L193" s="26">
        <v>12</v>
      </c>
      <c r="M193" s="97">
        <f t="shared" si="47"/>
        <v>0</v>
      </c>
      <c r="N193" s="97">
        <f t="shared" si="48"/>
        <v>0</v>
      </c>
      <c r="O193" s="97"/>
    </row>
    <row r="194" spans="1:15" s="36" customFormat="1" x14ac:dyDescent="0.25">
      <c r="A194" s="76" t="s">
        <v>192</v>
      </c>
      <c r="B194" s="76" t="str">
        <f t="shared" si="49"/>
        <v>K13</v>
      </c>
      <c r="C194" s="210" t="s">
        <v>338</v>
      </c>
      <c r="D194" s="77" t="s">
        <v>108</v>
      </c>
      <c r="E194" s="229">
        <v>1</v>
      </c>
      <c r="F194" s="422">
        <v>300</v>
      </c>
      <c r="G194" s="422">
        <v>300</v>
      </c>
      <c r="H194" s="422">
        <v>300</v>
      </c>
      <c r="I194" s="422">
        <v>300</v>
      </c>
      <c r="J194" s="207"/>
      <c r="K194" s="26" t="s">
        <v>194</v>
      </c>
      <c r="L194" s="26">
        <v>13</v>
      </c>
      <c r="M194" s="97">
        <f t="shared" si="47"/>
        <v>0</v>
      </c>
      <c r="N194" s="97">
        <f t="shared" si="48"/>
        <v>0</v>
      </c>
      <c r="O194" s="97"/>
    </row>
    <row r="195" spans="1:15" s="36" customFormat="1" x14ac:dyDescent="0.25">
      <c r="A195" s="76" t="s">
        <v>192</v>
      </c>
      <c r="B195" s="76" t="str">
        <f t="shared" si="49"/>
        <v>K14</v>
      </c>
      <c r="C195" s="289"/>
      <c r="D195" s="77"/>
      <c r="E195" s="421"/>
      <c r="F195" s="422"/>
      <c r="G195" s="422"/>
      <c r="H195" s="422"/>
      <c r="I195" s="422"/>
      <c r="J195" s="207"/>
      <c r="K195" s="26" t="s">
        <v>194</v>
      </c>
      <c r="L195" s="26">
        <v>14</v>
      </c>
      <c r="M195" s="97">
        <f t="shared" si="47"/>
        <v>0</v>
      </c>
      <c r="N195" s="97">
        <f t="shared" si="48"/>
        <v>0</v>
      </c>
      <c r="O195" s="97"/>
    </row>
    <row r="196" spans="1:15" s="36" customFormat="1" x14ac:dyDescent="0.25">
      <c r="A196" s="76" t="s">
        <v>192</v>
      </c>
      <c r="B196" s="76" t="str">
        <f t="shared" si="49"/>
        <v>K15</v>
      </c>
      <c r="C196" s="385" t="s">
        <v>198</v>
      </c>
      <c r="D196" s="77"/>
      <c r="E196" s="69"/>
      <c r="F196" s="189"/>
      <c r="G196" s="189"/>
      <c r="H196" s="189"/>
      <c r="I196" s="189"/>
      <c r="J196" s="207"/>
      <c r="K196" s="26" t="s">
        <v>194</v>
      </c>
      <c r="L196" s="26">
        <v>15</v>
      </c>
      <c r="M196" s="97">
        <f t="shared" si="47"/>
        <v>0</v>
      </c>
      <c r="N196" s="97">
        <f t="shared" si="48"/>
        <v>0</v>
      </c>
      <c r="O196" s="97"/>
    </row>
    <row r="197" spans="1:15" s="36" customFormat="1" x14ac:dyDescent="0.25">
      <c r="A197" s="76" t="s">
        <v>192</v>
      </c>
      <c r="B197" s="76" t="str">
        <f t="shared" si="49"/>
        <v>K16</v>
      </c>
      <c r="C197" s="211" t="s">
        <v>199</v>
      </c>
      <c r="D197" s="70" t="s">
        <v>105</v>
      </c>
      <c r="E197" s="69" t="s">
        <v>98</v>
      </c>
      <c r="F197" s="68">
        <v>0</v>
      </c>
      <c r="G197" s="68">
        <v>50</v>
      </c>
      <c r="H197" s="68">
        <v>50</v>
      </c>
      <c r="I197" s="68">
        <v>50</v>
      </c>
      <c r="J197" s="411"/>
      <c r="K197" s="26" t="s">
        <v>194</v>
      </c>
      <c r="L197" s="26">
        <v>16</v>
      </c>
      <c r="M197" s="97" t="str">
        <f t="shared" si="47"/>
        <v>VEDTATT</v>
      </c>
      <c r="N197" s="97">
        <f t="shared" si="48"/>
        <v>0</v>
      </c>
      <c r="O197" s="97"/>
    </row>
    <row r="198" spans="1:15" s="36" customFormat="1" x14ac:dyDescent="0.25">
      <c r="A198" s="76" t="s">
        <v>192</v>
      </c>
      <c r="B198" s="76" t="str">
        <f t="shared" si="49"/>
        <v>K17</v>
      </c>
      <c r="C198" s="211" t="s">
        <v>201</v>
      </c>
      <c r="D198" s="70" t="s">
        <v>105</v>
      </c>
      <c r="E198" s="69" t="s">
        <v>98</v>
      </c>
      <c r="F198" s="88">
        <v>360</v>
      </c>
      <c r="G198" s="88">
        <v>360</v>
      </c>
      <c r="H198" s="88">
        <v>360</v>
      </c>
      <c r="I198" s="88">
        <v>360</v>
      </c>
      <c r="J198" s="411" t="s">
        <v>506</v>
      </c>
      <c r="K198" s="26" t="s">
        <v>194</v>
      </c>
      <c r="L198" s="26">
        <v>17</v>
      </c>
      <c r="M198" s="97" t="str">
        <f t="shared" si="47"/>
        <v>VEDTATT</v>
      </c>
      <c r="N198" s="97">
        <f t="shared" si="48"/>
        <v>0</v>
      </c>
      <c r="O198" s="97"/>
    </row>
    <row r="199" spans="1:15" s="36" customFormat="1" x14ac:dyDescent="0.25">
      <c r="A199" s="76" t="s">
        <v>192</v>
      </c>
      <c r="B199" s="76" t="str">
        <f t="shared" si="49"/>
        <v>K18</v>
      </c>
      <c r="C199" s="211" t="s">
        <v>201</v>
      </c>
      <c r="D199" s="70" t="s">
        <v>105</v>
      </c>
      <c r="E199" s="69" t="s">
        <v>98</v>
      </c>
      <c r="F199" s="88">
        <v>0</v>
      </c>
      <c r="G199" s="88">
        <v>1500</v>
      </c>
      <c r="H199" s="88">
        <v>3000</v>
      </c>
      <c r="I199" s="88">
        <v>3000</v>
      </c>
      <c r="J199" s="411" t="s">
        <v>506</v>
      </c>
      <c r="K199" s="26" t="s">
        <v>194</v>
      </c>
      <c r="L199" s="26">
        <v>18</v>
      </c>
      <c r="M199" s="97"/>
      <c r="N199" s="97"/>
      <c r="O199" s="97"/>
    </row>
    <row r="200" spans="1:15" s="36" customFormat="1" x14ac:dyDescent="0.25">
      <c r="A200" s="76"/>
      <c r="B200" s="76"/>
      <c r="C200" s="80"/>
      <c r="D200" s="70"/>
      <c r="E200" s="69"/>
      <c r="F200" s="68"/>
      <c r="G200" s="68"/>
      <c r="H200" s="68"/>
      <c r="I200" s="68"/>
      <c r="J200" s="207"/>
      <c r="K200" s="26" t="s">
        <v>194</v>
      </c>
      <c r="L200" s="26">
        <v>19</v>
      </c>
      <c r="M200" s="97"/>
      <c r="N200" s="97"/>
      <c r="O200" s="97"/>
    </row>
    <row r="201" spans="1:15" s="36" customFormat="1" x14ac:dyDescent="0.25">
      <c r="A201" s="41"/>
      <c r="B201" s="41" t="s">
        <v>152</v>
      </c>
      <c r="C201" s="3" t="s">
        <v>203</v>
      </c>
      <c r="D201" s="50"/>
      <c r="E201" s="50"/>
      <c r="F201" s="54">
        <f>SUMIF($A:$A,"KuN",F:F)</f>
        <v>4052</v>
      </c>
      <c r="G201" s="54">
        <f>SUMIF($A:$A,"KuN",G:G)</f>
        <v>4652</v>
      </c>
      <c r="H201" s="54">
        <f>SUMIF($A:$A,"KuN",H:H)</f>
        <v>6452</v>
      </c>
      <c r="I201" s="54">
        <f>SUMIF($A:$A,"KuN",I:I)</f>
        <v>6452</v>
      </c>
      <c r="J201" s="412"/>
      <c r="K201" s="335"/>
      <c r="L201" s="335"/>
      <c r="M201" s="97"/>
      <c r="N201" s="97"/>
      <c r="O201" s="97"/>
    </row>
    <row r="202" spans="1:15" s="36" customFormat="1" x14ac:dyDescent="0.25">
      <c r="A202" s="45"/>
      <c r="B202" s="45"/>
      <c r="C202" s="9"/>
      <c r="D202" s="47"/>
      <c r="E202" s="47"/>
      <c r="F202" s="55"/>
      <c r="G202" s="55"/>
      <c r="H202" s="55"/>
      <c r="I202" s="55"/>
      <c r="J202" s="412"/>
      <c r="K202" s="26"/>
      <c r="L202" s="26"/>
      <c r="M202" s="97"/>
      <c r="N202" s="97"/>
      <c r="O202" s="97"/>
    </row>
    <row r="203" spans="1:15" s="36" customFormat="1" x14ac:dyDescent="0.25">
      <c r="A203" s="46"/>
      <c r="B203" s="46"/>
      <c r="C203" s="246" t="s">
        <v>204</v>
      </c>
      <c r="D203" s="81"/>
      <c r="E203" s="69"/>
      <c r="F203" s="4">
        <f>F181</f>
        <v>2022</v>
      </c>
      <c r="G203" s="4">
        <f>F203+1</f>
        <v>2023</v>
      </c>
      <c r="H203" s="4">
        <f>G203+1</f>
        <v>2024</v>
      </c>
      <c r="I203" s="4">
        <f>H203+1</f>
        <v>2025</v>
      </c>
      <c r="J203" s="412"/>
      <c r="K203" s="335"/>
      <c r="L203" s="335"/>
      <c r="M203" s="97"/>
      <c r="N203" s="97"/>
      <c r="O203" s="97"/>
    </row>
    <row r="204" spans="1:15" s="36" customFormat="1" x14ac:dyDescent="0.25">
      <c r="A204" s="76"/>
      <c r="B204" s="76"/>
      <c r="C204" s="342"/>
      <c r="D204" s="70"/>
      <c r="E204" s="69"/>
      <c r="F204" s="215"/>
      <c r="G204" s="215"/>
      <c r="H204" s="215"/>
      <c r="I204" s="215"/>
      <c r="J204" s="412"/>
      <c r="K204" s="26"/>
      <c r="L204" s="26"/>
      <c r="M204" s="97"/>
      <c r="N204" s="97"/>
      <c r="O204" s="97"/>
    </row>
    <row r="205" spans="1:15" s="36" customFormat="1" x14ac:dyDescent="0.25">
      <c r="A205" s="76"/>
      <c r="B205" s="76"/>
      <c r="C205" s="341"/>
      <c r="D205" s="286"/>
      <c r="E205" s="287"/>
      <c r="F205" s="343"/>
      <c r="G205" s="343"/>
      <c r="H205" s="343"/>
      <c r="I205" s="343"/>
      <c r="J205" s="412"/>
      <c r="K205" s="26"/>
      <c r="L205" s="26"/>
      <c r="M205" s="97"/>
      <c r="N205" s="97"/>
      <c r="O205" s="97"/>
    </row>
    <row r="206" spans="1:15" s="36" customFormat="1" x14ac:dyDescent="0.25">
      <c r="A206" s="76" t="s">
        <v>206</v>
      </c>
      <c r="B206" s="76" t="str">
        <f t="shared" ref="B206:B232" si="50">IF(L206,K206&amp;L206,"")</f>
        <v/>
      </c>
      <c r="C206" s="341"/>
      <c r="D206" s="286"/>
      <c r="E206" s="287"/>
      <c r="F206" s="343"/>
      <c r="G206" s="343"/>
      <c r="H206" s="343"/>
      <c r="I206" s="343"/>
      <c r="J206" s="412"/>
      <c r="K206" s="26" t="s">
        <v>208</v>
      </c>
      <c r="L206" s="26"/>
      <c r="M206" s="97"/>
      <c r="N206" s="97"/>
      <c r="O206" s="97"/>
    </row>
    <row r="207" spans="1:15" s="36" customFormat="1" x14ac:dyDescent="0.25">
      <c r="A207" s="46"/>
      <c r="B207" s="76" t="str">
        <f t="shared" si="50"/>
        <v/>
      </c>
      <c r="C207" s="206" t="s">
        <v>205</v>
      </c>
      <c r="D207" s="81"/>
      <c r="E207" s="69"/>
      <c r="F207" s="4">
        <f>F203</f>
        <v>2022</v>
      </c>
      <c r="G207" s="4">
        <f>F207+1</f>
        <v>2023</v>
      </c>
      <c r="H207" s="4">
        <f>G207+1</f>
        <v>2024</v>
      </c>
      <c r="I207" s="4">
        <f>H207+1</f>
        <v>2025</v>
      </c>
      <c r="J207" s="412"/>
      <c r="K207" s="335"/>
      <c r="L207" s="335"/>
      <c r="M207" s="97"/>
      <c r="N207" s="97"/>
      <c r="O207" s="97"/>
    </row>
    <row r="208" spans="1:15" s="36" customFormat="1" x14ac:dyDescent="0.25">
      <c r="A208" s="76" t="s">
        <v>206</v>
      </c>
      <c r="B208" s="76" t="str">
        <f t="shared" si="50"/>
        <v>T1</v>
      </c>
      <c r="C208" s="397" t="s">
        <v>207</v>
      </c>
      <c r="D208" s="70" t="s">
        <v>108</v>
      </c>
      <c r="E208" s="403" t="s">
        <v>46</v>
      </c>
      <c r="F208" s="371">
        <v>500</v>
      </c>
      <c r="G208" s="371">
        <v>500</v>
      </c>
      <c r="H208" s="371">
        <v>500</v>
      </c>
      <c r="I208" s="399">
        <v>500</v>
      </c>
      <c r="J208" s="91" t="s">
        <v>143</v>
      </c>
      <c r="K208" s="26" t="s">
        <v>208</v>
      </c>
      <c r="L208" s="26">
        <f>L205+1</f>
        <v>1</v>
      </c>
      <c r="M208" s="97"/>
      <c r="N208" s="97"/>
      <c r="O208" s="97"/>
    </row>
    <row r="209" spans="1:15" s="36" customFormat="1" ht="25.5" x14ac:dyDescent="0.25">
      <c r="A209" s="76" t="s">
        <v>206</v>
      </c>
      <c r="B209" s="76" t="str">
        <f t="shared" si="50"/>
        <v>T2</v>
      </c>
      <c r="C209" s="397" t="s">
        <v>209</v>
      </c>
      <c r="D209" s="70" t="s">
        <v>108</v>
      </c>
      <c r="E209" s="229">
        <v>1</v>
      </c>
      <c r="F209" s="371">
        <v>700</v>
      </c>
      <c r="G209" s="371">
        <v>700</v>
      </c>
      <c r="H209" s="371">
        <v>700</v>
      </c>
      <c r="I209" s="399">
        <v>700</v>
      </c>
      <c r="J209" s="91" t="s">
        <v>210</v>
      </c>
      <c r="K209" s="26" t="s">
        <v>208</v>
      </c>
      <c r="L209" s="26">
        <f t="shared" ref="L209:L213" si="51">L208+1</f>
        <v>2</v>
      </c>
      <c r="M209" s="97"/>
      <c r="N209" s="97"/>
      <c r="O209" s="97"/>
    </row>
    <row r="210" spans="1:15" s="36" customFormat="1" x14ac:dyDescent="0.25">
      <c r="A210" s="76" t="s">
        <v>206</v>
      </c>
      <c r="B210" s="76" t="str">
        <f t="shared" si="50"/>
        <v>T3</v>
      </c>
      <c r="C210" s="420" t="s">
        <v>211</v>
      </c>
      <c r="D210" s="70" t="s">
        <v>108</v>
      </c>
      <c r="E210" s="229">
        <v>1</v>
      </c>
      <c r="F210" s="399">
        <v>6500</v>
      </c>
      <c r="G210" s="399">
        <v>8000</v>
      </c>
      <c r="H210" s="399">
        <v>9000</v>
      </c>
      <c r="I210" s="399">
        <v>9000</v>
      </c>
      <c r="J210" s="91" t="s">
        <v>212</v>
      </c>
      <c r="K210" s="26" t="s">
        <v>208</v>
      </c>
      <c r="L210" s="26">
        <f t="shared" si="51"/>
        <v>3</v>
      </c>
      <c r="M210" s="97"/>
      <c r="N210" s="97"/>
      <c r="O210" s="97"/>
    </row>
    <row r="211" spans="1:15" s="36" customFormat="1" x14ac:dyDescent="0.25">
      <c r="A211" s="76" t="s">
        <v>206</v>
      </c>
      <c r="B211" s="76" t="str">
        <f t="shared" si="50"/>
        <v>T4</v>
      </c>
      <c r="C211" s="397" t="s">
        <v>507</v>
      </c>
      <c r="D211" s="70" t="s">
        <v>108</v>
      </c>
      <c r="E211" s="229" t="s">
        <v>342</v>
      </c>
      <c r="F211" s="399">
        <v>500</v>
      </c>
      <c r="G211" s="399">
        <v>500</v>
      </c>
      <c r="H211" s="399">
        <v>500</v>
      </c>
      <c r="I211" s="399">
        <v>500</v>
      </c>
      <c r="J211" s="91" t="s">
        <v>508</v>
      </c>
      <c r="K211" s="26" t="s">
        <v>208</v>
      </c>
      <c r="L211" s="26">
        <f t="shared" si="51"/>
        <v>4</v>
      </c>
      <c r="M211" s="97"/>
      <c r="N211" s="97"/>
      <c r="O211" s="97"/>
    </row>
    <row r="212" spans="1:15" s="36" customFormat="1" ht="25.5" x14ac:dyDescent="0.25">
      <c r="A212" s="76" t="s">
        <v>206</v>
      </c>
      <c r="B212" s="76" t="str">
        <f t="shared" si="50"/>
        <v>T5</v>
      </c>
      <c r="C212" s="397" t="s">
        <v>213</v>
      </c>
      <c r="D212" s="70" t="s">
        <v>108</v>
      </c>
      <c r="E212" s="229" t="s">
        <v>46</v>
      </c>
      <c r="F212" s="399">
        <v>250</v>
      </c>
      <c r="G212" s="399">
        <v>300</v>
      </c>
      <c r="H212" s="399">
        <v>350</v>
      </c>
      <c r="I212" s="399">
        <v>400</v>
      </c>
      <c r="J212" s="91" t="s">
        <v>214</v>
      </c>
      <c r="K212" s="26" t="s">
        <v>208</v>
      </c>
      <c r="L212" s="26">
        <f t="shared" si="51"/>
        <v>5</v>
      </c>
      <c r="M212" s="97"/>
      <c r="N212" s="97"/>
      <c r="O212" s="97"/>
    </row>
    <row r="213" spans="1:15" s="36" customFormat="1" x14ac:dyDescent="0.25">
      <c r="A213" s="76" t="s">
        <v>206</v>
      </c>
      <c r="B213" s="76" t="str">
        <f t="shared" si="50"/>
        <v>T6</v>
      </c>
      <c r="C213" s="397" t="s">
        <v>430</v>
      </c>
      <c r="D213" s="70" t="s">
        <v>108</v>
      </c>
      <c r="E213" s="229">
        <v>1</v>
      </c>
      <c r="F213" s="399">
        <v>2500</v>
      </c>
      <c r="G213" s="399">
        <v>2500</v>
      </c>
      <c r="H213" s="399">
        <v>2500</v>
      </c>
      <c r="I213" s="399">
        <v>2500</v>
      </c>
      <c r="J213" s="91"/>
      <c r="K213" s="26" t="s">
        <v>208</v>
      </c>
      <c r="L213" s="26">
        <f t="shared" si="51"/>
        <v>6</v>
      </c>
      <c r="M213" s="97"/>
      <c r="N213" s="97"/>
      <c r="O213" s="97"/>
    </row>
    <row r="214" spans="1:15" s="36" customFormat="1" x14ac:dyDescent="0.25">
      <c r="A214" s="76"/>
      <c r="B214" s="76" t="str">
        <f t="shared" si="50"/>
        <v/>
      </c>
      <c r="C214" s="210"/>
      <c r="D214" s="70"/>
      <c r="E214" s="69"/>
      <c r="F214" s="215"/>
      <c r="G214" s="215"/>
      <c r="H214" s="215"/>
      <c r="I214" s="215"/>
      <c r="J214" s="91"/>
      <c r="K214" s="26"/>
      <c r="L214" s="26"/>
      <c r="M214" s="97"/>
      <c r="N214" s="97"/>
      <c r="O214" s="97"/>
    </row>
    <row r="215" spans="1:15" s="36" customFormat="1" x14ac:dyDescent="0.25">
      <c r="A215" s="76"/>
      <c r="B215" s="76" t="str">
        <f t="shared" si="50"/>
        <v/>
      </c>
      <c r="C215" s="206" t="s">
        <v>217</v>
      </c>
      <c r="D215" s="70"/>
      <c r="E215" s="69"/>
      <c r="F215" s="4">
        <f>F207</f>
        <v>2022</v>
      </c>
      <c r="G215" s="4">
        <f>F215+1</f>
        <v>2023</v>
      </c>
      <c r="H215" s="4">
        <f>G215+1</f>
        <v>2024</v>
      </c>
      <c r="I215" s="4">
        <f>H215+1</f>
        <v>2025</v>
      </c>
      <c r="J215" s="412"/>
      <c r="K215" s="335"/>
      <c r="L215" s="335"/>
      <c r="M215" s="97"/>
      <c r="N215" s="97"/>
      <c r="O215" s="97"/>
    </row>
    <row r="216" spans="1:15" s="36" customFormat="1" x14ac:dyDescent="0.25">
      <c r="A216" s="76" t="s">
        <v>206</v>
      </c>
      <c r="B216" s="76" t="str">
        <f t="shared" si="50"/>
        <v>T7</v>
      </c>
      <c r="C216" s="342" t="s">
        <v>218</v>
      </c>
      <c r="D216" s="70" t="s">
        <v>105</v>
      </c>
      <c r="E216" s="69" t="s">
        <v>98</v>
      </c>
      <c r="F216" s="215"/>
      <c r="G216" s="215">
        <v>-450</v>
      </c>
      <c r="H216" s="215">
        <v>-450</v>
      </c>
      <c r="I216" s="215">
        <v>-450</v>
      </c>
      <c r="J216" s="412" t="s">
        <v>219</v>
      </c>
      <c r="K216" s="26" t="s">
        <v>208</v>
      </c>
      <c r="L216" s="26">
        <f>L213+1</f>
        <v>7</v>
      </c>
      <c r="M216" s="97" t="str">
        <f>IF(E216="VEDTATT","VEDTATT",0)</f>
        <v>VEDTATT</v>
      </c>
      <c r="N216" s="97">
        <f>IF(E216="MÅ","Nye tiltak",0)</f>
        <v>0</v>
      </c>
      <c r="O216" s="97"/>
    </row>
    <row r="217" spans="1:15" s="36" customFormat="1" x14ac:dyDescent="0.25">
      <c r="A217" s="76"/>
      <c r="B217" s="76" t="str">
        <f t="shared" si="50"/>
        <v/>
      </c>
      <c r="C217" s="342"/>
      <c r="D217" s="70"/>
      <c r="E217" s="69"/>
      <c r="F217" s="215"/>
      <c r="G217" s="215"/>
      <c r="H217" s="215"/>
      <c r="I217" s="215"/>
      <c r="J217" s="412"/>
      <c r="K217" s="26"/>
      <c r="L217" s="26"/>
      <c r="M217" s="97"/>
      <c r="N217" s="97"/>
      <c r="O217" s="97"/>
    </row>
    <row r="218" spans="1:15" s="36" customFormat="1" x14ac:dyDescent="0.25">
      <c r="A218" s="76"/>
      <c r="B218" s="76" t="str">
        <f t="shared" si="50"/>
        <v/>
      </c>
      <c r="C218" s="206" t="s">
        <v>220</v>
      </c>
      <c r="D218" s="70"/>
      <c r="E218" s="69"/>
      <c r="F218" s="4">
        <f>F215</f>
        <v>2022</v>
      </c>
      <c r="G218" s="4">
        <f>F218+1</f>
        <v>2023</v>
      </c>
      <c r="H218" s="4">
        <f>G218+1</f>
        <v>2024</v>
      </c>
      <c r="I218" s="4">
        <f>H218+1</f>
        <v>2025</v>
      </c>
      <c r="J218" s="412"/>
      <c r="K218" s="335"/>
      <c r="L218" s="335"/>
      <c r="M218" s="97"/>
      <c r="N218" s="97"/>
      <c r="O218" s="97"/>
    </row>
    <row r="219" spans="1:15" s="36" customFormat="1" x14ac:dyDescent="0.25">
      <c r="A219" s="43" t="s">
        <v>206</v>
      </c>
      <c r="B219" s="76" t="str">
        <f t="shared" ref="B219:B220" si="52">IF(L219,K219&amp;L219,"")</f>
        <v>T8</v>
      </c>
      <c r="C219" s="210" t="s">
        <v>221</v>
      </c>
      <c r="D219" s="70" t="s">
        <v>105</v>
      </c>
      <c r="E219" s="69" t="s">
        <v>98</v>
      </c>
      <c r="F219" s="215">
        <v>0</v>
      </c>
      <c r="G219" s="215">
        <v>-350</v>
      </c>
      <c r="H219" s="215">
        <v>-350</v>
      </c>
      <c r="I219" s="215">
        <v>-350</v>
      </c>
      <c r="J219" s="412"/>
      <c r="K219" s="26" t="s">
        <v>208</v>
      </c>
      <c r="L219" s="26">
        <f>+L216+1</f>
        <v>8</v>
      </c>
      <c r="M219" s="97" t="str">
        <f t="shared" ref="M219:M249" si="53">IF(E219="VEDTATT","VEDTATT",0)</f>
        <v>VEDTATT</v>
      </c>
      <c r="N219" s="97"/>
      <c r="O219" s="97"/>
    </row>
    <row r="220" spans="1:15" s="36" customFormat="1" x14ac:dyDescent="0.25">
      <c r="A220" s="43" t="s">
        <v>206</v>
      </c>
      <c r="B220" s="76" t="str">
        <f t="shared" si="52"/>
        <v>T9</v>
      </c>
      <c r="C220" s="210" t="s">
        <v>345</v>
      </c>
      <c r="D220" s="70" t="s">
        <v>105</v>
      </c>
      <c r="E220" s="69" t="s">
        <v>98</v>
      </c>
      <c r="F220" s="215">
        <v>0</v>
      </c>
      <c r="G220" s="215">
        <v>2500</v>
      </c>
      <c r="H220" s="215">
        <v>2500</v>
      </c>
      <c r="I220" s="215">
        <v>2500</v>
      </c>
      <c r="J220" s="412"/>
      <c r="K220" s="26" t="s">
        <v>208</v>
      </c>
      <c r="L220" s="26">
        <f>+L219+1</f>
        <v>9</v>
      </c>
      <c r="M220" s="97" t="str">
        <f t="shared" si="53"/>
        <v>VEDTATT</v>
      </c>
      <c r="N220" s="97"/>
      <c r="O220" s="97"/>
    </row>
    <row r="221" spans="1:15" s="36" customFormat="1" x14ac:dyDescent="0.25">
      <c r="A221" s="43" t="s">
        <v>206</v>
      </c>
      <c r="B221" s="76" t="str">
        <f t="shared" si="50"/>
        <v>T10</v>
      </c>
      <c r="C221" s="210" t="s">
        <v>223</v>
      </c>
      <c r="D221" s="70" t="s">
        <v>105</v>
      </c>
      <c r="E221" s="69" t="s">
        <v>98</v>
      </c>
      <c r="F221" s="215">
        <v>0</v>
      </c>
      <c r="G221" s="215">
        <v>-350</v>
      </c>
      <c r="H221" s="215">
        <v>-350</v>
      </c>
      <c r="I221" s="215">
        <v>-350</v>
      </c>
      <c r="J221" s="412"/>
      <c r="K221" s="26" t="s">
        <v>208</v>
      </c>
      <c r="L221" s="26">
        <f t="shared" ref="L221:L228" si="54">+L220+1</f>
        <v>10</v>
      </c>
      <c r="M221" s="97" t="str">
        <f t="shared" si="53"/>
        <v>VEDTATT</v>
      </c>
      <c r="N221" s="97">
        <f t="shared" ref="N221:N249" si="55">IF(E221="MÅ","Nye tiltak",0)</f>
        <v>0</v>
      </c>
      <c r="O221" s="97"/>
    </row>
    <row r="222" spans="1:15" s="36" customFormat="1" x14ac:dyDescent="0.25">
      <c r="A222" s="43" t="s">
        <v>206</v>
      </c>
      <c r="B222" s="76" t="str">
        <f t="shared" si="50"/>
        <v>T11</v>
      </c>
      <c r="C222" s="210" t="s">
        <v>235</v>
      </c>
      <c r="D222" s="70" t="s">
        <v>97</v>
      </c>
      <c r="E222" s="69" t="s">
        <v>98</v>
      </c>
      <c r="F222" s="88">
        <v>2000</v>
      </c>
      <c r="G222" s="88">
        <f>+F222</f>
        <v>2000</v>
      </c>
      <c r="H222" s="88">
        <f t="shared" ref="H222:I222" si="56">+G222</f>
        <v>2000</v>
      </c>
      <c r="I222" s="88">
        <f t="shared" si="56"/>
        <v>2000</v>
      </c>
      <c r="J222" s="207" t="s">
        <v>509</v>
      </c>
      <c r="K222" s="26" t="s">
        <v>208</v>
      </c>
      <c r="L222" s="26">
        <f t="shared" si="54"/>
        <v>11</v>
      </c>
      <c r="M222" s="97" t="str">
        <f t="shared" si="53"/>
        <v>VEDTATT</v>
      </c>
      <c r="N222" s="97">
        <f t="shared" si="55"/>
        <v>0</v>
      </c>
      <c r="O222" s="97"/>
    </row>
    <row r="223" spans="1:15" s="36" customFormat="1" x14ac:dyDescent="0.25">
      <c r="A223" s="43" t="s">
        <v>206</v>
      </c>
      <c r="B223" s="76" t="str">
        <f t="shared" si="50"/>
        <v>T12</v>
      </c>
      <c r="C223" s="406" t="s">
        <v>224</v>
      </c>
      <c r="D223" s="70" t="s">
        <v>108</v>
      </c>
      <c r="E223" s="229" t="s">
        <v>46</v>
      </c>
      <c r="F223" s="400">
        <v>10</v>
      </c>
      <c r="G223" s="400">
        <v>20</v>
      </c>
      <c r="H223" s="400">
        <v>30</v>
      </c>
      <c r="I223" s="400">
        <v>40</v>
      </c>
      <c r="J223" s="207" t="s">
        <v>225</v>
      </c>
      <c r="K223" s="26" t="s">
        <v>208</v>
      </c>
      <c r="L223" s="26">
        <f t="shared" si="54"/>
        <v>12</v>
      </c>
      <c r="M223" s="97">
        <f t="shared" si="53"/>
        <v>0</v>
      </c>
      <c r="N223" s="97" t="str">
        <f t="shared" si="55"/>
        <v>Nye tiltak</v>
      </c>
      <c r="O223" s="97"/>
    </row>
    <row r="224" spans="1:15" s="36" customFormat="1" x14ac:dyDescent="0.25">
      <c r="A224" s="43" t="s">
        <v>206</v>
      </c>
      <c r="B224" s="76" t="str">
        <f t="shared" si="50"/>
        <v>T13</v>
      </c>
      <c r="C224" s="210" t="s">
        <v>433</v>
      </c>
      <c r="D224" s="70" t="s">
        <v>108</v>
      </c>
      <c r="E224" s="229">
        <v>2</v>
      </c>
      <c r="F224" s="400">
        <v>200</v>
      </c>
      <c r="G224" s="400">
        <v>500</v>
      </c>
      <c r="H224" s="400">
        <v>500</v>
      </c>
      <c r="I224" s="400">
        <v>500</v>
      </c>
      <c r="J224" s="207"/>
      <c r="K224" s="26" t="s">
        <v>208</v>
      </c>
      <c r="L224" s="26">
        <f t="shared" si="54"/>
        <v>13</v>
      </c>
      <c r="M224" s="97">
        <f t="shared" si="53"/>
        <v>0</v>
      </c>
      <c r="N224" s="97">
        <f t="shared" si="55"/>
        <v>0</v>
      </c>
      <c r="O224" s="97"/>
    </row>
    <row r="225" spans="1:15" s="36" customFormat="1" x14ac:dyDescent="0.25">
      <c r="A225" s="43" t="s">
        <v>206</v>
      </c>
      <c r="B225" s="76" t="str">
        <f t="shared" si="50"/>
        <v>T14</v>
      </c>
      <c r="C225" s="210" t="s">
        <v>346</v>
      </c>
      <c r="D225" s="70" t="s">
        <v>108</v>
      </c>
      <c r="E225" s="403" t="s">
        <v>46</v>
      </c>
      <c r="F225" s="400">
        <v>1300</v>
      </c>
      <c r="G225" s="400">
        <v>1300</v>
      </c>
      <c r="H225" s="400">
        <v>1300</v>
      </c>
      <c r="I225" s="400">
        <v>1300</v>
      </c>
      <c r="J225" s="91" t="s">
        <v>143</v>
      </c>
      <c r="K225" s="26" t="s">
        <v>208</v>
      </c>
      <c r="L225" s="26">
        <f t="shared" si="54"/>
        <v>14</v>
      </c>
      <c r="M225" s="97">
        <f t="shared" si="53"/>
        <v>0</v>
      </c>
      <c r="N225" s="97" t="str">
        <f t="shared" si="55"/>
        <v>Nye tiltak</v>
      </c>
      <c r="O225" s="97"/>
    </row>
    <row r="226" spans="1:15" s="36" customFormat="1" x14ac:dyDescent="0.25">
      <c r="A226" s="43" t="s">
        <v>206</v>
      </c>
      <c r="B226" s="76" t="str">
        <f t="shared" si="50"/>
        <v>T15</v>
      </c>
      <c r="C226" s="406" t="s">
        <v>227</v>
      </c>
      <c r="D226" s="402" t="s">
        <v>108</v>
      </c>
      <c r="E226" s="403" t="s">
        <v>46</v>
      </c>
      <c r="F226" s="400">
        <v>400</v>
      </c>
      <c r="G226" s="400">
        <v>400</v>
      </c>
      <c r="H226" s="400">
        <v>400</v>
      </c>
      <c r="I226" s="400">
        <v>400</v>
      </c>
      <c r="J226" s="91" t="s">
        <v>143</v>
      </c>
      <c r="K226" s="26" t="s">
        <v>208</v>
      </c>
      <c r="L226" s="26">
        <f t="shared" si="54"/>
        <v>15</v>
      </c>
      <c r="M226" s="97">
        <f t="shared" si="53"/>
        <v>0</v>
      </c>
      <c r="N226" s="97" t="str">
        <f t="shared" si="55"/>
        <v>Nye tiltak</v>
      </c>
      <c r="O226" s="97"/>
    </row>
    <row r="227" spans="1:15" s="36" customFormat="1" x14ac:dyDescent="0.25">
      <c r="A227" s="43" t="s">
        <v>206</v>
      </c>
      <c r="B227" s="76" t="str">
        <f t="shared" si="50"/>
        <v>T16</v>
      </c>
      <c r="C227" s="406" t="s">
        <v>347</v>
      </c>
      <c r="D227" s="70" t="s">
        <v>108</v>
      </c>
      <c r="E227" s="403" t="s">
        <v>46</v>
      </c>
      <c r="F227" s="400">
        <v>585</v>
      </c>
      <c r="G227" s="400">
        <v>585</v>
      </c>
      <c r="H227" s="400">
        <v>585</v>
      </c>
      <c r="I227" s="400">
        <v>585</v>
      </c>
      <c r="J227" s="91" t="s">
        <v>143</v>
      </c>
      <c r="K227" s="26" t="s">
        <v>208</v>
      </c>
      <c r="L227" s="26">
        <f>+L226+1</f>
        <v>16</v>
      </c>
      <c r="M227" s="97">
        <f t="shared" si="53"/>
        <v>0</v>
      </c>
      <c r="N227" s="97" t="str">
        <f t="shared" si="55"/>
        <v>Nye tiltak</v>
      </c>
      <c r="O227" s="97"/>
    </row>
    <row r="228" spans="1:15" s="36" customFormat="1" ht="45" x14ac:dyDescent="0.25">
      <c r="A228" s="43" t="s">
        <v>206</v>
      </c>
      <c r="B228" s="76" t="str">
        <f t="shared" si="50"/>
        <v>T17</v>
      </c>
      <c r="C228" s="406" t="s">
        <v>229</v>
      </c>
      <c r="D228" s="402" t="s">
        <v>108</v>
      </c>
      <c r="E228" s="229" t="s">
        <v>46</v>
      </c>
      <c r="F228" s="400">
        <v>700</v>
      </c>
      <c r="G228" s="400">
        <v>700</v>
      </c>
      <c r="H228" s="400">
        <v>700</v>
      </c>
      <c r="I228" s="400">
        <v>700</v>
      </c>
      <c r="J228" s="411" t="s">
        <v>230</v>
      </c>
      <c r="K228" s="26" t="s">
        <v>208</v>
      </c>
      <c r="L228" s="26">
        <f t="shared" si="54"/>
        <v>17</v>
      </c>
      <c r="M228" s="97">
        <f t="shared" si="53"/>
        <v>0</v>
      </c>
      <c r="N228" s="97" t="str">
        <f t="shared" si="55"/>
        <v>Nye tiltak</v>
      </c>
      <c r="O228" s="97"/>
    </row>
    <row r="229" spans="1:15" s="36" customFormat="1" x14ac:dyDescent="0.25">
      <c r="A229" s="43"/>
      <c r="B229" s="76"/>
      <c r="C229" s="210"/>
      <c r="D229" s="70"/>
      <c r="E229" s="403"/>
      <c r="F229" s="388"/>
      <c r="G229" s="388"/>
      <c r="H229" s="388"/>
      <c r="I229" s="388"/>
      <c r="J229" s="207"/>
      <c r="K229" s="26"/>
      <c r="L229" s="26"/>
      <c r="M229" s="97">
        <f t="shared" si="53"/>
        <v>0</v>
      </c>
      <c r="N229" s="97">
        <f t="shared" si="55"/>
        <v>0</v>
      </c>
      <c r="O229" s="97"/>
    </row>
    <row r="230" spans="1:15" s="36" customFormat="1" x14ac:dyDescent="0.25">
      <c r="A230" s="43"/>
      <c r="B230" s="76" t="str">
        <f t="shared" si="50"/>
        <v/>
      </c>
      <c r="C230" s="206" t="s">
        <v>434</v>
      </c>
      <c r="D230" s="70"/>
      <c r="E230" s="403"/>
      <c r="F230" s="4">
        <f>F218</f>
        <v>2022</v>
      </c>
      <c r="G230" s="4">
        <f>F230+1</f>
        <v>2023</v>
      </c>
      <c r="H230" s="4">
        <f>G230+1</f>
        <v>2024</v>
      </c>
      <c r="I230" s="4">
        <f>H230+1</f>
        <v>2025</v>
      </c>
      <c r="J230" s="412"/>
      <c r="K230" s="335"/>
      <c r="L230" s="335"/>
      <c r="M230" s="97">
        <f t="shared" si="53"/>
        <v>0</v>
      </c>
      <c r="N230" s="97">
        <f t="shared" si="55"/>
        <v>0</v>
      </c>
      <c r="O230" s="97"/>
    </row>
    <row r="231" spans="1:15" s="36" customFormat="1" x14ac:dyDescent="0.2">
      <c r="A231" s="43" t="s">
        <v>206</v>
      </c>
      <c r="B231" s="76" t="str">
        <f>IF(L231,K231&amp;L231,"")</f>
        <v>T18</v>
      </c>
      <c r="C231" s="382"/>
      <c r="D231" s="70"/>
      <c r="E231" s="403"/>
      <c r="F231" s="215"/>
      <c r="G231" s="215"/>
      <c r="H231" s="215"/>
      <c r="I231" s="215"/>
      <c r="J231" s="412"/>
      <c r="K231" s="26" t="s">
        <v>208</v>
      </c>
      <c r="L231" s="26">
        <f>L228+1</f>
        <v>18</v>
      </c>
      <c r="M231" s="97">
        <f t="shared" si="53"/>
        <v>0</v>
      </c>
      <c r="N231" s="97">
        <f t="shared" si="55"/>
        <v>0</v>
      </c>
      <c r="O231" s="97"/>
    </row>
    <row r="232" spans="1:15" s="36" customFormat="1" x14ac:dyDescent="0.2">
      <c r="A232" s="43" t="s">
        <v>206</v>
      </c>
      <c r="B232" s="76" t="str">
        <f t="shared" si="50"/>
        <v>T19</v>
      </c>
      <c r="C232" s="382"/>
      <c r="D232" s="70"/>
      <c r="E232" s="403"/>
      <c r="F232" s="215"/>
      <c r="G232" s="215"/>
      <c r="H232" s="215"/>
      <c r="I232" s="215"/>
      <c r="J232" s="412"/>
      <c r="K232" s="26" t="s">
        <v>208</v>
      </c>
      <c r="L232" s="26">
        <f>L231+1</f>
        <v>19</v>
      </c>
      <c r="M232" s="97">
        <f t="shared" si="53"/>
        <v>0</v>
      </c>
      <c r="N232" s="97">
        <f t="shared" si="55"/>
        <v>0</v>
      </c>
      <c r="O232" s="97"/>
    </row>
    <row r="233" spans="1:15" s="36" customFormat="1" x14ac:dyDescent="0.25">
      <c r="A233" s="43"/>
      <c r="B233" s="76" t="str">
        <f t="shared" ref="B233:B265" si="57">IF(L233,K233&amp;L233,"")</f>
        <v/>
      </c>
      <c r="C233" s="206"/>
      <c r="D233" s="70"/>
      <c r="E233" s="403"/>
      <c r="F233" s="215"/>
      <c r="G233" s="215"/>
      <c r="H233" s="215"/>
      <c r="I233" s="215"/>
      <c r="J233" s="412"/>
      <c r="K233" s="26"/>
      <c r="L233" s="26"/>
      <c r="M233" s="97">
        <f t="shared" si="53"/>
        <v>0</v>
      </c>
      <c r="N233" s="97">
        <f t="shared" si="55"/>
        <v>0</v>
      </c>
      <c r="O233" s="97"/>
    </row>
    <row r="234" spans="1:15" s="36" customFormat="1" x14ac:dyDescent="0.25">
      <c r="A234" s="43"/>
      <c r="B234" s="76" t="str">
        <f t="shared" si="57"/>
        <v/>
      </c>
      <c r="C234" s="206" t="s">
        <v>435</v>
      </c>
      <c r="D234" s="70"/>
      <c r="E234" s="403"/>
      <c r="F234" s="4">
        <f>F230</f>
        <v>2022</v>
      </c>
      <c r="G234" s="4">
        <f>F234+1</f>
        <v>2023</v>
      </c>
      <c r="H234" s="4">
        <f>G234+1</f>
        <v>2024</v>
      </c>
      <c r="I234" s="4">
        <f>H234+1</f>
        <v>2025</v>
      </c>
      <c r="J234" s="412"/>
      <c r="K234" s="335"/>
      <c r="L234" s="335"/>
      <c r="M234" s="97">
        <f t="shared" si="53"/>
        <v>0</v>
      </c>
      <c r="N234" s="97">
        <f t="shared" si="55"/>
        <v>0</v>
      </c>
      <c r="O234" s="97"/>
    </row>
    <row r="235" spans="1:15" s="36" customFormat="1" x14ac:dyDescent="0.2">
      <c r="A235" s="43" t="s">
        <v>206</v>
      </c>
      <c r="B235" s="76" t="str">
        <f t="shared" si="57"/>
        <v>T20</v>
      </c>
      <c r="C235" s="382"/>
      <c r="D235" s="70"/>
      <c r="E235" s="403"/>
      <c r="F235" s="215"/>
      <c r="G235" s="215"/>
      <c r="H235" s="215"/>
      <c r="I235" s="215"/>
      <c r="J235" s="412"/>
      <c r="K235" s="26" t="s">
        <v>208</v>
      </c>
      <c r="L235" s="26">
        <f>L232+1</f>
        <v>20</v>
      </c>
      <c r="M235" s="97">
        <f t="shared" si="53"/>
        <v>0</v>
      </c>
      <c r="N235" s="97">
        <f t="shared" si="55"/>
        <v>0</v>
      </c>
      <c r="O235" s="97"/>
    </row>
    <row r="236" spans="1:15" s="36" customFormat="1" x14ac:dyDescent="0.2">
      <c r="A236" s="43" t="s">
        <v>206</v>
      </c>
      <c r="B236" s="76" t="str">
        <f t="shared" si="57"/>
        <v>T21</v>
      </c>
      <c r="C236" s="382"/>
      <c r="D236" s="70"/>
      <c r="E236" s="403"/>
      <c r="F236" s="215"/>
      <c r="G236" s="215"/>
      <c r="H236" s="215"/>
      <c r="I236" s="215"/>
      <c r="J236" s="412"/>
      <c r="K236" s="26" t="s">
        <v>208</v>
      </c>
      <c r="L236" s="26">
        <f>L235+1</f>
        <v>21</v>
      </c>
      <c r="M236" s="97">
        <f t="shared" si="53"/>
        <v>0</v>
      </c>
      <c r="N236" s="97">
        <f t="shared" si="55"/>
        <v>0</v>
      </c>
      <c r="O236" s="97"/>
    </row>
    <row r="237" spans="1:15" s="36" customFormat="1" x14ac:dyDescent="0.2">
      <c r="A237" s="43"/>
      <c r="B237" s="76" t="str">
        <f t="shared" si="57"/>
        <v/>
      </c>
      <c r="C237" s="382"/>
      <c r="D237" s="70"/>
      <c r="E237" s="403"/>
      <c r="F237" s="215"/>
      <c r="G237" s="215"/>
      <c r="H237" s="215"/>
      <c r="I237" s="215"/>
      <c r="J237" s="412"/>
      <c r="K237" s="26"/>
      <c r="L237" s="26"/>
      <c r="M237" s="97">
        <f t="shared" si="53"/>
        <v>0</v>
      </c>
      <c r="N237" s="97">
        <f t="shared" si="55"/>
        <v>0</v>
      </c>
      <c r="O237" s="97"/>
    </row>
    <row r="238" spans="1:15" s="36" customFormat="1" x14ac:dyDescent="0.25">
      <c r="A238" s="43"/>
      <c r="B238" s="76" t="str">
        <f t="shared" si="57"/>
        <v/>
      </c>
      <c r="C238" s="206" t="s">
        <v>436</v>
      </c>
      <c r="D238" s="70"/>
      <c r="E238" s="403"/>
      <c r="F238" s="4">
        <f>F230</f>
        <v>2022</v>
      </c>
      <c r="G238" s="4">
        <f>F238+1</f>
        <v>2023</v>
      </c>
      <c r="H238" s="4">
        <f>G238+1</f>
        <v>2024</v>
      </c>
      <c r="I238" s="4">
        <f>H238+1</f>
        <v>2025</v>
      </c>
      <c r="J238" s="412"/>
      <c r="K238" s="335"/>
      <c r="L238" s="335"/>
      <c r="M238" s="97">
        <f t="shared" si="53"/>
        <v>0</v>
      </c>
      <c r="N238" s="97">
        <f t="shared" si="55"/>
        <v>0</v>
      </c>
      <c r="O238" s="97"/>
    </row>
    <row r="239" spans="1:15" s="36" customFormat="1" x14ac:dyDescent="0.2">
      <c r="A239" s="43" t="s">
        <v>206</v>
      </c>
      <c r="B239" s="76" t="str">
        <f t="shared" si="57"/>
        <v>T22</v>
      </c>
      <c r="C239" s="382"/>
      <c r="D239" s="70"/>
      <c r="E239" s="403"/>
      <c r="F239" s="68"/>
      <c r="G239" s="68"/>
      <c r="H239" s="68"/>
      <c r="I239" s="215"/>
      <c r="J239" s="412"/>
      <c r="K239" s="26" t="s">
        <v>208</v>
      </c>
      <c r="L239" s="26">
        <f>L236+1</f>
        <v>22</v>
      </c>
      <c r="M239" s="97">
        <f t="shared" si="53"/>
        <v>0</v>
      </c>
      <c r="N239" s="97">
        <f t="shared" si="55"/>
        <v>0</v>
      </c>
      <c r="O239" s="97"/>
    </row>
    <row r="240" spans="1:15" s="36" customFormat="1" x14ac:dyDescent="0.25">
      <c r="A240" s="43" t="s">
        <v>206</v>
      </c>
      <c r="B240" s="76" t="str">
        <f t="shared" si="57"/>
        <v>T23</v>
      </c>
      <c r="C240" s="211"/>
      <c r="D240" s="70"/>
      <c r="E240" s="403"/>
      <c r="F240" s="68"/>
      <c r="G240" s="68"/>
      <c r="H240" s="68"/>
      <c r="I240" s="215"/>
      <c r="J240" s="412"/>
      <c r="K240" s="26" t="s">
        <v>208</v>
      </c>
      <c r="L240" s="26">
        <f>L239+1</f>
        <v>23</v>
      </c>
      <c r="M240" s="97">
        <f t="shared" si="53"/>
        <v>0</v>
      </c>
      <c r="N240" s="97">
        <f t="shared" si="55"/>
        <v>0</v>
      </c>
      <c r="O240" s="97"/>
    </row>
    <row r="241" spans="1:16" s="36" customFormat="1" x14ac:dyDescent="0.25">
      <c r="A241" s="43"/>
      <c r="B241" s="76" t="str">
        <f t="shared" si="57"/>
        <v/>
      </c>
      <c r="C241" s="210"/>
      <c r="D241" s="70"/>
      <c r="E241" s="403"/>
      <c r="F241" s="215"/>
      <c r="G241" s="215"/>
      <c r="H241" s="215"/>
      <c r="I241" s="215"/>
      <c r="J241" s="412"/>
      <c r="K241" s="26"/>
      <c r="L241" s="26"/>
      <c r="M241" s="97">
        <f t="shared" si="53"/>
        <v>0</v>
      </c>
      <c r="N241" s="97">
        <f t="shared" si="55"/>
        <v>0</v>
      </c>
      <c r="O241" s="97"/>
    </row>
    <row r="242" spans="1:16" s="36" customFormat="1" x14ac:dyDescent="0.25">
      <c r="A242" s="43"/>
      <c r="B242" s="76" t="str">
        <f t="shared" si="57"/>
        <v/>
      </c>
      <c r="C242" s="206" t="s">
        <v>437</v>
      </c>
      <c r="D242" s="70"/>
      <c r="E242" s="403"/>
      <c r="F242" s="4">
        <f>F238</f>
        <v>2022</v>
      </c>
      <c r="G242" s="4">
        <f>F242+1</f>
        <v>2023</v>
      </c>
      <c r="H242" s="4">
        <f>G242+1</f>
        <v>2024</v>
      </c>
      <c r="I242" s="4">
        <f>H242+1</f>
        <v>2025</v>
      </c>
      <c r="J242" s="412"/>
      <c r="K242" s="26"/>
      <c r="L242" s="26"/>
      <c r="M242" s="97">
        <f t="shared" si="53"/>
        <v>0</v>
      </c>
      <c r="N242" s="97">
        <f t="shared" si="55"/>
        <v>0</v>
      </c>
      <c r="O242" s="97"/>
    </row>
    <row r="243" spans="1:16" s="36" customFormat="1" x14ac:dyDescent="0.2">
      <c r="A243" s="43" t="s">
        <v>206</v>
      </c>
      <c r="B243" s="76" t="str">
        <f t="shared" si="57"/>
        <v>T24</v>
      </c>
      <c r="C243" s="383"/>
      <c r="D243" s="70"/>
      <c r="E243" s="403"/>
      <c r="F243" s="215"/>
      <c r="G243" s="215"/>
      <c r="H243" s="215"/>
      <c r="I243" s="215"/>
      <c r="J243" s="412"/>
      <c r="K243" s="26" t="s">
        <v>208</v>
      </c>
      <c r="L243" s="26">
        <f>L240+1</f>
        <v>24</v>
      </c>
      <c r="M243" s="97">
        <f t="shared" si="53"/>
        <v>0</v>
      </c>
      <c r="N243" s="97">
        <f t="shared" si="55"/>
        <v>0</v>
      </c>
      <c r="O243" s="97"/>
    </row>
    <row r="244" spans="1:16" s="36" customFormat="1" x14ac:dyDescent="0.2">
      <c r="A244" s="43"/>
      <c r="B244" s="76" t="str">
        <f t="shared" si="57"/>
        <v/>
      </c>
      <c r="C244" s="383"/>
      <c r="D244" s="70"/>
      <c r="E244" s="403"/>
      <c r="F244" s="215"/>
      <c r="G244" s="215"/>
      <c r="H244" s="215"/>
      <c r="I244" s="215"/>
      <c r="J244" s="412"/>
      <c r="K244" s="26"/>
      <c r="L244" s="26"/>
      <c r="M244" s="97">
        <f t="shared" si="53"/>
        <v>0</v>
      </c>
      <c r="N244" s="97">
        <f t="shared" si="55"/>
        <v>0</v>
      </c>
      <c r="O244" s="97"/>
    </row>
    <row r="245" spans="1:16" s="36" customFormat="1" x14ac:dyDescent="0.25">
      <c r="A245" s="43"/>
      <c r="B245" s="76" t="str">
        <f t="shared" si="57"/>
        <v/>
      </c>
      <c r="C245" s="206" t="s">
        <v>236</v>
      </c>
      <c r="D245" s="70"/>
      <c r="E245" s="403"/>
      <c r="F245" s="215"/>
      <c r="G245" s="215"/>
      <c r="H245" s="215"/>
      <c r="I245" s="215"/>
      <c r="J245" s="412"/>
      <c r="K245" s="26"/>
      <c r="L245" s="26"/>
      <c r="M245" s="97">
        <f t="shared" si="53"/>
        <v>0</v>
      </c>
      <c r="N245" s="97">
        <f t="shared" si="55"/>
        <v>0</v>
      </c>
      <c r="O245" s="97"/>
    </row>
    <row r="246" spans="1:16" s="36" customFormat="1" x14ac:dyDescent="0.25">
      <c r="A246" s="43" t="s">
        <v>206</v>
      </c>
      <c r="B246" s="76" t="str">
        <f t="shared" si="57"/>
        <v>T25</v>
      </c>
      <c r="C246" s="82" t="s">
        <v>237</v>
      </c>
      <c r="D246" s="70" t="s">
        <v>108</v>
      </c>
      <c r="E246" s="403" t="s">
        <v>46</v>
      </c>
      <c r="F246" s="215">
        <v>60</v>
      </c>
      <c r="G246" s="215">
        <v>60</v>
      </c>
      <c r="H246" s="215">
        <v>60</v>
      </c>
      <c r="I246" s="215">
        <v>60</v>
      </c>
      <c r="J246" s="91" t="s">
        <v>143</v>
      </c>
      <c r="K246" s="26" t="s">
        <v>208</v>
      </c>
      <c r="L246" s="26">
        <f>L243+1</f>
        <v>25</v>
      </c>
      <c r="M246" s="97">
        <f t="shared" si="53"/>
        <v>0</v>
      </c>
      <c r="N246" s="97" t="str">
        <f t="shared" si="55"/>
        <v>Nye tiltak</v>
      </c>
      <c r="O246" s="97"/>
    </row>
    <row r="247" spans="1:16" s="36" customFormat="1" x14ac:dyDescent="0.25">
      <c r="A247" s="43" t="s">
        <v>206</v>
      </c>
      <c r="B247" s="76" t="str">
        <f t="shared" si="57"/>
        <v>T26</v>
      </c>
      <c r="C247" s="210"/>
      <c r="D247" s="70" t="s">
        <v>108</v>
      </c>
      <c r="E247" s="287"/>
      <c r="F247" s="215"/>
      <c r="G247" s="215"/>
      <c r="H247" s="215"/>
      <c r="I247" s="215"/>
      <c r="J247" s="412"/>
      <c r="K247" s="26" t="s">
        <v>208</v>
      </c>
      <c r="L247" s="26">
        <f>L246+1</f>
        <v>26</v>
      </c>
      <c r="M247" s="97">
        <f t="shared" si="53"/>
        <v>0</v>
      </c>
      <c r="N247" s="97">
        <f t="shared" si="55"/>
        <v>0</v>
      </c>
      <c r="O247" s="97"/>
    </row>
    <row r="248" spans="1:16" s="36" customFormat="1" x14ac:dyDescent="0.25">
      <c r="A248" s="43" t="s">
        <v>206</v>
      </c>
      <c r="B248" s="76" t="str">
        <f t="shared" si="57"/>
        <v>T27</v>
      </c>
      <c r="C248" s="210"/>
      <c r="D248" s="70" t="s">
        <v>108</v>
      </c>
      <c r="E248" s="287"/>
      <c r="F248" s="215"/>
      <c r="G248" s="215"/>
      <c r="H248" s="215"/>
      <c r="I248" s="215"/>
      <c r="J248" s="412"/>
      <c r="K248" s="26" t="s">
        <v>208</v>
      </c>
      <c r="L248" s="26">
        <f>L247+1</f>
        <v>27</v>
      </c>
      <c r="M248" s="97">
        <f t="shared" si="53"/>
        <v>0</v>
      </c>
      <c r="N248" s="97">
        <f t="shared" si="55"/>
        <v>0</v>
      </c>
      <c r="O248" s="97"/>
    </row>
    <row r="249" spans="1:16" s="36" customFormat="1" x14ac:dyDescent="0.25">
      <c r="A249" s="43"/>
      <c r="B249" s="76" t="str">
        <f t="shared" si="57"/>
        <v/>
      </c>
      <c r="C249" s="210"/>
      <c r="D249" s="70"/>
      <c r="E249" s="287"/>
      <c r="F249" s="215"/>
      <c r="G249" s="215"/>
      <c r="H249" s="215"/>
      <c r="I249" s="215"/>
      <c r="J249" s="412"/>
      <c r="K249" s="26"/>
      <c r="L249" s="26"/>
      <c r="M249" s="97">
        <f t="shared" si="53"/>
        <v>0</v>
      </c>
      <c r="N249" s="97">
        <f t="shared" si="55"/>
        <v>0</v>
      </c>
      <c r="O249" s="97"/>
    </row>
    <row r="250" spans="1:16" s="36" customFormat="1" x14ac:dyDescent="0.25">
      <c r="A250" s="43"/>
      <c r="B250" s="76" t="str">
        <f t="shared" si="57"/>
        <v/>
      </c>
      <c r="C250" s="206" t="s">
        <v>438</v>
      </c>
      <c r="D250" s="70"/>
      <c r="E250" s="69"/>
      <c r="F250" s="4">
        <f>F238</f>
        <v>2022</v>
      </c>
      <c r="G250" s="4">
        <f>F250+1</f>
        <v>2023</v>
      </c>
      <c r="H250" s="4">
        <f>G250+1</f>
        <v>2024</v>
      </c>
      <c r="I250" s="4">
        <f>H250+1</f>
        <v>2025</v>
      </c>
      <c r="J250" s="412"/>
      <c r="K250" s="335"/>
      <c r="L250" s="335"/>
      <c r="M250" s="97"/>
      <c r="N250" s="97"/>
      <c r="O250" s="97"/>
    </row>
    <row r="251" spans="1:16" s="289" customFormat="1" x14ac:dyDescent="0.25">
      <c r="A251" s="336" t="s">
        <v>206</v>
      </c>
      <c r="B251" s="76" t="str">
        <f t="shared" si="57"/>
        <v>T28</v>
      </c>
      <c r="C251" s="211" t="s">
        <v>439</v>
      </c>
      <c r="D251" s="70" t="s">
        <v>105</v>
      </c>
      <c r="E251" s="69" t="s">
        <v>98</v>
      </c>
      <c r="F251" s="215">
        <v>0</v>
      </c>
      <c r="G251" s="215">
        <v>0</v>
      </c>
      <c r="H251" s="215">
        <v>0</v>
      </c>
      <c r="I251" s="215">
        <v>0</v>
      </c>
      <c r="J251" s="413"/>
      <c r="K251" s="291" t="s">
        <v>208</v>
      </c>
      <c r="L251" s="291">
        <f>L248+1</f>
        <v>28</v>
      </c>
      <c r="M251" s="97" t="str">
        <f>IF(E251="VEDTATT","VEDTATT",0)</f>
        <v>VEDTATT</v>
      </c>
      <c r="N251" s="97">
        <f>IF(E251="MÅ","Nye tiltak",0)</f>
        <v>0</v>
      </c>
      <c r="O251" s="97"/>
      <c r="P251" s="291"/>
    </row>
    <row r="252" spans="1:16" s="289" customFormat="1" x14ac:dyDescent="0.25">
      <c r="A252" s="336" t="s">
        <v>206</v>
      </c>
      <c r="B252" s="76" t="str">
        <f t="shared" si="57"/>
        <v>T29</v>
      </c>
      <c r="C252" s="211" t="s">
        <v>440</v>
      </c>
      <c r="D252" s="70" t="s">
        <v>105</v>
      </c>
      <c r="E252" s="69" t="s">
        <v>98</v>
      </c>
      <c r="F252" s="215">
        <v>0</v>
      </c>
      <c r="G252" s="215">
        <v>0</v>
      </c>
      <c r="H252" s="215">
        <v>0</v>
      </c>
      <c r="I252" s="215">
        <v>0</v>
      </c>
      <c r="J252" s="413"/>
      <c r="K252" s="291" t="s">
        <v>208</v>
      </c>
      <c r="L252" s="291">
        <f>+L251+1</f>
        <v>29</v>
      </c>
      <c r="M252" s="97" t="str">
        <f>IF(E252="VEDTATT","VEDTATT",0)</f>
        <v>VEDTATT</v>
      </c>
      <c r="N252" s="97">
        <f>IF(E252="MÅ","Nye tiltak",0)</f>
        <v>0</v>
      </c>
      <c r="O252" s="97"/>
      <c r="P252" s="291"/>
    </row>
    <row r="253" spans="1:16" s="289" customFormat="1" x14ac:dyDescent="0.25">
      <c r="A253" s="336" t="s">
        <v>206</v>
      </c>
      <c r="B253" s="76" t="str">
        <f t="shared" si="57"/>
        <v>T30</v>
      </c>
      <c r="C253" s="211" t="s">
        <v>510</v>
      </c>
      <c r="D253" s="70" t="s">
        <v>108</v>
      </c>
      <c r="E253" s="229" t="s">
        <v>342</v>
      </c>
      <c r="F253" s="215">
        <v>750</v>
      </c>
      <c r="G253" s="215">
        <v>750</v>
      </c>
      <c r="H253" s="215">
        <v>750</v>
      </c>
      <c r="I253" s="215">
        <v>750</v>
      </c>
      <c r="J253" s="413" t="s">
        <v>511</v>
      </c>
      <c r="K253" s="291" t="s">
        <v>208</v>
      </c>
      <c r="L253" s="291">
        <f t="shared" ref="L253:L254" si="58">+L252+1</f>
        <v>30</v>
      </c>
      <c r="M253" s="97"/>
      <c r="N253" s="97"/>
      <c r="O253" s="97"/>
      <c r="P253" s="291"/>
    </row>
    <row r="254" spans="1:16" s="289" customFormat="1" x14ac:dyDescent="0.25">
      <c r="A254" s="336" t="s">
        <v>206</v>
      </c>
      <c r="B254" s="76" t="str">
        <f t="shared" si="57"/>
        <v>T31</v>
      </c>
      <c r="C254" s="211" t="s">
        <v>441</v>
      </c>
      <c r="D254" s="70" t="s">
        <v>105</v>
      </c>
      <c r="E254" s="69" t="s">
        <v>98</v>
      </c>
      <c r="F254" s="215">
        <v>0</v>
      </c>
      <c r="G254" s="215">
        <v>0</v>
      </c>
      <c r="H254" s="215">
        <v>0</v>
      </c>
      <c r="I254" s="215">
        <v>0</v>
      </c>
      <c r="J254" s="413"/>
      <c r="K254" s="291" t="s">
        <v>208</v>
      </c>
      <c r="L254" s="291">
        <f t="shared" si="58"/>
        <v>31</v>
      </c>
      <c r="M254" s="97" t="str">
        <f>IF(E254="VEDTATT","VEDTATT",0)</f>
        <v>VEDTATT</v>
      </c>
      <c r="N254" s="97">
        <f>IF(E254="MÅ","Nye tiltak",0)</f>
        <v>0</v>
      </c>
      <c r="O254" s="97"/>
      <c r="P254" s="291"/>
    </row>
    <row r="255" spans="1:16" s="289" customFormat="1" x14ac:dyDescent="0.25">
      <c r="A255" s="336"/>
      <c r="B255" s="76"/>
      <c r="C255" s="211"/>
      <c r="D255" s="70"/>
      <c r="E255" s="287"/>
      <c r="F255" s="68"/>
      <c r="G255" s="68"/>
      <c r="H255" s="68"/>
      <c r="I255" s="68"/>
      <c r="J255" s="413"/>
      <c r="K255" s="291"/>
      <c r="L255" s="291"/>
      <c r="M255" s="97"/>
      <c r="N255" s="97"/>
      <c r="O255" s="97"/>
      <c r="P255" s="291"/>
    </row>
    <row r="256" spans="1:16" s="289" customFormat="1" x14ac:dyDescent="0.25">
      <c r="A256" s="336"/>
      <c r="B256" s="76"/>
      <c r="C256" s="211"/>
      <c r="D256" s="70"/>
      <c r="E256" s="287"/>
      <c r="F256" s="68"/>
      <c r="G256" s="68"/>
      <c r="H256" s="68"/>
      <c r="I256" s="68"/>
      <c r="J256" s="413"/>
      <c r="K256" s="291"/>
      <c r="L256" s="291"/>
      <c r="M256" s="97"/>
      <c r="N256" s="97"/>
      <c r="O256" s="97"/>
      <c r="P256" s="291"/>
    </row>
    <row r="257" spans="1:16" s="289" customFormat="1" x14ac:dyDescent="0.25">
      <c r="A257" s="336"/>
      <c r="B257" s="76"/>
      <c r="C257" s="211"/>
      <c r="D257" s="70"/>
      <c r="E257" s="69"/>
      <c r="F257" s="215"/>
      <c r="G257" s="215"/>
      <c r="H257" s="215"/>
      <c r="I257" s="215"/>
      <c r="J257" s="413"/>
      <c r="K257" s="291"/>
      <c r="L257" s="291"/>
      <c r="M257" s="97"/>
      <c r="N257" s="97"/>
      <c r="O257" s="97"/>
      <c r="P257" s="291"/>
    </row>
    <row r="258" spans="1:16" s="289" customFormat="1" x14ac:dyDescent="0.25">
      <c r="A258" s="336" t="s">
        <v>206</v>
      </c>
      <c r="B258" s="76" t="str">
        <f t="shared" si="57"/>
        <v/>
      </c>
      <c r="C258" s="211" t="s">
        <v>442</v>
      </c>
      <c r="D258" s="70" t="s">
        <v>105</v>
      </c>
      <c r="E258" s="69" t="s">
        <v>98</v>
      </c>
      <c r="F258" s="215">
        <v>0</v>
      </c>
      <c r="G258" s="215">
        <v>0</v>
      </c>
      <c r="H258" s="215">
        <v>0</v>
      </c>
      <c r="I258" s="215">
        <v>0</v>
      </c>
      <c r="J258" s="413"/>
      <c r="K258" s="291" t="s">
        <v>208</v>
      </c>
      <c r="L258" s="291"/>
      <c r="M258" s="97" t="str">
        <f>IF(E258="VEDTATT","VEDTATT",0)</f>
        <v>VEDTATT</v>
      </c>
      <c r="N258" s="97">
        <f>IF(E258="MÅ","Nye tiltak",0)</f>
        <v>0</v>
      </c>
      <c r="O258" s="97"/>
      <c r="P258" s="291"/>
    </row>
    <row r="259" spans="1:16" s="289" customFormat="1" x14ac:dyDescent="0.25">
      <c r="A259" s="336" t="s">
        <v>206</v>
      </c>
      <c r="B259" s="76" t="str">
        <f t="shared" si="57"/>
        <v/>
      </c>
      <c r="C259" s="211" t="s">
        <v>443</v>
      </c>
      <c r="D259" s="70" t="s">
        <v>105</v>
      </c>
      <c r="E259" s="69" t="s">
        <v>98</v>
      </c>
      <c r="F259" s="215">
        <v>0</v>
      </c>
      <c r="G259" s="215">
        <v>0</v>
      </c>
      <c r="H259" s="215">
        <v>0</v>
      </c>
      <c r="I259" s="215">
        <v>0</v>
      </c>
      <c r="J259" s="413"/>
      <c r="K259" s="291" t="s">
        <v>208</v>
      </c>
      <c r="L259" s="291"/>
      <c r="M259" s="97" t="str">
        <f>IF(E259="VEDTATT","VEDTATT",0)</f>
        <v>VEDTATT</v>
      </c>
      <c r="N259" s="97">
        <f>IF(E259="MÅ","Nye tiltak",0)</f>
        <v>0</v>
      </c>
      <c r="O259" s="97"/>
      <c r="P259" s="291"/>
    </row>
    <row r="260" spans="1:16" s="291" customFormat="1" x14ac:dyDescent="0.25">
      <c r="A260" s="336" t="s">
        <v>206</v>
      </c>
      <c r="B260" s="76" t="str">
        <f t="shared" si="57"/>
        <v/>
      </c>
      <c r="C260" s="211" t="s">
        <v>437</v>
      </c>
      <c r="D260" s="70" t="s">
        <v>105</v>
      </c>
      <c r="E260" s="69" t="s">
        <v>98</v>
      </c>
      <c r="F260" s="215">
        <v>0</v>
      </c>
      <c r="G260" s="215">
        <v>0</v>
      </c>
      <c r="H260" s="215">
        <v>0</v>
      </c>
      <c r="I260" s="215">
        <v>0</v>
      </c>
      <c r="J260" s="407"/>
      <c r="K260" s="291" t="s">
        <v>208</v>
      </c>
      <c r="M260" s="97" t="str">
        <f>IF(E260="VEDTATT","VEDTATT",0)</f>
        <v>VEDTATT</v>
      </c>
      <c r="N260" s="97">
        <f>IF(E260="MÅ","Nye tiltak",0)</f>
        <v>0</v>
      </c>
      <c r="O260" s="97"/>
    </row>
    <row r="261" spans="1:16" s="291" customFormat="1" x14ac:dyDescent="0.25">
      <c r="A261" s="336"/>
      <c r="B261" s="76" t="str">
        <f t="shared" si="57"/>
        <v/>
      </c>
      <c r="C261" s="206" t="s">
        <v>444</v>
      </c>
      <c r="D261" s="70"/>
      <c r="E261" s="69"/>
      <c r="F261" s="215">
        <v>0</v>
      </c>
      <c r="G261" s="215">
        <v>0</v>
      </c>
      <c r="H261" s="215">
        <v>0</v>
      </c>
      <c r="I261" s="215">
        <v>0</v>
      </c>
      <c r="J261" s="407"/>
      <c r="K261" s="291" t="s">
        <v>208</v>
      </c>
      <c r="M261" s="97">
        <f>IF(E261="VEDTATT","VEDTATT",0)</f>
        <v>0</v>
      </c>
      <c r="N261" s="97">
        <f>IF(E261="MÅ","Nye tiltak",0)</f>
        <v>0</v>
      </c>
      <c r="O261" s="97"/>
    </row>
    <row r="262" spans="1:16" s="291" customFormat="1" x14ac:dyDescent="0.25">
      <c r="A262" s="336"/>
      <c r="B262" s="76"/>
      <c r="C262" s="82"/>
      <c r="D262" s="70"/>
      <c r="E262" s="287"/>
      <c r="F262" s="215"/>
      <c r="G262" s="215"/>
      <c r="H262" s="215"/>
      <c r="I262" s="215"/>
      <c r="J262" s="407"/>
      <c r="M262" s="97"/>
      <c r="N262" s="97"/>
      <c r="O262" s="97"/>
    </row>
    <row r="263" spans="1:16" s="291" customFormat="1" x14ac:dyDescent="0.25">
      <c r="A263" s="336"/>
      <c r="B263" s="76"/>
      <c r="C263" s="342"/>
      <c r="D263" s="70"/>
      <c r="E263" s="287"/>
      <c r="F263" s="215"/>
      <c r="G263" s="215"/>
      <c r="H263" s="215"/>
      <c r="I263" s="215"/>
      <c r="J263" s="407"/>
      <c r="M263" s="97"/>
      <c r="N263" s="97"/>
      <c r="O263" s="97"/>
    </row>
    <row r="264" spans="1:16" s="291" customFormat="1" x14ac:dyDescent="0.25">
      <c r="A264" s="336"/>
      <c r="B264" s="76"/>
      <c r="C264" s="289"/>
      <c r="D264" s="70"/>
      <c r="E264" s="287"/>
      <c r="F264" s="215"/>
      <c r="G264" s="215"/>
      <c r="H264" s="215"/>
      <c r="I264" s="215"/>
      <c r="J264" s="407"/>
      <c r="M264" s="97"/>
      <c r="N264" s="97"/>
      <c r="O264" s="97"/>
    </row>
    <row r="265" spans="1:16" s="291" customFormat="1" x14ac:dyDescent="0.25">
      <c r="A265" s="336"/>
      <c r="B265" s="76" t="str">
        <f t="shared" si="57"/>
        <v/>
      </c>
      <c r="C265" s="206" t="s">
        <v>236</v>
      </c>
      <c r="D265" s="70"/>
      <c r="E265" s="287"/>
      <c r="F265" s="215"/>
      <c r="G265" s="215"/>
      <c r="H265" s="215"/>
      <c r="I265" s="215"/>
      <c r="J265" s="407"/>
      <c r="K265" s="291" t="s">
        <v>208</v>
      </c>
      <c r="M265" s="97"/>
      <c r="N265" s="97"/>
      <c r="O265" s="97"/>
    </row>
    <row r="266" spans="1:16" s="291" customFormat="1" x14ac:dyDescent="0.25">
      <c r="A266" s="336"/>
      <c r="B266" s="76"/>
      <c r="C266" s="82"/>
      <c r="D266" s="70"/>
      <c r="E266" s="287"/>
      <c r="F266" s="215"/>
      <c r="G266" s="215"/>
      <c r="H266" s="215"/>
      <c r="I266" s="215"/>
      <c r="J266" s="407"/>
      <c r="M266" s="97"/>
      <c r="N266" s="97"/>
      <c r="O266" s="97"/>
    </row>
    <row r="267" spans="1:16" s="291" customFormat="1" x14ac:dyDescent="0.25">
      <c r="A267" s="336"/>
      <c r="B267" s="76"/>
      <c r="C267" s="210"/>
      <c r="D267" s="70"/>
      <c r="E267" s="287"/>
      <c r="F267" s="215"/>
      <c r="G267" s="215"/>
      <c r="H267" s="215"/>
      <c r="I267" s="215"/>
      <c r="J267" s="407"/>
      <c r="M267" s="97"/>
      <c r="N267" s="97"/>
      <c r="O267" s="97"/>
    </row>
    <row r="268" spans="1:16" x14ac:dyDescent="0.25">
      <c r="A268" s="336"/>
      <c r="B268" s="76"/>
      <c r="C268" s="289"/>
      <c r="D268" s="70"/>
      <c r="E268" s="287"/>
      <c r="F268" s="215"/>
      <c r="G268" s="215"/>
      <c r="H268" s="215"/>
      <c r="I268" s="215"/>
      <c r="J268" s="92"/>
      <c r="K268" s="291"/>
      <c r="L268" s="291"/>
      <c r="M268" s="97"/>
      <c r="N268" s="97"/>
      <c r="O268" s="97"/>
      <c r="P268" s="36"/>
    </row>
    <row r="269" spans="1:16" s="36" customFormat="1" x14ac:dyDescent="0.25">
      <c r="A269" s="41"/>
      <c r="B269" s="41" t="s">
        <v>152</v>
      </c>
      <c r="C269" s="3" t="s">
        <v>238</v>
      </c>
      <c r="D269" s="50"/>
      <c r="E269" s="50"/>
      <c r="F269" s="54">
        <f>SUMIF($A:$A,"byte",F:F)</f>
        <v>16955</v>
      </c>
      <c r="G269" s="54">
        <f>SUMIF($A:$A,"byte",G:G)</f>
        <v>20165</v>
      </c>
      <c r="H269" s="54">
        <f>SUMIF($A:$A,"byte",H:H)</f>
        <v>21225</v>
      </c>
      <c r="I269" s="54">
        <f>SUMIF($A:$A,"byte",I:I)</f>
        <v>21285</v>
      </c>
      <c r="J269" s="412"/>
      <c r="K269" s="335"/>
      <c r="L269" s="335"/>
      <c r="M269" s="97"/>
      <c r="N269" s="97"/>
      <c r="O269" s="97"/>
    </row>
    <row r="270" spans="1:16" s="36" customFormat="1" ht="13.9" customHeight="1" x14ac:dyDescent="0.25">
      <c r="A270"/>
      <c r="B270"/>
      <c r="C270"/>
      <c r="D270"/>
      <c r="E270"/>
      <c r="F270"/>
      <c r="G270"/>
      <c r="H270"/>
      <c r="I270"/>
      <c r="J270" s="412"/>
      <c r="K270" s="26"/>
      <c r="L270" s="26"/>
      <c r="M270" s="97"/>
      <c r="N270" s="97"/>
      <c r="O270" s="97"/>
      <c r="P270" s="26"/>
    </row>
    <row r="271" spans="1:16" s="36" customFormat="1" x14ac:dyDescent="0.25">
      <c r="A271" s="76"/>
      <c r="B271" s="76"/>
      <c r="C271" s="206" t="s">
        <v>12</v>
      </c>
      <c r="D271" s="70"/>
      <c r="E271" s="69"/>
      <c r="F271" s="4">
        <f>F250</f>
        <v>2022</v>
      </c>
      <c r="G271" s="4">
        <f>F271+1</f>
        <v>2023</v>
      </c>
      <c r="H271" s="4">
        <f>G271+1</f>
        <v>2024</v>
      </c>
      <c r="I271" s="4">
        <f>H271+1</f>
        <v>2025</v>
      </c>
      <c r="J271" s="412"/>
      <c r="K271" s="335"/>
      <c r="L271" s="335"/>
      <c r="M271" s="97"/>
      <c r="N271" s="97"/>
      <c r="O271" s="97"/>
      <c r="P271" s="26"/>
    </row>
    <row r="272" spans="1:16" s="36" customFormat="1" x14ac:dyDescent="0.25">
      <c r="A272" s="76" t="s">
        <v>6</v>
      </c>
      <c r="B272" s="76" t="str">
        <f t="shared" ref="B272:B278" si="59">IF(L272,K272&amp;L272,"")</f>
        <v>O1</v>
      </c>
      <c r="C272" s="82" t="s">
        <v>239</v>
      </c>
      <c r="D272" s="70" t="s">
        <v>105</v>
      </c>
      <c r="E272" s="69" t="s">
        <v>98</v>
      </c>
      <c r="F272" s="68">
        <v>0</v>
      </c>
      <c r="G272" s="68">
        <v>-800</v>
      </c>
      <c r="H272" s="68">
        <v>-800</v>
      </c>
      <c r="I272" s="68">
        <v>-800</v>
      </c>
      <c r="J272" s="412"/>
      <c r="K272" s="26" t="s">
        <v>240</v>
      </c>
      <c r="L272" s="26">
        <v>1</v>
      </c>
      <c r="M272" s="97" t="str">
        <f>IF(E272="VEDTATT","VEDTATT",0)</f>
        <v>VEDTATT</v>
      </c>
      <c r="N272" s="97">
        <f>IF(E272="MÅ","Nye tiltak",0)</f>
        <v>0</v>
      </c>
      <c r="O272" s="97"/>
    </row>
    <row r="273" spans="1:16" s="36" customFormat="1" x14ac:dyDescent="0.25">
      <c r="A273" s="76" t="s">
        <v>6</v>
      </c>
      <c r="B273" s="76" t="str">
        <f t="shared" si="59"/>
        <v>O2</v>
      </c>
      <c r="C273" s="82" t="s">
        <v>445</v>
      </c>
      <c r="D273" s="70" t="s">
        <v>108</v>
      </c>
      <c r="E273" s="229">
        <v>2</v>
      </c>
      <c r="F273" s="285">
        <v>750</v>
      </c>
      <c r="G273" s="285">
        <v>750</v>
      </c>
      <c r="H273" s="285">
        <v>750</v>
      </c>
      <c r="I273" s="285">
        <v>750</v>
      </c>
      <c r="J273" s="414" t="s">
        <v>512</v>
      </c>
      <c r="K273" s="26" t="s">
        <v>240</v>
      </c>
      <c r="L273" s="26">
        <f t="shared" ref="L273:L274" si="60">L272+1</f>
        <v>2</v>
      </c>
      <c r="M273" s="97">
        <f>IF(E273="VEDTATT","VEDTATT",0)</f>
        <v>0</v>
      </c>
      <c r="N273" s="97">
        <f>IF(E273="MÅ","Nye tiltak",0)</f>
        <v>0</v>
      </c>
      <c r="O273" s="97"/>
      <c r="P273" s="26"/>
    </row>
    <row r="274" spans="1:16" s="36" customFormat="1" x14ac:dyDescent="0.25">
      <c r="A274" s="76" t="s">
        <v>6</v>
      </c>
      <c r="B274" s="76" t="str">
        <f t="shared" si="59"/>
        <v>O3</v>
      </c>
      <c r="C274" s="82" t="s">
        <v>447</v>
      </c>
      <c r="D274" s="70" t="s">
        <v>108</v>
      </c>
      <c r="E274" s="229">
        <v>5</v>
      </c>
      <c r="F274" s="285">
        <v>650</v>
      </c>
      <c r="G274" s="285">
        <v>650</v>
      </c>
      <c r="H274" s="285">
        <v>650</v>
      </c>
      <c r="I274" s="285">
        <v>650</v>
      </c>
      <c r="J274" s="412" t="s">
        <v>446</v>
      </c>
      <c r="K274" s="26" t="s">
        <v>240</v>
      </c>
      <c r="L274" s="26">
        <f t="shared" si="60"/>
        <v>3</v>
      </c>
      <c r="M274" s="97">
        <f>IF(E274="VEDTATT","VEDTATT",0)</f>
        <v>0</v>
      </c>
      <c r="N274" s="97">
        <f>IF(E274="MÅ","Nye tiltak",0)</f>
        <v>0</v>
      </c>
      <c r="O274" s="97"/>
      <c r="P274" s="26"/>
    </row>
    <row r="275" spans="1:16" s="36" customFormat="1" x14ac:dyDescent="0.25">
      <c r="A275" s="76" t="s">
        <v>6</v>
      </c>
      <c r="B275" s="76" t="str">
        <f>IF(L275,K275&amp;L275,"")</f>
        <v>O4</v>
      </c>
      <c r="C275" s="82" t="s">
        <v>354</v>
      </c>
      <c r="D275" s="70" t="s">
        <v>108</v>
      </c>
      <c r="E275" s="229">
        <v>5</v>
      </c>
      <c r="F275" s="285">
        <v>15000</v>
      </c>
      <c r="G275" s="285">
        <v>15000</v>
      </c>
      <c r="H275" s="285">
        <v>15000</v>
      </c>
      <c r="I275" s="285">
        <v>15000</v>
      </c>
      <c r="J275" s="412" t="s">
        <v>513</v>
      </c>
      <c r="K275" s="26" t="s">
        <v>240</v>
      </c>
      <c r="L275" s="26">
        <f t="shared" ref="L275:L289" si="61">L274+1</f>
        <v>4</v>
      </c>
      <c r="M275" s="97"/>
      <c r="N275" s="97"/>
      <c r="O275" s="97"/>
      <c r="P275" s="26"/>
    </row>
    <row r="276" spans="1:16" s="36" customFormat="1" x14ac:dyDescent="0.25">
      <c r="A276" s="76" t="s">
        <v>6</v>
      </c>
      <c r="B276" s="76" t="str">
        <f>IF(L276,K276&amp;L276,"")</f>
        <v>O5</v>
      </c>
      <c r="C276" s="82" t="s">
        <v>243</v>
      </c>
      <c r="D276" s="70" t="s">
        <v>108</v>
      </c>
      <c r="E276" s="59" t="s">
        <v>46</v>
      </c>
      <c r="F276" s="285">
        <v>220</v>
      </c>
      <c r="G276" s="285">
        <v>220</v>
      </c>
      <c r="H276" s="285">
        <v>220</v>
      </c>
      <c r="I276" s="285">
        <v>220</v>
      </c>
      <c r="J276" s="412"/>
      <c r="K276" s="26" t="s">
        <v>240</v>
      </c>
      <c r="L276" s="26">
        <f t="shared" si="61"/>
        <v>5</v>
      </c>
      <c r="M276" s="97"/>
      <c r="N276" s="97"/>
      <c r="O276" s="97"/>
      <c r="P276" s="26"/>
    </row>
    <row r="277" spans="1:16" s="36" customFormat="1" x14ac:dyDescent="0.25">
      <c r="A277" s="76" t="s">
        <v>6</v>
      </c>
      <c r="B277" s="76" t="str">
        <f>IF(L277,K277&amp;L277,"")</f>
        <v>O6</v>
      </c>
      <c r="C277" s="82" t="s">
        <v>449</v>
      </c>
      <c r="D277" s="70" t="s">
        <v>108</v>
      </c>
      <c r="E277" s="229">
        <v>8</v>
      </c>
      <c r="F277" s="285">
        <v>750</v>
      </c>
      <c r="G277" s="285">
        <v>750</v>
      </c>
      <c r="H277" s="285">
        <v>750</v>
      </c>
      <c r="I277" s="285">
        <v>750</v>
      </c>
      <c r="J277" s="412"/>
      <c r="K277" s="26" t="s">
        <v>240</v>
      </c>
      <c r="L277" s="26">
        <f t="shared" si="61"/>
        <v>6</v>
      </c>
      <c r="M277" s="97"/>
      <c r="N277" s="97"/>
      <c r="O277" s="97"/>
      <c r="P277" s="26"/>
    </row>
    <row r="278" spans="1:16" s="36" customFormat="1" x14ac:dyDescent="0.25">
      <c r="A278" s="76" t="s">
        <v>6</v>
      </c>
      <c r="B278" s="76" t="str">
        <f t="shared" si="59"/>
        <v>O7</v>
      </c>
      <c r="C278" s="82" t="s">
        <v>450</v>
      </c>
      <c r="D278" s="70" t="s">
        <v>108</v>
      </c>
      <c r="E278" s="229">
        <v>3</v>
      </c>
      <c r="F278" s="285">
        <v>750</v>
      </c>
      <c r="G278" s="285">
        <v>750</v>
      </c>
      <c r="H278" s="285">
        <v>750</v>
      </c>
      <c r="I278" s="285">
        <v>750</v>
      </c>
      <c r="J278" s="412" t="s">
        <v>451</v>
      </c>
      <c r="K278" s="26" t="s">
        <v>240</v>
      </c>
      <c r="L278" s="26">
        <f t="shared" si="61"/>
        <v>7</v>
      </c>
      <c r="M278" s="97"/>
      <c r="N278" s="97"/>
      <c r="O278" s="97"/>
      <c r="P278" s="26"/>
    </row>
    <row r="279" spans="1:16" s="36" customFormat="1" x14ac:dyDescent="0.25">
      <c r="A279" s="76" t="s">
        <v>6</v>
      </c>
      <c r="B279" s="76" t="str">
        <f t="shared" ref="B279:B288" si="62">IF(L279,K279&amp;L279,"")</f>
        <v>O8</v>
      </c>
      <c r="C279" s="82" t="s">
        <v>355</v>
      </c>
      <c r="D279" s="70" t="s">
        <v>108</v>
      </c>
      <c r="E279" s="229" t="s">
        <v>46</v>
      </c>
      <c r="F279" s="285">
        <v>11340</v>
      </c>
      <c r="G279" s="285">
        <v>13040</v>
      </c>
      <c r="H279" s="285">
        <v>6640</v>
      </c>
      <c r="I279" s="285">
        <v>6640</v>
      </c>
      <c r="J279" s="412" t="s">
        <v>514</v>
      </c>
      <c r="K279" s="36" t="s">
        <v>240</v>
      </c>
      <c r="L279" s="36">
        <f t="shared" ref="L279:L288" si="63">L278+1</f>
        <v>8</v>
      </c>
      <c r="M279" s="390"/>
      <c r="N279" s="390"/>
      <c r="O279" s="390"/>
    </row>
    <row r="280" spans="1:16" s="36" customFormat="1" x14ac:dyDescent="0.25">
      <c r="A280" s="76" t="s">
        <v>6</v>
      </c>
      <c r="B280" s="76" t="str">
        <f t="shared" si="62"/>
        <v>O9</v>
      </c>
      <c r="C280" s="82" t="s">
        <v>515</v>
      </c>
      <c r="D280" s="70" t="s">
        <v>108</v>
      </c>
      <c r="E280" s="229">
        <v>1</v>
      </c>
      <c r="F280" s="285">
        <v>2000</v>
      </c>
      <c r="G280" s="285">
        <v>4000</v>
      </c>
      <c r="H280" s="285">
        <v>6000</v>
      </c>
      <c r="I280" s="285">
        <v>6000</v>
      </c>
      <c r="J280" s="415"/>
      <c r="K280" s="36" t="s">
        <v>240</v>
      </c>
      <c r="L280" s="36">
        <f>L279+1</f>
        <v>9</v>
      </c>
      <c r="M280" s="390"/>
      <c r="N280" s="390"/>
      <c r="O280" s="390"/>
    </row>
    <row r="281" spans="1:16" s="36" customFormat="1" x14ac:dyDescent="0.25">
      <c r="A281" s="76" t="s">
        <v>6</v>
      </c>
      <c r="B281" s="76" t="str">
        <f t="shared" si="62"/>
        <v>O10</v>
      </c>
      <c r="C281" s="82" t="s">
        <v>516</v>
      </c>
      <c r="D281" s="70" t="s">
        <v>108</v>
      </c>
      <c r="E281" s="69" t="s">
        <v>342</v>
      </c>
      <c r="F281" s="285">
        <v>210</v>
      </c>
      <c r="G281" s="285">
        <v>210</v>
      </c>
      <c r="H281" s="285">
        <v>210</v>
      </c>
      <c r="I281" s="285">
        <v>210</v>
      </c>
      <c r="J281" s="412" t="s">
        <v>517</v>
      </c>
      <c r="K281" s="26" t="s">
        <v>240</v>
      </c>
      <c r="L281" s="26">
        <f t="shared" si="63"/>
        <v>10</v>
      </c>
      <c r="M281" s="97"/>
      <c r="N281" s="97"/>
      <c r="O281" s="97"/>
      <c r="P281" s="26"/>
    </row>
    <row r="282" spans="1:16" s="36" customFormat="1" x14ac:dyDescent="0.25">
      <c r="A282" s="76" t="s">
        <v>6</v>
      </c>
      <c r="B282" s="76" t="str">
        <f t="shared" si="62"/>
        <v>O11</v>
      </c>
      <c r="C282" s="82" t="s">
        <v>518</v>
      </c>
      <c r="D282" s="70" t="s">
        <v>108</v>
      </c>
      <c r="E282" s="69" t="s">
        <v>342</v>
      </c>
      <c r="F282" s="285">
        <v>1000</v>
      </c>
      <c r="G282" s="285">
        <v>1000</v>
      </c>
      <c r="H282" s="285">
        <v>1000</v>
      </c>
      <c r="I282" s="285">
        <v>1000</v>
      </c>
      <c r="J282" s="412"/>
      <c r="K282" s="26" t="s">
        <v>240</v>
      </c>
      <c r="L282" s="26">
        <f t="shared" si="63"/>
        <v>11</v>
      </c>
      <c r="M282" s="97"/>
      <c r="N282" s="97"/>
      <c r="O282" s="97"/>
      <c r="P282" s="26"/>
    </row>
    <row r="283" spans="1:16" s="36" customFormat="1" x14ac:dyDescent="0.25">
      <c r="A283" s="76" t="s">
        <v>6</v>
      </c>
      <c r="B283" s="76" t="str">
        <f t="shared" si="62"/>
        <v>O12</v>
      </c>
      <c r="C283" s="82" t="s">
        <v>452</v>
      </c>
      <c r="D283" s="70" t="s">
        <v>108</v>
      </c>
      <c r="E283" s="229">
        <v>6</v>
      </c>
      <c r="F283" s="285">
        <v>250</v>
      </c>
      <c r="G283" s="285">
        <v>250</v>
      </c>
      <c r="H283" s="285">
        <v>250</v>
      </c>
      <c r="I283" s="285">
        <v>250</v>
      </c>
      <c r="J283" s="412"/>
      <c r="K283" s="26" t="s">
        <v>240</v>
      </c>
      <c r="L283" s="26">
        <f t="shared" si="63"/>
        <v>12</v>
      </c>
      <c r="M283" s="97"/>
      <c r="N283" s="97"/>
      <c r="O283" s="97"/>
      <c r="P283" s="26"/>
    </row>
    <row r="284" spans="1:16" s="36" customFormat="1" x14ac:dyDescent="0.25">
      <c r="A284" s="76" t="s">
        <v>6</v>
      </c>
      <c r="B284" s="76" t="str">
        <f t="shared" si="62"/>
        <v>O13</v>
      </c>
      <c r="C284" s="82" t="s">
        <v>454</v>
      </c>
      <c r="D284" s="70" t="s">
        <v>108</v>
      </c>
      <c r="E284" s="229">
        <v>7</v>
      </c>
      <c r="F284" s="285">
        <v>200</v>
      </c>
      <c r="G284" s="285">
        <v>200</v>
      </c>
      <c r="H284" s="285">
        <v>200</v>
      </c>
      <c r="I284" s="285">
        <v>200</v>
      </c>
      <c r="J284" s="412"/>
      <c r="K284" s="26" t="s">
        <v>240</v>
      </c>
      <c r="L284" s="26">
        <f t="shared" si="63"/>
        <v>13</v>
      </c>
      <c r="M284" s="97"/>
      <c r="N284" s="97"/>
      <c r="O284" s="97"/>
      <c r="P284" s="26"/>
    </row>
    <row r="285" spans="1:16" s="36" customFormat="1" x14ac:dyDescent="0.25">
      <c r="A285" s="76" t="s">
        <v>6</v>
      </c>
      <c r="B285" s="76" t="str">
        <f t="shared" si="62"/>
        <v>O14</v>
      </c>
      <c r="C285" s="82" t="s">
        <v>519</v>
      </c>
      <c r="D285" s="70" t="s">
        <v>108</v>
      </c>
      <c r="E285" s="69"/>
      <c r="F285" s="285"/>
      <c r="G285" s="285"/>
      <c r="H285" s="285"/>
      <c r="I285" s="285"/>
      <c r="J285" s="412" t="s">
        <v>362</v>
      </c>
      <c r="K285" s="26" t="s">
        <v>240</v>
      </c>
      <c r="L285" s="26">
        <f t="shared" si="63"/>
        <v>14</v>
      </c>
      <c r="M285" s="97"/>
      <c r="N285" s="97"/>
      <c r="O285" s="97"/>
      <c r="P285" s="26"/>
    </row>
    <row r="286" spans="1:16" s="36" customFormat="1" x14ac:dyDescent="0.25">
      <c r="A286" s="76" t="s">
        <v>6</v>
      </c>
      <c r="B286" s="76" t="str">
        <f t="shared" si="62"/>
        <v>O15</v>
      </c>
      <c r="C286" s="82" t="s">
        <v>456</v>
      </c>
      <c r="D286" s="70" t="s">
        <v>108</v>
      </c>
      <c r="E286" s="229">
        <v>8</v>
      </c>
      <c r="F286" s="285">
        <v>80</v>
      </c>
      <c r="G286" s="285">
        <v>80</v>
      </c>
      <c r="H286" s="285">
        <v>80</v>
      </c>
      <c r="I286" s="285">
        <v>80</v>
      </c>
      <c r="J286" s="412"/>
      <c r="K286" s="26" t="s">
        <v>240</v>
      </c>
      <c r="L286" s="26">
        <f t="shared" si="63"/>
        <v>15</v>
      </c>
      <c r="M286" s="97"/>
      <c r="N286" s="97"/>
      <c r="O286" s="97"/>
      <c r="P286" s="26"/>
    </row>
    <row r="287" spans="1:16" s="36" customFormat="1" x14ac:dyDescent="0.25">
      <c r="A287" s="76" t="s">
        <v>6</v>
      </c>
      <c r="B287" s="76" t="str">
        <f t="shared" si="62"/>
        <v>O16</v>
      </c>
      <c r="C287" s="82"/>
      <c r="D287" s="70"/>
      <c r="E287" s="82"/>
      <c r="F287" s="68"/>
      <c r="G287" s="68"/>
      <c r="H287" s="68"/>
      <c r="I287" s="68"/>
      <c r="J287" s="412"/>
      <c r="K287" s="26" t="s">
        <v>240</v>
      </c>
      <c r="L287" s="26">
        <f t="shared" si="63"/>
        <v>16</v>
      </c>
      <c r="M287" s="97"/>
      <c r="N287" s="97"/>
      <c r="O287" s="97"/>
      <c r="P287" s="26"/>
    </row>
    <row r="288" spans="1:16" s="36" customFormat="1" x14ac:dyDescent="0.25">
      <c r="A288" s="76" t="s">
        <v>6</v>
      </c>
      <c r="B288" s="76" t="str">
        <f t="shared" si="62"/>
        <v>O17</v>
      </c>
      <c r="C288" s="82"/>
      <c r="D288" s="70"/>
      <c r="E288" s="82"/>
      <c r="F288" s="68"/>
      <c r="G288" s="68"/>
      <c r="H288" s="68"/>
      <c r="I288" s="68"/>
      <c r="J288" s="412"/>
      <c r="K288" s="26" t="s">
        <v>240</v>
      </c>
      <c r="L288" s="26">
        <f t="shared" si="63"/>
        <v>17</v>
      </c>
      <c r="M288" s="97"/>
      <c r="N288" s="97"/>
      <c r="O288" s="97"/>
      <c r="P288" s="26"/>
    </row>
    <row r="289" spans="1:16" s="36" customFormat="1" x14ac:dyDescent="0.25">
      <c r="A289" s="45"/>
      <c r="B289" s="45"/>
      <c r="C289" s="243"/>
      <c r="D289" s="212"/>
      <c r="E289" s="109"/>
      <c r="F289" s="68"/>
      <c r="G289" s="68"/>
      <c r="H289" s="68"/>
      <c r="I289" s="68"/>
      <c r="J289" s="412"/>
      <c r="K289" s="26" t="s">
        <v>240</v>
      </c>
      <c r="L289" s="26">
        <f t="shared" si="61"/>
        <v>18</v>
      </c>
      <c r="M289" s="97"/>
      <c r="N289" s="97"/>
      <c r="O289" s="97"/>
      <c r="P289" s="26"/>
    </row>
    <row r="290" spans="1:16" s="36" customFormat="1" x14ac:dyDescent="0.25">
      <c r="A290" s="41"/>
      <c r="B290" s="41" t="s">
        <v>152</v>
      </c>
      <c r="C290" s="3" t="s">
        <v>246</v>
      </c>
      <c r="D290" s="50"/>
      <c r="E290" s="50"/>
      <c r="F290" s="54">
        <f>SUMIF($A:$A,"ORG",F:F)</f>
        <v>33200</v>
      </c>
      <c r="G290" s="54">
        <f>SUMIF($A:$A,"ORG",G:G)</f>
        <v>36100</v>
      </c>
      <c r="H290" s="54">
        <f>SUMIF($A:$A,"ORG",H:H)</f>
        <v>31700</v>
      </c>
      <c r="I290" s="54">
        <f>SUMIF($A:$A,"ORG",I:I)</f>
        <v>31700</v>
      </c>
      <c r="J290" s="412"/>
      <c r="K290" s="335"/>
      <c r="L290" s="335"/>
      <c r="M290" s="97"/>
      <c r="N290" s="97"/>
      <c r="O290" s="97"/>
      <c r="P290" s="26"/>
    </row>
    <row r="291" spans="1:16" s="36" customFormat="1" x14ac:dyDescent="0.25">
      <c r="A291" s="45"/>
      <c r="B291" s="45"/>
      <c r="C291" s="9"/>
      <c r="D291" s="47"/>
      <c r="E291" s="47"/>
      <c r="F291" s="55"/>
      <c r="G291" s="55"/>
      <c r="H291" s="55"/>
      <c r="I291" s="55"/>
      <c r="J291" s="412"/>
      <c r="K291" s="26"/>
      <c r="L291" s="26"/>
      <c r="M291" s="97"/>
      <c r="N291" s="97"/>
      <c r="O291" s="97"/>
      <c r="P291" s="26"/>
    </row>
    <row r="292" spans="1:16" s="36" customFormat="1" x14ac:dyDescent="0.25">
      <c r="A292" s="46"/>
      <c r="B292" s="46"/>
      <c r="C292" s="11" t="s">
        <v>13</v>
      </c>
      <c r="D292" s="48"/>
      <c r="E292" s="59"/>
      <c r="F292" s="4">
        <f>F271</f>
        <v>2022</v>
      </c>
      <c r="G292" s="4">
        <f>F292+1</f>
        <v>2023</v>
      </c>
      <c r="H292" s="4">
        <f>G292+1</f>
        <v>2024</v>
      </c>
      <c r="I292" s="4">
        <f>H292+1</f>
        <v>2025</v>
      </c>
      <c r="J292" s="412"/>
      <c r="K292" s="335"/>
      <c r="L292" s="335"/>
      <c r="M292" s="97"/>
      <c r="N292" s="97"/>
      <c r="O292" s="97"/>
      <c r="P292" s="26"/>
    </row>
    <row r="293" spans="1:16" s="36" customFormat="1" x14ac:dyDescent="0.25">
      <c r="A293" s="43" t="s">
        <v>7</v>
      </c>
      <c r="B293" s="43" t="str">
        <f t="shared" ref="B293:B294" si="64">IF(L293,K293&amp;L293,"")</f>
        <v>Ø1</v>
      </c>
      <c r="C293" s="344" t="s">
        <v>247</v>
      </c>
      <c r="D293" s="70" t="s">
        <v>105</v>
      </c>
      <c r="E293" s="69" t="s">
        <v>98</v>
      </c>
      <c r="F293" s="68">
        <v>0</v>
      </c>
      <c r="G293" s="68">
        <v>-1300</v>
      </c>
      <c r="H293" s="68">
        <v>-1300</v>
      </c>
      <c r="I293" s="68">
        <v>-1300</v>
      </c>
      <c r="J293" s="414"/>
      <c r="K293" s="26" t="s">
        <v>248</v>
      </c>
      <c r="L293" s="26">
        <v>1</v>
      </c>
      <c r="M293" s="97" t="str">
        <f>IF(E293="VEDTATT","VEDTATT",0)</f>
        <v>VEDTATT</v>
      </c>
      <c r="N293" s="97">
        <f>IF(E293="MÅ","Nye tiltak",0)</f>
        <v>0</v>
      </c>
      <c r="O293" s="97"/>
      <c r="P293" s="26"/>
    </row>
    <row r="294" spans="1:16" s="36" customFormat="1" x14ac:dyDescent="0.25">
      <c r="A294" s="43" t="s">
        <v>7</v>
      </c>
      <c r="B294" s="43" t="str">
        <f t="shared" si="64"/>
        <v>Ø2</v>
      </c>
      <c r="C294" s="345" t="s">
        <v>249</v>
      </c>
      <c r="D294" s="70" t="s">
        <v>105</v>
      </c>
      <c r="E294" s="69" t="s">
        <v>98</v>
      </c>
      <c r="F294" s="68">
        <v>0</v>
      </c>
      <c r="G294" s="68">
        <v>1300</v>
      </c>
      <c r="H294" s="68">
        <v>1300</v>
      </c>
      <c r="I294" s="68">
        <v>1300</v>
      </c>
      <c r="J294" s="414"/>
      <c r="K294" s="26" t="s">
        <v>248</v>
      </c>
      <c r="L294" s="26">
        <f>L293+1</f>
        <v>2</v>
      </c>
      <c r="M294" s="97" t="str">
        <f>IF(E294="VEDTATT","VEDTATT",0)</f>
        <v>VEDTATT</v>
      </c>
      <c r="N294" s="97">
        <f>IF(E294="MÅ","Nye tiltak",0)</f>
        <v>0</v>
      </c>
      <c r="O294" s="97"/>
      <c r="P294" s="26"/>
    </row>
    <row r="295" spans="1:16" s="36" customFormat="1" x14ac:dyDescent="0.25">
      <c r="A295" s="43" t="s">
        <v>7</v>
      </c>
      <c r="B295" s="43" t="str">
        <f>IF(L295,K295&amp;L295,"")</f>
        <v>Ø3</v>
      </c>
      <c r="C295" s="345" t="s">
        <v>457</v>
      </c>
      <c r="D295" s="70" t="s">
        <v>108</v>
      </c>
      <c r="E295" s="229">
        <v>1</v>
      </c>
      <c r="F295" s="68">
        <v>785</v>
      </c>
      <c r="G295" s="68">
        <v>785</v>
      </c>
      <c r="H295" s="68">
        <v>785</v>
      </c>
      <c r="I295" s="68">
        <v>785</v>
      </c>
      <c r="J295" s="414"/>
      <c r="K295" s="26" t="s">
        <v>248</v>
      </c>
      <c r="L295" s="26">
        <f>L294+1</f>
        <v>3</v>
      </c>
      <c r="M295" s="97"/>
      <c r="N295" s="97"/>
      <c r="O295" s="97"/>
      <c r="P295" s="26"/>
    </row>
    <row r="296" spans="1:16" s="36" customFormat="1" x14ac:dyDescent="0.25">
      <c r="A296" s="43" t="s">
        <v>7</v>
      </c>
      <c r="B296" s="43" t="str">
        <f>IF(L296,K296&amp;L296,"")</f>
        <v>Ø4</v>
      </c>
      <c r="C296" s="344" t="s">
        <v>458</v>
      </c>
      <c r="D296" s="70" t="s">
        <v>108</v>
      </c>
      <c r="E296" s="229">
        <v>2</v>
      </c>
      <c r="F296" s="68">
        <v>120</v>
      </c>
      <c r="G296" s="68">
        <v>120</v>
      </c>
      <c r="H296" s="68">
        <v>120</v>
      </c>
      <c r="I296" s="68">
        <v>120</v>
      </c>
      <c r="J296" s="414"/>
      <c r="K296" s="26" t="s">
        <v>248</v>
      </c>
      <c r="L296" s="26">
        <f>L295+1</f>
        <v>4</v>
      </c>
      <c r="M296" s="97">
        <f>IF(E296="VEDTATT","VEDTATT",0)</f>
        <v>0</v>
      </c>
      <c r="N296" s="97">
        <f>IF(E296="MÅ","Nye tiltak",0)</f>
        <v>0</v>
      </c>
      <c r="O296" s="97"/>
      <c r="P296" s="26"/>
    </row>
    <row r="297" spans="1:16" s="36" customFormat="1" x14ac:dyDescent="0.25">
      <c r="A297" s="43" t="s">
        <v>7</v>
      </c>
      <c r="B297" s="43" t="str">
        <f>IF(L297,K297&amp;L297,"")</f>
        <v>Ø5</v>
      </c>
      <c r="C297" s="344" t="s">
        <v>459</v>
      </c>
      <c r="D297" s="77" t="s">
        <v>108</v>
      </c>
      <c r="E297" s="69" t="s">
        <v>46</v>
      </c>
      <c r="F297" s="189">
        <v>550</v>
      </c>
      <c r="G297" s="189">
        <v>550</v>
      </c>
      <c r="H297" s="189">
        <v>550</v>
      </c>
      <c r="I297" s="189">
        <v>550</v>
      </c>
      <c r="J297" s="92" t="s">
        <v>251</v>
      </c>
      <c r="K297" s="26" t="s">
        <v>248</v>
      </c>
      <c r="L297" s="26">
        <f>L296+1</f>
        <v>5</v>
      </c>
      <c r="M297" s="97">
        <f>IF(E297="VEDTATT","VEDTATT",0)</f>
        <v>0</v>
      </c>
      <c r="N297" s="97" t="str">
        <f>IF(E297="MÅ","Nye tiltak",0)</f>
        <v>Nye tiltak</v>
      </c>
      <c r="O297" s="97"/>
      <c r="P297" s="26"/>
    </row>
    <row r="298" spans="1:16" s="36" customFormat="1" x14ac:dyDescent="0.25">
      <c r="A298" s="43" t="s">
        <v>7</v>
      </c>
      <c r="B298" s="43" t="str">
        <f>IF(L298,K298&amp;L298,"")</f>
        <v>Ø6</v>
      </c>
      <c r="C298" s="344" t="s">
        <v>460</v>
      </c>
      <c r="D298" s="70" t="s">
        <v>108</v>
      </c>
      <c r="E298" s="69" t="s">
        <v>46</v>
      </c>
      <c r="F298" s="68">
        <v>-600</v>
      </c>
      <c r="G298" s="68">
        <v>-600</v>
      </c>
      <c r="H298" s="68">
        <v>-600</v>
      </c>
      <c r="I298" s="68">
        <v>-600</v>
      </c>
      <c r="J298" s="92" t="s">
        <v>253</v>
      </c>
      <c r="K298" s="26" t="s">
        <v>248</v>
      </c>
      <c r="L298" s="26">
        <f>L297+1</f>
        <v>6</v>
      </c>
      <c r="M298" s="97">
        <f>IF(E298="VEDTATT","VEDTATT",0)</f>
        <v>0</v>
      </c>
      <c r="N298" s="97" t="str">
        <f>IF(E298="MÅ","Nye tiltak",0)</f>
        <v>Nye tiltak</v>
      </c>
      <c r="O298" s="97"/>
      <c r="P298" s="26"/>
    </row>
    <row r="299" spans="1:16" s="36" customFormat="1" x14ac:dyDescent="0.25">
      <c r="A299" s="41"/>
      <c r="B299" s="41" t="s">
        <v>152</v>
      </c>
      <c r="C299" s="3" t="s">
        <v>254</v>
      </c>
      <c r="D299" s="50"/>
      <c r="E299" s="50"/>
      <c r="F299" s="54">
        <f>SUMIF($A:$A,"ØK",F:F)</f>
        <v>855</v>
      </c>
      <c r="G299" s="54">
        <f>SUMIF($A:$A,"ØK",G:G)</f>
        <v>855</v>
      </c>
      <c r="H299" s="54">
        <f>SUMIF($A:$A,"ØK",H:H)</f>
        <v>855</v>
      </c>
      <c r="I299" s="54">
        <f>SUMIF($A:$A,"ØK",I:I)</f>
        <v>855</v>
      </c>
      <c r="J299" s="412"/>
      <c r="K299" s="335"/>
      <c r="L299" s="335"/>
      <c r="M299" s="97"/>
      <c r="N299" s="97"/>
      <c r="O299" s="97"/>
      <c r="P299" s="26"/>
    </row>
    <row r="300" spans="1:16" s="36" customFormat="1" x14ac:dyDescent="0.25">
      <c r="A300" s="45"/>
      <c r="B300" s="45"/>
      <c r="C300" s="9"/>
      <c r="D300" s="47"/>
      <c r="E300" s="47"/>
      <c r="F300" s="55"/>
      <c r="G300" s="55"/>
      <c r="H300" s="55"/>
      <c r="I300" s="55"/>
      <c r="J300" s="412"/>
      <c r="K300" s="26"/>
      <c r="L300" s="26"/>
      <c r="M300" s="97"/>
      <c r="N300" s="97"/>
      <c r="O300" s="97"/>
      <c r="P300" s="26"/>
    </row>
    <row r="301" spans="1:16" s="36" customFormat="1" x14ac:dyDescent="0.25">
      <c r="A301" s="46"/>
      <c r="B301" s="46"/>
      <c r="C301" s="11" t="s">
        <v>255</v>
      </c>
      <c r="D301" s="48"/>
      <c r="E301" s="59"/>
      <c r="F301" s="56"/>
      <c r="G301" s="56"/>
      <c r="H301" s="56"/>
      <c r="I301" s="56"/>
      <c r="J301" s="412"/>
      <c r="M301" s="97"/>
      <c r="N301" s="97"/>
      <c r="O301" s="97"/>
      <c r="P301" s="26"/>
    </row>
    <row r="302" spans="1:16" s="36" customFormat="1" x14ac:dyDescent="0.25">
      <c r="A302" s="247"/>
      <c r="B302" s="247"/>
      <c r="C302" s="80" t="s">
        <v>256</v>
      </c>
      <c r="D302" s="81"/>
      <c r="E302" s="69"/>
      <c r="F302" s="4">
        <f>F292</f>
        <v>2022</v>
      </c>
      <c r="G302" s="4">
        <f>F302+1</f>
        <v>2023</v>
      </c>
      <c r="H302" s="4">
        <f>G302+1</f>
        <v>2024</v>
      </c>
      <c r="I302" s="4">
        <f>H302+1</f>
        <v>2025</v>
      </c>
      <c r="J302" s="412"/>
      <c r="K302" s="335"/>
      <c r="L302" s="335"/>
      <c r="M302" s="97"/>
      <c r="N302" s="97"/>
      <c r="O302" s="97"/>
      <c r="P302" s="26"/>
    </row>
    <row r="303" spans="1:16" s="36" customFormat="1" x14ac:dyDescent="0.25">
      <c r="A303" s="70" t="s">
        <v>8</v>
      </c>
      <c r="B303" s="76" t="str">
        <f t="shared" ref="B303:B352" si="65">IF(L303,K303&amp;L303,"")</f>
        <v>F1</v>
      </c>
      <c r="C303" s="384"/>
      <c r="D303" s="77" t="s">
        <v>108</v>
      </c>
      <c r="E303" s="287"/>
      <c r="F303" s="189"/>
      <c r="G303" s="189"/>
      <c r="H303" s="189"/>
      <c r="I303" s="189"/>
      <c r="J303" s="414"/>
      <c r="K303" s="26" t="s">
        <v>257</v>
      </c>
      <c r="L303" s="26">
        <v>1</v>
      </c>
      <c r="M303" s="97">
        <f>IF(E303="VEDTATT","VEDTATT",0)</f>
        <v>0</v>
      </c>
      <c r="N303" s="97">
        <f>IF(E303="MÅ","Nye tiltak",0)</f>
        <v>0</v>
      </c>
      <c r="O303" s="97"/>
      <c r="P303" s="26"/>
    </row>
    <row r="304" spans="1:16" s="36" customFormat="1" x14ac:dyDescent="0.25">
      <c r="A304" s="70" t="s">
        <v>8</v>
      </c>
      <c r="B304" s="76" t="str">
        <f t="shared" si="65"/>
        <v>F2</v>
      </c>
      <c r="C304" s="243"/>
      <c r="D304" s="77"/>
      <c r="E304" s="69"/>
      <c r="F304" s="189"/>
      <c r="G304" s="189"/>
      <c r="H304" s="189"/>
      <c r="I304" s="189"/>
      <c r="J304" s="414"/>
      <c r="K304" s="26" t="s">
        <v>257</v>
      </c>
      <c r="L304" s="26">
        <f>L303+1</f>
        <v>2</v>
      </c>
      <c r="M304" s="97">
        <f>IF(E304="VEDTATT","VEDTATT",0)</f>
        <v>0</v>
      </c>
      <c r="N304" s="97">
        <f>IF(E304="MÅ","Nye tiltak",0)</f>
        <v>0</v>
      </c>
      <c r="O304" s="97"/>
      <c r="P304" s="26"/>
    </row>
    <row r="305" spans="1:16" s="36" customFormat="1" x14ac:dyDescent="0.25">
      <c r="A305" s="70"/>
      <c r="B305" s="76" t="str">
        <f t="shared" si="65"/>
        <v/>
      </c>
      <c r="C305" s="80" t="s">
        <v>258</v>
      </c>
      <c r="D305" s="81"/>
      <c r="E305" s="69"/>
      <c r="F305" s="4">
        <f>F302</f>
        <v>2022</v>
      </c>
      <c r="G305" s="4">
        <f>F305+1</f>
        <v>2023</v>
      </c>
      <c r="H305" s="4">
        <f>G305+1</f>
        <v>2024</v>
      </c>
      <c r="I305" s="4">
        <f>H305+1</f>
        <v>2025</v>
      </c>
      <c r="J305" s="412"/>
      <c r="K305" s="335"/>
      <c r="L305" s="335"/>
      <c r="M305" s="97"/>
      <c r="N305" s="97"/>
      <c r="O305" s="97"/>
      <c r="P305" s="26"/>
    </row>
    <row r="306" spans="1:16" s="36" customFormat="1" ht="25.5" x14ac:dyDescent="0.25">
      <c r="A306" s="70" t="s">
        <v>8</v>
      </c>
      <c r="B306" s="76" t="str">
        <f t="shared" si="65"/>
        <v>F3</v>
      </c>
      <c r="C306" s="82" t="s">
        <v>358</v>
      </c>
      <c r="D306" s="70" t="s">
        <v>105</v>
      </c>
      <c r="E306" s="69" t="s">
        <v>98</v>
      </c>
      <c r="F306" s="253">
        <v>-35</v>
      </c>
      <c r="G306" s="253">
        <v>-65</v>
      </c>
      <c r="H306" s="253">
        <v>-65</v>
      </c>
      <c r="I306" s="253">
        <v>-65</v>
      </c>
      <c r="J306" s="414" t="s">
        <v>260</v>
      </c>
      <c r="K306" s="26" t="s">
        <v>257</v>
      </c>
      <c r="L306" s="26">
        <f>L304+1</f>
        <v>3</v>
      </c>
      <c r="M306" s="97" t="str">
        <f t="shared" ref="M306:M312" si="66">IF(E306="VEDTATT","VEDTATT",0)</f>
        <v>VEDTATT</v>
      </c>
      <c r="N306" s="97">
        <f t="shared" ref="N306:N312" si="67">IF(E306="MÅ","Nye tiltak",0)</f>
        <v>0</v>
      </c>
      <c r="O306" s="97"/>
      <c r="P306" s="26"/>
    </row>
    <row r="307" spans="1:16" s="36" customFormat="1" ht="25.5" x14ac:dyDescent="0.25">
      <c r="A307" s="70" t="s">
        <v>8</v>
      </c>
      <c r="B307" s="76" t="str">
        <f>IF(L307,K307&amp;L307,"")</f>
        <v>F4</v>
      </c>
      <c r="C307" s="82" t="s">
        <v>358</v>
      </c>
      <c r="D307" s="70" t="s">
        <v>105</v>
      </c>
      <c r="E307" s="69" t="s">
        <v>98</v>
      </c>
      <c r="F307" s="253">
        <v>-1000</v>
      </c>
      <c r="G307" s="253">
        <v>-1000</v>
      </c>
      <c r="H307" s="253">
        <v>-1000</v>
      </c>
      <c r="I307" s="253">
        <v>-1000</v>
      </c>
      <c r="J307" s="414" t="s">
        <v>262</v>
      </c>
      <c r="K307" s="26" t="s">
        <v>257</v>
      </c>
      <c r="L307" s="26">
        <f t="shared" ref="L307:L312" si="68">L306+1</f>
        <v>4</v>
      </c>
      <c r="M307" s="97" t="str">
        <f t="shared" si="66"/>
        <v>VEDTATT</v>
      </c>
      <c r="N307" s="97">
        <f t="shared" si="67"/>
        <v>0</v>
      </c>
      <c r="O307" s="97"/>
      <c r="P307" s="26"/>
    </row>
    <row r="308" spans="1:16" s="36" customFormat="1" x14ac:dyDescent="0.25">
      <c r="A308" s="70" t="s">
        <v>8</v>
      </c>
      <c r="B308" s="76" t="str">
        <f t="shared" si="65"/>
        <v>F5</v>
      </c>
      <c r="C308" s="391" t="s">
        <v>359</v>
      </c>
      <c r="D308" s="70" t="s">
        <v>105</v>
      </c>
      <c r="E308" s="69" t="s">
        <v>98</v>
      </c>
      <c r="F308" s="189">
        <v>-1000</v>
      </c>
      <c r="G308" s="189">
        <v>-1000</v>
      </c>
      <c r="H308" s="189">
        <v>-1000</v>
      </c>
      <c r="I308" s="189">
        <v>-1000</v>
      </c>
      <c r="J308" s="414"/>
      <c r="K308" s="26" t="s">
        <v>257</v>
      </c>
      <c r="L308" s="26">
        <f t="shared" si="68"/>
        <v>5</v>
      </c>
      <c r="M308" s="97" t="str">
        <f t="shared" si="66"/>
        <v>VEDTATT</v>
      </c>
      <c r="N308" s="97">
        <f t="shared" si="67"/>
        <v>0</v>
      </c>
      <c r="O308" s="97"/>
      <c r="P308" s="26"/>
    </row>
    <row r="309" spans="1:16" s="36" customFormat="1" x14ac:dyDescent="0.25">
      <c r="A309" s="70" t="s">
        <v>8</v>
      </c>
      <c r="B309" s="76" t="str">
        <f t="shared" si="65"/>
        <v>F6</v>
      </c>
      <c r="C309" s="82" t="s">
        <v>359</v>
      </c>
      <c r="D309" s="70" t="s">
        <v>105</v>
      </c>
      <c r="E309" s="69" t="s">
        <v>98</v>
      </c>
      <c r="F309" s="189">
        <v>1800</v>
      </c>
      <c r="G309" s="189">
        <v>3100</v>
      </c>
      <c r="H309" s="189">
        <v>3100</v>
      </c>
      <c r="I309" s="189">
        <v>3100</v>
      </c>
      <c r="J309" s="414" t="s">
        <v>263</v>
      </c>
      <c r="K309" s="26" t="s">
        <v>257</v>
      </c>
      <c r="L309" s="26">
        <f t="shared" si="68"/>
        <v>6</v>
      </c>
      <c r="M309" s="97" t="str">
        <f t="shared" si="66"/>
        <v>VEDTATT</v>
      </c>
      <c r="N309" s="97">
        <f t="shared" si="67"/>
        <v>0</v>
      </c>
      <c r="O309" s="97"/>
      <c r="P309" s="26"/>
    </row>
    <row r="310" spans="1:16" s="36" customFormat="1" x14ac:dyDescent="0.25">
      <c r="A310" s="70" t="s">
        <v>8</v>
      </c>
      <c r="B310" s="76" t="str">
        <f t="shared" si="65"/>
        <v>F7</v>
      </c>
      <c r="C310" s="82" t="s">
        <v>360</v>
      </c>
      <c r="D310" s="70" t="s">
        <v>105</v>
      </c>
      <c r="E310" s="69" t="s">
        <v>98</v>
      </c>
      <c r="F310" s="189">
        <v>-470</v>
      </c>
      <c r="G310" s="189">
        <v>-1515</v>
      </c>
      <c r="H310" s="189">
        <v>-2090</v>
      </c>
      <c r="I310" s="189">
        <v>-2090</v>
      </c>
      <c r="J310" s="91"/>
      <c r="K310" s="26" t="s">
        <v>257</v>
      </c>
      <c r="L310" s="26">
        <f t="shared" si="68"/>
        <v>7</v>
      </c>
      <c r="M310" s="97" t="str">
        <f t="shared" si="66"/>
        <v>VEDTATT</v>
      </c>
      <c r="N310" s="97">
        <f t="shared" si="67"/>
        <v>0</v>
      </c>
      <c r="O310" s="97"/>
      <c r="P310" s="26"/>
    </row>
    <row r="311" spans="1:16" s="36" customFormat="1" x14ac:dyDescent="0.25">
      <c r="A311" s="70" t="s">
        <v>8</v>
      </c>
      <c r="B311" s="76" t="str">
        <f t="shared" si="65"/>
        <v>F8</v>
      </c>
      <c r="C311" s="401" t="s">
        <v>265</v>
      </c>
      <c r="D311" s="402" t="s">
        <v>108</v>
      </c>
      <c r="E311" s="403" t="s">
        <v>46</v>
      </c>
      <c r="F311" s="253">
        <v>74000</v>
      </c>
      <c r="G311" s="253">
        <v>74000</v>
      </c>
      <c r="H311" s="253">
        <v>74000</v>
      </c>
      <c r="I311" s="253">
        <v>74000</v>
      </c>
      <c r="J311" s="414" t="s">
        <v>520</v>
      </c>
      <c r="K311" s="26" t="s">
        <v>257</v>
      </c>
      <c r="L311" s="26">
        <f>L310+1</f>
        <v>8</v>
      </c>
      <c r="M311" s="97">
        <f t="shared" si="66"/>
        <v>0</v>
      </c>
      <c r="N311" s="97" t="str">
        <f t="shared" si="67"/>
        <v>Nye tiltak</v>
      </c>
      <c r="O311" s="97"/>
      <c r="P311" s="26"/>
    </row>
    <row r="312" spans="1:16" s="36" customFormat="1" x14ac:dyDescent="0.25">
      <c r="A312" s="70" t="s">
        <v>8</v>
      </c>
      <c r="B312" s="76" t="str">
        <f t="shared" si="65"/>
        <v>F9</v>
      </c>
      <c r="C312" s="82" t="s">
        <v>267</v>
      </c>
      <c r="D312" s="70" t="s">
        <v>108</v>
      </c>
      <c r="E312" s="69" t="s">
        <v>46</v>
      </c>
      <c r="F312" s="189">
        <v>246</v>
      </c>
      <c r="G312" s="189">
        <v>246</v>
      </c>
      <c r="H312" s="189">
        <v>246</v>
      </c>
      <c r="I312" s="189">
        <v>246</v>
      </c>
      <c r="J312" s="414" t="s">
        <v>268</v>
      </c>
      <c r="K312" s="26" t="s">
        <v>257</v>
      </c>
      <c r="L312" s="26">
        <f t="shared" si="68"/>
        <v>9</v>
      </c>
      <c r="M312" s="97">
        <f t="shared" si="66"/>
        <v>0</v>
      </c>
      <c r="N312" s="97" t="str">
        <f t="shared" si="67"/>
        <v>Nye tiltak</v>
      </c>
      <c r="O312" s="97"/>
      <c r="P312" s="26"/>
    </row>
    <row r="313" spans="1:16" s="36" customFormat="1" x14ac:dyDescent="0.25">
      <c r="A313" s="70" t="s">
        <v>8</v>
      </c>
      <c r="B313" s="76" t="str">
        <f t="shared" ref="B313:B322" si="69">IF(L313,K313&amp;L313,"")</f>
        <v>F10</v>
      </c>
      <c r="C313" s="82" t="s">
        <v>269</v>
      </c>
      <c r="D313" s="70" t="s">
        <v>108</v>
      </c>
      <c r="E313" s="69" t="s">
        <v>46</v>
      </c>
      <c r="F313" s="189">
        <v>200</v>
      </c>
      <c r="G313" s="189">
        <v>200</v>
      </c>
      <c r="H313" s="189">
        <v>200</v>
      </c>
      <c r="I313" s="189">
        <v>200</v>
      </c>
      <c r="J313" s="91" t="s">
        <v>143</v>
      </c>
      <c r="K313" s="26" t="s">
        <v>257</v>
      </c>
      <c r="L313" s="26">
        <f t="shared" ref="L313:L329" si="70">L312+1</f>
        <v>10</v>
      </c>
      <c r="M313" s="97">
        <f t="shared" ref="M313:M325" si="71">IF(E313="VEDTATT","VEDTATT",0)</f>
        <v>0</v>
      </c>
      <c r="N313" s="97" t="str">
        <f t="shared" ref="N313:N325" si="72">IF(E313="MÅ","Nye tiltak",0)</f>
        <v>Nye tiltak</v>
      </c>
      <c r="O313" s="97"/>
      <c r="P313" s="26"/>
    </row>
    <row r="314" spans="1:16" s="36" customFormat="1" x14ac:dyDescent="0.25">
      <c r="A314" s="70" t="s">
        <v>8</v>
      </c>
      <c r="B314" s="76" t="str">
        <f t="shared" si="69"/>
        <v>F11</v>
      </c>
      <c r="C314" s="401" t="s">
        <v>361</v>
      </c>
      <c r="D314" s="402" t="s">
        <v>108</v>
      </c>
      <c r="E314" s="403"/>
      <c r="F314" s="253"/>
      <c r="G314" s="253"/>
      <c r="H314" s="253"/>
      <c r="I314" s="253"/>
      <c r="J314" s="416" t="s">
        <v>362</v>
      </c>
      <c r="K314" s="26" t="s">
        <v>257</v>
      </c>
      <c r="L314" s="26">
        <f t="shared" si="70"/>
        <v>11</v>
      </c>
      <c r="M314" s="97">
        <f t="shared" si="71"/>
        <v>0</v>
      </c>
      <c r="N314" s="97">
        <f t="shared" si="72"/>
        <v>0</v>
      </c>
      <c r="O314" s="97"/>
      <c r="P314" s="26"/>
    </row>
    <row r="315" spans="1:16" s="36" customFormat="1" x14ac:dyDescent="0.25">
      <c r="A315" s="70" t="s">
        <v>8</v>
      </c>
      <c r="B315" s="76" t="str">
        <f t="shared" si="69"/>
        <v>F12</v>
      </c>
      <c r="C315" s="82" t="s">
        <v>270</v>
      </c>
      <c r="D315" s="70" t="s">
        <v>108</v>
      </c>
      <c r="E315" s="69" t="s">
        <v>46</v>
      </c>
      <c r="F315" s="189">
        <v>494</v>
      </c>
      <c r="G315" s="189">
        <v>494</v>
      </c>
      <c r="H315" s="189">
        <v>494</v>
      </c>
      <c r="I315" s="189">
        <v>494</v>
      </c>
      <c r="J315" s="91" t="s">
        <v>143</v>
      </c>
      <c r="K315" s="26" t="s">
        <v>257</v>
      </c>
      <c r="L315" s="26">
        <f t="shared" si="70"/>
        <v>12</v>
      </c>
      <c r="M315" s="97">
        <f t="shared" si="71"/>
        <v>0</v>
      </c>
      <c r="N315" s="97" t="str">
        <f t="shared" si="72"/>
        <v>Nye tiltak</v>
      </c>
      <c r="O315" s="97"/>
      <c r="P315" s="26"/>
    </row>
    <row r="316" spans="1:16" s="36" customFormat="1" ht="22.5" x14ac:dyDescent="0.25">
      <c r="A316" s="70" t="s">
        <v>8</v>
      </c>
      <c r="B316" s="76" t="str">
        <f t="shared" si="69"/>
        <v>F13</v>
      </c>
      <c r="C316" s="423" t="s">
        <v>363</v>
      </c>
      <c r="D316" s="226" t="s">
        <v>108</v>
      </c>
      <c r="E316" s="229" t="s">
        <v>46</v>
      </c>
      <c r="F316" s="288">
        <v>4931</v>
      </c>
      <c r="G316" s="288">
        <v>4931</v>
      </c>
      <c r="H316" s="288">
        <v>4931</v>
      </c>
      <c r="I316" s="288">
        <v>4931</v>
      </c>
      <c r="J316" s="414" t="s">
        <v>364</v>
      </c>
      <c r="K316" s="26" t="s">
        <v>257</v>
      </c>
      <c r="L316" s="26">
        <f t="shared" si="70"/>
        <v>13</v>
      </c>
      <c r="M316" s="97">
        <f t="shared" si="71"/>
        <v>0</v>
      </c>
      <c r="N316" s="97" t="str">
        <f t="shared" si="72"/>
        <v>Nye tiltak</v>
      </c>
      <c r="O316" s="97"/>
      <c r="P316" s="26"/>
    </row>
    <row r="317" spans="1:16" s="36" customFormat="1" ht="25.5" x14ac:dyDescent="0.25">
      <c r="A317" s="70" t="s">
        <v>8</v>
      </c>
      <c r="B317" s="76" t="str">
        <f t="shared" si="69"/>
        <v>F14</v>
      </c>
      <c r="C317" s="423" t="s">
        <v>365</v>
      </c>
      <c r="D317" s="226" t="s">
        <v>108</v>
      </c>
      <c r="E317" s="229" t="s">
        <v>46</v>
      </c>
      <c r="F317" s="288">
        <v>800</v>
      </c>
      <c r="G317" s="288">
        <v>800</v>
      </c>
      <c r="H317" s="288">
        <v>800</v>
      </c>
      <c r="I317" s="288">
        <v>800</v>
      </c>
      <c r="J317" s="414" t="s">
        <v>521</v>
      </c>
      <c r="K317" s="26" t="s">
        <v>257</v>
      </c>
      <c r="L317" s="26">
        <f t="shared" si="70"/>
        <v>14</v>
      </c>
      <c r="M317" s="97">
        <f t="shared" si="71"/>
        <v>0</v>
      </c>
      <c r="N317" s="97" t="str">
        <f t="shared" si="72"/>
        <v>Nye tiltak</v>
      </c>
      <c r="O317" s="97"/>
      <c r="P317" s="26"/>
    </row>
    <row r="318" spans="1:16" s="36" customFormat="1" ht="22.5" x14ac:dyDescent="0.25">
      <c r="A318" s="70" t="s">
        <v>8</v>
      </c>
      <c r="B318" s="76" t="str">
        <f t="shared" si="69"/>
        <v>F15</v>
      </c>
      <c r="C318" s="423" t="s">
        <v>367</v>
      </c>
      <c r="D318" s="226" t="s">
        <v>108</v>
      </c>
      <c r="E318" s="229" t="s">
        <v>46</v>
      </c>
      <c r="F318" s="288">
        <v>2000</v>
      </c>
      <c r="G318" s="288">
        <v>2000</v>
      </c>
      <c r="H318" s="288">
        <v>2000</v>
      </c>
      <c r="I318" s="288">
        <v>2000</v>
      </c>
      <c r="J318" s="414" t="s">
        <v>368</v>
      </c>
      <c r="K318" s="26" t="s">
        <v>257</v>
      </c>
      <c r="L318" s="26">
        <f t="shared" si="70"/>
        <v>15</v>
      </c>
      <c r="M318" s="97">
        <f t="shared" si="71"/>
        <v>0</v>
      </c>
      <c r="N318" s="97" t="str">
        <f t="shared" si="72"/>
        <v>Nye tiltak</v>
      </c>
      <c r="O318" s="97"/>
      <c r="P318" s="26"/>
    </row>
    <row r="319" spans="1:16" s="36" customFormat="1" ht="25.5" x14ac:dyDescent="0.25">
      <c r="A319" s="70" t="s">
        <v>8</v>
      </c>
      <c r="B319" s="76" t="str">
        <f t="shared" si="69"/>
        <v>F16</v>
      </c>
      <c r="C319" s="423" t="s">
        <v>369</v>
      </c>
      <c r="D319" s="226" t="s">
        <v>108</v>
      </c>
      <c r="E319" s="229" t="s">
        <v>46</v>
      </c>
      <c r="F319" s="288">
        <v>9100</v>
      </c>
      <c r="G319" s="288">
        <v>9100</v>
      </c>
      <c r="H319" s="288">
        <v>9100</v>
      </c>
      <c r="I319" s="288">
        <v>9100</v>
      </c>
      <c r="J319" s="414" t="s">
        <v>370</v>
      </c>
      <c r="K319" s="26" t="s">
        <v>257</v>
      </c>
      <c r="L319" s="26">
        <f t="shared" si="70"/>
        <v>16</v>
      </c>
      <c r="M319" s="97">
        <f t="shared" si="71"/>
        <v>0</v>
      </c>
      <c r="N319" s="97" t="str">
        <f t="shared" si="72"/>
        <v>Nye tiltak</v>
      </c>
      <c r="O319" s="97"/>
      <c r="P319" s="26"/>
    </row>
    <row r="320" spans="1:16" s="36" customFormat="1" ht="33.75" x14ac:dyDescent="0.25">
      <c r="A320" s="70" t="s">
        <v>8</v>
      </c>
      <c r="B320" s="76" t="str">
        <f t="shared" si="69"/>
        <v>F17</v>
      </c>
      <c r="C320" s="423" t="s">
        <v>371</v>
      </c>
      <c r="D320" s="226" t="s">
        <v>108</v>
      </c>
      <c r="E320" s="229" t="s">
        <v>46</v>
      </c>
      <c r="F320" s="288">
        <v>3760</v>
      </c>
      <c r="G320" s="288">
        <v>3760</v>
      </c>
      <c r="H320" s="288">
        <v>3760</v>
      </c>
      <c r="I320" s="288">
        <v>3760</v>
      </c>
      <c r="J320" s="414" t="s">
        <v>372</v>
      </c>
      <c r="K320" s="26" t="s">
        <v>257</v>
      </c>
      <c r="L320" s="26">
        <f t="shared" si="70"/>
        <v>17</v>
      </c>
      <c r="M320" s="97">
        <f t="shared" si="71"/>
        <v>0</v>
      </c>
      <c r="N320" s="97" t="str">
        <f t="shared" si="72"/>
        <v>Nye tiltak</v>
      </c>
      <c r="O320" s="97"/>
      <c r="P320" s="26"/>
    </row>
    <row r="321" spans="1:16" s="36" customFormat="1" ht="22.5" x14ac:dyDescent="0.25">
      <c r="A321" s="70" t="s">
        <v>8</v>
      </c>
      <c r="B321" s="76" t="str">
        <f t="shared" si="69"/>
        <v>F18</v>
      </c>
      <c r="C321" s="423" t="s">
        <v>373</v>
      </c>
      <c r="D321" s="226" t="s">
        <v>108</v>
      </c>
      <c r="E321" s="229" t="s">
        <v>277</v>
      </c>
      <c r="F321" s="288">
        <v>0</v>
      </c>
      <c r="G321" s="288">
        <v>0</v>
      </c>
      <c r="H321" s="288">
        <v>0</v>
      </c>
      <c r="I321" s="288">
        <v>0</v>
      </c>
      <c r="J321" s="414" t="s">
        <v>374</v>
      </c>
      <c r="K321" s="26" t="s">
        <v>257</v>
      </c>
      <c r="L321" s="26">
        <f t="shared" si="70"/>
        <v>18</v>
      </c>
      <c r="M321" s="97">
        <f t="shared" si="71"/>
        <v>0</v>
      </c>
      <c r="N321" s="97">
        <f t="shared" si="72"/>
        <v>0</v>
      </c>
      <c r="O321" s="97"/>
      <c r="P321" s="26"/>
    </row>
    <row r="322" spans="1:16" s="36" customFormat="1" ht="22.5" x14ac:dyDescent="0.25">
      <c r="A322" s="70" t="s">
        <v>8</v>
      </c>
      <c r="B322" s="76" t="str">
        <f t="shared" si="69"/>
        <v>F19</v>
      </c>
      <c r="C322" s="401" t="s">
        <v>522</v>
      </c>
      <c r="D322" s="402" t="s">
        <v>108</v>
      </c>
      <c r="E322" s="403"/>
      <c r="F322" s="253"/>
      <c r="G322" s="253"/>
      <c r="H322" s="253"/>
      <c r="I322" s="253"/>
      <c r="J322" s="424" t="s">
        <v>523</v>
      </c>
      <c r="K322" s="26" t="s">
        <v>257</v>
      </c>
      <c r="L322" s="26">
        <f t="shared" si="70"/>
        <v>19</v>
      </c>
      <c r="M322" s="97">
        <f t="shared" si="71"/>
        <v>0</v>
      </c>
      <c r="N322" s="97">
        <f t="shared" si="72"/>
        <v>0</v>
      </c>
      <c r="O322" s="97"/>
      <c r="P322" s="26"/>
    </row>
    <row r="323" spans="1:16" s="36" customFormat="1" x14ac:dyDescent="0.25">
      <c r="A323" s="70" t="s">
        <v>8</v>
      </c>
      <c r="B323" s="76" t="str">
        <f t="shared" si="65"/>
        <v>F20</v>
      </c>
      <c r="C323" s="82" t="s">
        <v>273</v>
      </c>
      <c r="D323" s="70" t="s">
        <v>108</v>
      </c>
      <c r="E323" s="69" t="s">
        <v>46</v>
      </c>
      <c r="F323" s="189">
        <v>1880</v>
      </c>
      <c r="G323" s="189">
        <v>1880</v>
      </c>
      <c r="H323" s="189">
        <v>1880</v>
      </c>
      <c r="I323" s="189">
        <v>1880</v>
      </c>
      <c r="J323" s="414" t="s">
        <v>274</v>
      </c>
      <c r="K323" s="26" t="s">
        <v>257</v>
      </c>
      <c r="L323" s="26">
        <f t="shared" si="70"/>
        <v>20</v>
      </c>
      <c r="M323" s="97">
        <f t="shared" si="71"/>
        <v>0</v>
      </c>
      <c r="N323" s="97" t="str">
        <f t="shared" si="72"/>
        <v>Nye tiltak</v>
      </c>
      <c r="O323" s="97"/>
      <c r="P323" s="26"/>
    </row>
    <row r="324" spans="1:16" s="36" customFormat="1" ht="25.5" x14ac:dyDescent="0.25">
      <c r="A324" s="70" t="s">
        <v>8</v>
      </c>
      <c r="B324" s="76" t="str">
        <f t="shared" si="65"/>
        <v>F21</v>
      </c>
      <c r="C324" s="82" t="s">
        <v>375</v>
      </c>
      <c r="D324" s="70" t="s">
        <v>108</v>
      </c>
      <c r="E324" s="69" t="s">
        <v>46</v>
      </c>
      <c r="F324" s="189">
        <v>-1880</v>
      </c>
      <c r="G324" s="189"/>
      <c r="H324" s="189"/>
      <c r="I324" s="189"/>
      <c r="J324" s="414" t="s">
        <v>276</v>
      </c>
      <c r="K324" s="26" t="s">
        <v>257</v>
      </c>
      <c r="L324" s="26">
        <f t="shared" si="70"/>
        <v>21</v>
      </c>
      <c r="M324" s="97">
        <f t="shared" si="71"/>
        <v>0</v>
      </c>
      <c r="N324" s="97" t="str">
        <f t="shared" si="72"/>
        <v>Nye tiltak</v>
      </c>
      <c r="O324" s="97"/>
      <c r="P324" s="26"/>
    </row>
    <row r="325" spans="1:16" s="36" customFormat="1" ht="22.5" x14ac:dyDescent="0.25">
      <c r="A325" s="70" t="s">
        <v>8</v>
      </c>
      <c r="B325" s="76" t="str">
        <f t="shared" si="65"/>
        <v>F22</v>
      </c>
      <c r="C325" s="82" t="s">
        <v>376</v>
      </c>
      <c r="D325" s="70" t="s">
        <v>108</v>
      </c>
      <c r="E325" s="69" t="s">
        <v>277</v>
      </c>
      <c r="F325" s="189"/>
      <c r="G325" s="189"/>
      <c r="H325" s="189"/>
      <c r="I325" s="189"/>
      <c r="J325" s="414" t="s">
        <v>461</v>
      </c>
      <c r="K325" s="26" t="s">
        <v>257</v>
      </c>
      <c r="L325" s="26">
        <f t="shared" si="70"/>
        <v>22</v>
      </c>
      <c r="M325" s="97">
        <f t="shared" si="71"/>
        <v>0</v>
      </c>
      <c r="N325" s="97">
        <f t="shared" si="72"/>
        <v>0</v>
      </c>
      <c r="O325" s="97"/>
      <c r="P325" s="26"/>
    </row>
    <row r="326" spans="1:16" s="36" customFormat="1" x14ac:dyDescent="0.25">
      <c r="A326" s="70" t="s">
        <v>8</v>
      </c>
      <c r="B326" s="76" t="str">
        <f t="shared" si="65"/>
        <v>F23</v>
      </c>
      <c r="C326" s="384" t="s">
        <v>279</v>
      </c>
      <c r="D326" s="70" t="s">
        <v>108</v>
      </c>
      <c r="E326" s="69" t="s">
        <v>46</v>
      </c>
      <c r="F326" s="189">
        <v>450</v>
      </c>
      <c r="G326" s="189">
        <v>450</v>
      </c>
      <c r="H326" s="189">
        <v>450</v>
      </c>
      <c r="I326" s="189">
        <v>450</v>
      </c>
      <c r="J326" s="414" t="s">
        <v>280</v>
      </c>
      <c r="K326" s="26" t="s">
        <v>257</v>
      </c>
      <c r="L326" s="26">
        <f t="shared" si="70"/>
        <v>23</v>
      </c>
      <c r="M326" s="97"/>
      <c r="N326" s="97"/>
      <c r="O326" s="97"/>
      <c r="P326" s="26"/>
    </row>
    <row r="327" spans="1:16" s="36" customFormat="1" ht="23.25" customHeight="1" x14ac:dyDescent="0.25">
      <c r="A327" s="70" t="s">
        <v>8</v>
      </c>
      <c r="B327" s="76" t="str">
        <f t="shared" si="65"/>
        <v>F24</v>
      </c>
      <c r="C327" s="82" t="s">
        <v>281</v>
      </c>
      <c r="D327" s="70" t="s">
        <v>108</v>
      </c>
      <c r="E327" s="69" t="s">
        <v>46</v>
      </c>
      <c r="F327" s="253">
        <v>1030</v>
      </c>
      <c r="G327" s="253">
        <v>1030</v>
      </c>
      <c r="H327" s="253">
        <v>1030</v>
      </c>
      <c r="I327" s="253">
        <v>1030</v>
      </c>
      <c r="J327" s="414" t="s">
        <v>462</v>
      </c>
      <c r="K327" s="26" t="s">
        <v>257</v>
      </c>
      <c r="L327" s="26">
        <f t="shared" si="70"/>
        <v>24</v>
      </c>
      <c r="M327" s="97"/>
      <c r="N327" s="97"/>
      <c r="O327" s="97"/>
      <c r="P327" s="26"/>
    </row>
    <row r="328" spans="1:16" s="36" customFormat="1" x14ac:dyDescent="0.25">
      <c r="A328" s="70" t="s">
        <v>8</v>
      </c>
      <c r="B328" s="76" t="str">
        <f t="shared" si="65"/>
        <v>F25</v>
      </c>
      <c r="C328" s="82" t="s">
        <v>283</v>
      </c>
      <c r="D328" s="70" t="s">
        <v>108</v>
      </c>
      <c r="E328" s="69" t="s">
        <v>46</v>
      </c>
      <c r="F328" s="253"/>
      <c r="G328" s="253"/>
      <c r="H328" s="253"/>
      <c r="I328" s="253"/>
      <c r="J328" s="414" t="s">
        <v>463</v>
      </c>
      <c r="K328" s="26" t="s">
        <v>257</v>
      </c>
      <c r="L328" s="26">
        <f t="shared" si="70"/>
        <v>25</v>
      </c>
      <c r="M328" s="97"/>
      <c r="N328" s="97"/>
      <c r="O328" s="97"/>
      <c r="P328" s="26"/>
    </row>
    <row r="329" spans="1:16" s="36" customFormat="1" x14ac:dyDescent="0.25">
      <c r="A329" s="70" t="s">
        <v>8</v>
      </c>
      <c r="B329" s="76" t="str">
        <f t="shared" si="65"/>
        <v>F26</v>
      </c>
      <c r="C329" s="82" t="s">
        <v>285</v>
      </c>
      <c r="D329" s="70" t="s">
        <v>108</v>
      </c>
      <c r="E329" s="69" t="s">
        <v>46</v>
      </c>
      <c r="F329" s="253"/>
      <c r="G329" s="253"/>
      <c r="H329" s="253"/>
      <c r="I329" s="253"/>
      <c r="J329" s="414" t="s">
        <v>464</v>
      </c>
      <c r="K329" s="26" t="s">
        <v>257</v>
      </c>
      <c r="L329" s="26">
        <f t="shared" si="70"/>
        <v>26</v>
      </c>
      <c r="M329" s="97">
        <f>IF(E329="VEDTATT","VEDTATT",0)</f>
        <v>0</v>
      </c>
      <c r="N329" s="97" t="str">
        <f>IF(E329="MÅ","Nye tiltak",0)</f>
        <v>Nye tiltak</v>
      </c>
      <c r="O329" s="97"/>
      <c r="P329" s="26"/>
    </row>
    <row r="330" spans="1:16" s="36" customFormat="1" x14ac:dyDescent="0.25">
      <c r="A330" s="70"/>
      <c r="B330" s="76" t="str">
        <f t="shared" si="65"/>
        <v/>
      </c>
      <c r="C330" s="80" t="s">
        <v>287</v>
      </c>
      <c r="D330" s="81"/>
      <c r="E330" s="69"/>
      <c r="F330" s="4">
        <f>F305</f>
        <v>2022</v>
      </c>
      <c r="G330" s="4">
        <f>F330+1</f>
        <v>2023</v>
      </c>
      <c r="H330" s="4">
        <f>G330+1</f>
        <v>2024</v>
      </c>
      <c r="I330" s="4">
        <f>H330+1</f>
        <v>2025</v>
      </c>
      <c r="J330" s="412"/>
      <c r="K330" s="335"/>
      <c r="L330" s="335"/>
      <c r="M330" s="97"/>
      <c r="N330" s="97"/>
      <c r="O330" s="97"/>
      <c r="P330" s="26"/>
    </row>
    <row r="331" spans="1:16" s="36" customFormat="1" x14ac:dyDescent="0.25">
      <c r="A331" s="70" t="s">
        <v>8</v>
      </c>
      <c r="B331" s="76" t="str">
        <f t="shared" si="65"/>
        <v>F27</v>
      </c>
      <c r="C331" s="36" t="s">
        <v>288</v>
      </c>
      <c r="D331" s="70" t="s">
        <v>105</v>
      </c>
      <c r="E331" s="69" t="s">
        <v>98</v>
      </c>
      <c r="F331" s="68"/>
      <c r="G331" s="253">
        <v>2430</v>
      </c>
      <c r="H331" s="189"/>
      <c r="I331" s="189">
        <v>0</v>
      </c>
      <c r="J331" s="412"/>
      <c r="K331" s="26" t="s">
        <v>257</v>
      </c>
      <c r="L331" s="26">
        <f>L329+1</f>
        <v>27</v>
      </c>
      <c r="M331" s="97" t="str">
        <f>IF(E331="VEDTATT","VEDTATT",0)</f>
        <v>VEDTATT</v>
      </c>
      <c r="N331" s="97">
        <f>IF(E331="MÅ","Nye tiltak",0)</f>
        <v>0</v>
      </c>
      <c r="O331" s="97"/>
      <c r="P331" s="26"/>
    </row>
    <row r="332" spans="1:16" s="36" customFormat="1" ht="30" x14ac:dyDescent="0.25">
      <c r="A332" s="70" t="s">
        <v>8</v>
      </c>
      <c r="B332" s="76" t="str">
        <f t="shared" si="65"/>
        <v>F28</v>
      </c>
      <c r="C332" s="293" t="s">
        <v>377</v>
      </c>
      <c r="D332" s="70" t="s">
        <v>105</v>
      </c>
      <c r="E332" s="69" t="s">
        <v>98</v>
      </c>
      <c r="F332" s="68"/>
      <c r="G332" s="253">
        <v>400</v>
      </c>
      <c r="H332" s="189"/>
      <c r="I332" s="189">
        <v>0</v>
      </c>
      <c r="J332" s="412"/>
      <c r="K332" s="26" t="s">
        <v>257</v>
      </c>
      <c r="L332" s="26">
        <f t="shared" ref="L332:L335" si="73">+L331+1</f>
        <v>28</v>
      </c>
      <c r="M332" s="97" t="str">
        <f>IF(E332="VEDTATT","VEDTATT",0)</f>
        <v>VEDTATT</v>
      </c>
      <c r="N332" s="97">
        <f>IF(E332="MÅ","Nye tiltak",0)</f>
        <v>0</v>
      </c>
      <c r="O332" s="97"/>
      <c r="P332" s="26"/>
    </row>
    <row r="333" spans="1:16" s="36" customFormat="1" x14ac:dyDescent="0.25">
      <c r="A333" s="70" t="s">
        <v>8</v>
      </c>
      <c r="B333" s="76" t="str">
        <f t="shared" si="65"/>
        <v>F29</v>
      </c>
      <c r="C333" s="36" t="s">
        <v>290</v>
      </c>
      <c r="D333" s="70" t="s">
        <v>105</v>
      </c>
      <c r="E333" s="69" t="s">
        <v>98</v>
      </c>
      <c r="F333" s="68"/>
      <c r="G333" s="253">
        <v>300</v>
      </c>
      <c r="H333" s="189"/>
      <c r="I333" s="189">
        <v>0</v>
      </c>
      <c r="J333" s="412"/>
      <c r="K333" s="26" t="s">
        <v>257</v>
      </c>
      <c r="L333" s="26">
        <f t="shared" si="73"/>
        <v>29</v>
      </c>
      <c r="M333" s="97" t="str">
        <f>IF(E333="VEDTATT","VEDTATT",0)</f>
        <v>VEDTATT</v>
      </c>
      <c r="N333" s="97">
        <f>IF(E333="MÅ","Nye tiltak",0)</f>
        <v>0</v>
      </c>
      <c r="O333" s="97"/>
      <c r="P333" s="26"/>
    </row>
    <row r="334" spans="1:16" s="36" customFormat="1" x14ac:dyDescent="0.25">
      <c r="A334" s="70" t="s">
        <v>8</v>
      </c>
      <c r="B334" s="76" t="str">
        <f t="shared" si="65"/>
        <v>F30</v>
      </c>
      <c r="C334" s="36" t="s">
        <v>291</v>
      </c>
      <c r="D334" s="70" t="s">
        <v>105</v>
      </c>
      <c r="E334" s="69" t="s">
        <v>98</v>
      </c>
      <c r="F334" s="68"/>
      <c r="G334" s="253">
        <v>200</v>
      </c>
      <c r="H334" s="189"/>
      <c r="I334" s="189">
        <v>0</v>
      </c>
      <c r="J334" s="412"/>
      <c r="K334" s="26" t="s">
        <v>257</v>
      </c>
      <c r="L334" s="26">
        <f t="shared" si="73"/>
        <v>30</v>
      </c>
      <c r="M334" s="97" t="str">
        <f>IF(E334="VEDTATT","VEDTATT",0)</f>
        <v>VEDTATT</v>
      </c>
      <c r="N334" s="97">
        <f>IF(E334="MÅ","Nye tiltak",0)</f>
        <v>0</v>
      </c>
      <c r="O334" s="97"/>
      <c r="P334" s="26"/>
    </row>
    <row r="335" spans="1:16" s="36" customFormat="1" x14ac:dyDescent="0.25">
      <c r="A335" s="70" t="s">
        <v>8</v>
      </c>
      <c r="B335" s="76" t="str">
        <f t="shared" si="65"/>
        <v>F31</v>
      </c>
      <c r="C335" s="36" t="s">
        <v>292</v>
      </c>
      <c r="D335" s="77" t="s">
        <v>105</v>
      </c>
      <c r="E335" s="69" t="s">
        <v>98</v>
      </c>
      <c r="F335" s="189"/>
      <c r="G335" s="189">
        <v>-2000</v>
      </c>
      <c r="H335" s="189">
        <v>-2000</v>
      </c>
      <c r="I335" s="189">
        <v>-2000</v>
      </c>
      <c r="J335" s="412" t="s">
        <v>293</v>
      </c>
      <c r="K335" s="26" t="s">
        <v>257</v>
      </c>
      <c r="L335" s="26">
        <f t="shared" si="73"/>
        <v>31</v>
      </c>
      <c r="M335" s="97" t="str">
        <f>IF(E335="VEDTATT","VEDTATT",0)</f>
        <v>VEDTATT</v>
      </c>
      <c r="N335" s="97">
        <f>IF(E335="MÅ","Nye tiltak",0)</f>
        <v>0</v>
      </c>
      <c r="O335" s="97"/>
      <c r="P335" s="26"/>
    </row>
    <row r="336" spans="1:16" s="36" customFormat="1" x14ac:dyDescent="0.25">
      <c r="A336" s="70" t="s">
        <v>8</v>
      </c>
      <c r="B336" s="76" t="str">
        <f>IF(L336,K336&amp;L336,"")</f>
        <v>F32</v>
      </c>
      <c r="C336" s="36" t="s">
        <v>288</v>
      </c>
      <c r="D336" s="77" t="s">
        <v>108</v>
      </c>
      <c r="E336" s="69" t="s">
        <v>46</v>
      </c>
      <c r="F336" s="189"/>
      <c r="G336" s="189"/>
      <c r="H336" s="189"/>
      <c r="I336" s="253">
        <v>2430</v>
      </c>
      <c r="J336" s="412"/>
      <c r="K336" s="26" t="s">
        <v>257</v>
      </c>
      <c r="L336" s="26">
        <f t="shared" ref="L336:L341" si="74">+L335+1</f>
        <v>32</v>
      </c>
      <c r="M336" s="97"/>
      <c r="N336" s="97"/>
      <c r="O336" s="97"/>
      <c r="P336" s="26"/>
    </row>
    <row r="337" spans="1:16" s="36" customFormat="1" x14ac:dyDescent="0.25">
      <c r="A337" s="70" t="s">
        <v>8</v>
      </c>
      <c r="B337" s="76" t="str">
        <f>IF(L337,K337&amp;L337,"")</f>
        <v>F33</v>
      </c>
      <c r="C337" s="36" t="s">
        <v>378</v>
      </c>
      <c r="D337" s="77" t="s">
        <v>108</v>
      </c>
      <c r="E337" s="69" t="s">
        <v>46</v>
      </c>
      <c r="F337" s="189"/>
      <c r="G337" s="189"/>
      <c r="H337" s="189"/>
      <c r="I337" s="253">
        <v>400</v>
      </c>
      <c r="J337" s="412"/>
      <c r="K337" s="26" t="s">
        <v>257</v>
      </c>
      <c r="L337" s="26">
        <f t="shared" si="74"/>
        <v>33</v>
      </c>
      <c r="M337" s="97"/>
      <c r="N337" s="97"/>
      <c r="O337" s="97"/>
      <c r="P337" s="26"/>
    </row>
    <row r="338" spans="1:16" s="36" customFormat="1" x14ac:dyDescent="0.25">
      <c r="A338" s="70" t="s">
        <v>8</v>
      </c>
      <c r="B338" s="76" t="str">
        <f>IF(L338,K338&amp;L338,"")</f>
        <v>F34</v>
      </c>
      <c r="C338" s="36" t="s">
        <v>294</v>
      </c>
      <c r="D338" s="77" t="s">
        <v>108</v>
      </c>
      <c r="E338" s="69" t="s">
        <v>46</v>
      </c>
      <c r="F338" s="189"/>
      <c r="G338" s="189">
        <v>400</v>
      </c>
      <c r="H338" s="189"/>
      <c r="I338" s="189">
        <v>400</v>
      </c>
      <c r="J338" s="412"/>
      <c r="K338" s="26" t="s">
        <v>257</v>
      </c>
      <c r="L338" s="26">
        <f t="shared" si="74"/>
        <v>34</v>
      </c>
      <c r="M338" s="97"/>
      <c r="N338" s="97"/>
      <c r="O338" s="97"/>
      <c r="P338" s="26"/>
    </row>
    <row r="339" spans="1:16" s="36" customFormat="1" x14ac:dyDescent="0.25">
      <c r="A339" s="70" t="s">
        <v>8</v>
      </c>
      <c r="B339" s="76" t="str">
        <f t="shared" si="65"/>
        <v>F35</v>
      </c>
      <c r="C339" s="36" t="s">
        <v>295</v>
      </c>
      <c r="D339" s="77" t="s">
        <v>108</v>
      </c>
      <c r="E339" s="69" t="s">
        <v>46</v>
      </c>
      <c r="F339" s="189"/>
      <c r="G339" s="189">
        <v>300</v>
      </c>
      <c r="H339" s="189"/>
      <c r="I339" s="189">
        <v>300</v>
      </c>
      <c r="J339" s="412"/>
      <c r="K339" s="26" t="s">
        <v>257</v>
      </c>
      <c r="L339" s="26">
        <f t="shared" si="74"/>
        <v>35</v>
      </c>
      <c r="M339" s="97">
        <f>IF(E339="VEDTATT","VEDTATT",0)</f>
        <v>0</v>
      </c>
      <c r="N339" s="97" t="str">
        <f>IF(E339="MÅ","Nye tiltak",0)</f>
        <v>Nye tiltak</v>
      </c>
      <c r="O339" s="97"/>
      <c r="P339" s="26"/>
    </row>
    <row r="340" spans="1:16" s="36" customFormat="1" x14ac:dyDescent="0.25">
      <c r="A340" s="70" t="s">
        <v>8</v>
      </c>
      <c r="B340" s="76" t="str">
        <f>IF(L340,K340&amp;L340,"")</f>
        <v>F36</v>
      </c>
      <c r="C340" s="291" t="s">
        <v>379</v>
      </c>
      <c r="D340" s="77" t="s">
        <v>108</v>
      </c>
      <c r="E340" s="69" t="s">
        <v>46</v>
      </c>
      <c r="F340" s="189">
        <v>50</v>
      </c>
      <c r="G340" s="189">
        <v>50</v>
      </c>
      <c r="H340" s="189">
        <v>50</v>
      </c>
      <c r="I340" s="189">
        <v>50</v>
      </c>
      <c r="J340" s="412"/>
      <c r="K340" s="26" t="s">
        <v>257</v>
      </c>
      <c r="L340" s="26">
        <f t="shared" si="74"/>
        <v>36</v>
      </c>
      <c r="M340" s="97"/>
      <c r="N340" s="97"/>
      <c r="O340" s="97"/>
      <c r="P340" s="26"/>
    </row>
    <row r="341" spans="1:16" s="36" customFormat="1" x14ac:dyDescent="0.25">
      <c r="A341" s="70" t="s">
        <v>8</v>
      </c>
      <c r="B341" s="76" t="str">
        <f t="shared" si="65"/>
        <v>F37</v>
      </c>
      <c r="C341" s="291" t="s">
        <v>297</v>
      </c>
      <c r="D341" s="77" t="s">
        <v>108</v>
      </c>
      <c r="E341" s="229">
        <v>1</v>
      </c>
      <c r="F341" s="253"/>
      <c r="G341" s="253"/>
      <c r="H341" s="253">
        <v>1000</v>
      </c>
      <c r="I341" s="253"/>
      <c r="J341" s="412"/>
      <c r="K341" s="26" t="s">
        <v>257</v>
      </c>
      <c r="L341" s="26">
        <f t="shared" si="74"/>
        <v>37</v>
      </c>
      <c r="M341" s="97"/>
      <c r="N341" s="97"/>
      <c r="O341" s="97"/>
      <c r="P341" s="26"/>
    </row>
    <row r="342" spans="1:16" s="36" customFormat="1" x14ac:dyDescent="0.25">
      <c r="A342" s="70"/>
      <c r="B342" s="76" t="str">
        <f t="shared" si="65"/>
        <v/>
      </c>
      <c r="C342" s="80" t="s">
        <v>298</v>
      </c>
      <c r="D342" s="386"/>
      <c r="E342" s="69"/>
      <c r="F342" s="387"/>
      <c r="G342" s="387"/>
      <c r="H342" s="387"/>
      <c r="I342" s="387"/>
      <c r="J342" s="412"/>
      <c r="M342" s="97"/>
      <c r="N342" s="97"/>
      <c r="O342" s="97"/>
      <c r="P342" s="26"/>
    </row>
    <row r="343" spans="1:16" s="36" customFormat="1" x14ac:dyDescent="0.25">
      <c r="A343" s="70" t="s">
        <v>8</v>
      </c>
      <c r="B343" s="76" t="str">
        <f t="shared" si="65"/>
        <v>F38</v>
      </c>
      <c r="C343" s="82" t="s">
        <v>299</v>
      </c>
      <c r="D343" s="70" t="s">
        <v>97</v>
      </c>
      <c r="E343" s="69" t="s">
        <v>98</v>
      </c>
      <c r="F343" s="88">
        <f>-28060+7591+2600</f>
        <v>-17869</v>
      </c>
      <c r="G343" s="88">
        <f t="shared" ref="G343:I343" si="75">-28060+7591</f>
        <v>-20469</v>
      </c>
      <c r="H343" s="88">
        <f t="shared" si="75"/>
        <v>-20469</v>
      </c>
      <c r="I343" s="88">
        <f t="shared" si="75"/>
        <v>-20469</v>
      </c>
      <c r="J343" s="417" t="s">
        <v>308</v>
      </c>
      <c r="K343" s="26" t="s">
        <v>257</v>
      </c>
      <c r="L343" s="26">
        <f>L341+1</f>
        <v>38</v>
      </c>
      <c r="M343" s="97" t="str">
        <f>IF(E343="VEDTATT","VEDTATT",0)</f>
        <v>VEDTATT</v>
      </c>
      <c r="N343" s="97">
        <f>IF(E343="MÅ","Nye tiltak",0)</f>
        <v>0</v>
      </c>
      <c r="O343" s="97"/>
      <c r="P343" s="26"/>
    </row>
    <row r="344" spans="1:16" s="36" customFormat="1" x14ac:dyDescent="0.25">
      <c r="A344" s="70" t="s">
        <v>8</v>
      </c>
      <c r="B344" s="76" t="str">
        <f t="shared" si="65"/>
        <v>F39</v>
      </c>
      <c r="C344" s="82" t="s">
        <v>301</v>
      </c>
      <c r="D344" s="70" t="s">
        <v>97</v>
      </c>
      <c r="E344" s="69" t="s">
        <v>98</v>
      </c>
      <c r="F344" s="72">
        <v>-3730</v>
      </c>
      <c r="G344" s="72">
        <v>-3730</v>
      </c>
      <c r="H344" s="72">
        <v>-3730</v>
      </c>
      <c r="I344" s="72">
        <v>-3730</v>
      </c>
      <c r="J344" s="417" t="s">
        <v>308</v>
      </c>
      <c r="K344" s="26" t="s">
        <v>257</v>
      </c>
      <c r="L344" s="26">
        <f t="shared" ref="L344:L355" si="76">+L343+1</f>
        <v>39</v>
      </c>
      <c r="M344" s="97" t="str">
        <f>IF(E344="VEDTATT","VEDTATT",0)</f>
        <v>VEDTATT</v>
      </c>
      <c r="N344" s="97">
        <f>IF(E344="MÅ","Nye tiltak",0)</f>
        <v>0</v>
      </c>
      <c r="O344" s="97"/>
      <c r="P344" s="26"/>
    </row>
    <row r="345" spans="1:16" s="36" customFormat="1" x14ac:dyDescent="0.25">
      <c r="A345" s="70" t="s">
        <v>8</v>
      </c>
      <c r="B345" s="76" t="str">
        <f t="shared" si="65"/>
        <v>F40</v>
      </c>
      <c r="C345" s="82" t="s">
        <v>380</v>
      </c>
      <c r="D345" s="70" t="s">
        <v>97</v>
      </c>
      <c r="E345" s="69" t="s">
        <v>98</v>
      </c>
      <c r="F345" s="88">
        <v>-3500</v>
      </c>
      <c r="G345" s="88">
        <v>-3500</v>
      </c>
      <c r="H345" s="88">
        <v>-3500</v>
      </c>
      <c r="I345" s="88">
        <v>-3500</v>
      </c>
      <c r="J345" s="417" t="s">
        <v>308</v>
      </c>
      <c r="K345" s="26" t="s">
        <v>257</v>
      </c>
      <c r="L345" s="26">
        <f t="shared" si="76"/>
        <v>40</v>
      </c>
      <c r="M345" s="97" t="str">
        <f>IF(E345="VEDTATT","VEDTATT",0)</f>
        <v>VEDTATT</v>
      </c>
      <c r="N345" s="97">
        <f>IF(E345="MÅ","Nye tiltak",0)</f>
        <v>0</v>
      </c>
      <c r="O345" s="97"/>
      <c r="P345" s="26"/>
    </row>
    <row r="346" spans="1:16" s="36" customFormat="1" x14ac:dyDescent="0.25">
      <c r="A346" s="70" t="s">
        <v>8</v>
      </c>
      <c r="B346" s="76" t="str">
        <f t="shared" si="65"/>
        <v>F41</v>
      </c>
      <c r="C346" s="82" t="s">
        <v>304</v>
      </c>
      <c r="D346" s="70" t="s">
        <v>97</v>
      </c>
      <c r="E346" s="69" t="s">
        <v>98</v>
      </c>
      <c r="F346" s="88">
        <v>-4420</v>
      </c>
      <c r="G346" s="88">
        <v>-4420</v>
      </c>
      <c r="H346" s="88">
        <v>-4420</v>
      </c>
      <c r="I346" s="88">
        <v>-4420</v>
      </c>
      <c r="J346" s="417" t="s">
        <v>308</v>
      </c>
      <c r="K346" s="26" t="s">
        <v>257</v>
      </c>
      <c r="L346" s="26">
        <f t="shared" si="76"/>
        <v>41</v>
      </c>
      <c r="M346" s="97" t="str">
        <f>IF(E346="VEDTATT","VEDTATT",0)</f>
        <v>VEDTATT</v>
      </c>
      <c r="N346" s="97">
        <f>IF(E346="MÅ","Nye tiltak",0)</f>
        <v>0</v>
      </c>
      <c r="O346" s="97"/>
      <c r="P346" s="26"/>
    </row>
    <row r="347" spans="1:16" s="36" customFormat="1" x14ac:dyDescent="0.25">
      <c r="A347" s="70" t="s">
        <v>8</v>
      </c>
      <c r="B347" s="76" t="str">
        <f t="shared" si="65"/>
        <v>F42</v>
      </c>
      <c r="C347" s="82" t="s">
        <v>381</v>
      </c>
      <c r="D347" s="70" t="s">
        <v>97</v>
      </c>
      <c r="E347" s="59" t="s">
        <v>98</v>
      </c>
      <c r="F347" s="88">
        <f>26970-2600</f>
        <v>24370</v>
      </c>
      <c r="G347" s="88">
        <v>26970</v>
      </c>
      <c r="H347" s="88">
        <v>26970</v>
      </c>
      <c r="I347" s="88">
        <v>26970</v>
      </c>
      <c r="J347" s="417" t="s">
        <v>308</v>
      </c>
      <c r="K347" s="26" t="s">
        <v>257</v>
      </c>
      <c r="L347" s="26">
        <f t="shared" si="76"/>
        <v>42</v>
      </c>
      <c r="M347" s="97"/>
      <c r="N347" s="97"/>
      <c r="O347" s="97"/>
      <c r="P347" s="26"/>
    </row>
    <row r="348" spans="1:16" s="36" customFormat="1" x14ac:dyDescent="0.25">
      <c r="A348" s="70" t="s">
        <v>8</v>
      </c>
      <c r="B348" s="76" t="str">
        <f t="shared" si="65"/>
        <v>F43</v>
      </c>
      <c r="C348" s="82" t="s">
        <v>382</v>
      </c>
      <c r="D348" s="70" t="s">
        <v>97</v>
      </c>
      <c r="E348" s="69" t="s">
        <v>98</v>
      </c>
      <c r="F348" s="88">
        <v>-24370</v>
      </c>
      <c r="G348" s="88">
        <v>-26970</v>
      </c>
      <c r="H348" s="88">
        <v>-26970</v>
      </c>
      <c r="I348" s="88">
        <v>-26970</v>
      </c>
      <c r="J348" s="417" t="s">
        <v>308</v>
      </c>
      <c r="K348" s="26" t="s">
        <v>257</v>
      </c>
      <c r="L348" s="26">
        <f t="shared" si="76"/>
        <v>43</v>
      </c>
      <c r="M348" s="97"/>
      <c r="N348" s="97"/>
      <c r="O348" s="97"/>
      <c r="P348" s="26"/>
    </row>
    <row r="349" spans="1:16" s="36" customFormat="1" x14ac:dyDescent="0.25">
      <c r="A349" s="70" t="s">
        <v>8</v>
      </c>
      <c r="B349" s="76" t="str">
        <f t="shared" si="65"/>
        <v>F44</v>
      </c>
      <c r="C349" s="82" t="s">
        <v>304</v>
      </c>
      <c r="D349" s="70" t="s">
        <v>97</v>
      </c>
      <c r="E349" s="69" t="s">
        <v>98</v>
      </c>
      <c r="F349" s="88">
        <v>4420</v>
      </c>
      <c r="G349" s="88">
        <v>4420</v>
      </c>
      <c r="H349" s="88">
        <v>4420</v>
      </c>
      <c r="I349" s="88">
        <v>4420</v>
      </c>
      <c r="J349" s="417" t="s">
        <v>308</v>
      </c>
      <c r="K349" s="26" t="s">
        <v>257</v>
      </c>
      <c r="L349" s="26">
        <f t="shared" si="76"/>
        <v>44</v>
      </c>
      <c r="M349" s="97"/>
      <c r="N349" s="97"/>
      <c r="O349" s="97"/>
      <c r="P349" s="26"/>
    </row>
    <row r="350" spans="1:16" s="36" customFormat="1" ht="25.5" x14ac:dyDescent="0.25">
      <c r="A350" s="70" t="s">
        <v>8</v>
      </c>
      <c r="B350" s="76" t="str">
        <f t="shared" si="65"/>
        <v>F45</v>
      </c>
      <c r="C350" s="82" t="s">
        <v>309</v>
      </c>
      <c r="D350" s="70" t="s">
        <v>97</v>
      </c>
      <c r="E350" s="69" t="s">
        <v>98</v>
      </c>
      <c r="F350" s="88">
        <v>600</v>
      </c>
      <c r="G350" s="88">
        <v>600</v>
      </c>
      <c r="H350" s="88">
        <v>600</v>
      </c>
      <c r="I350" s="88">
        <v>600</v>
      </c>
      <c r="J350" s="417" t="s">
        <v>308</v>
      </c>
      <c r="K350" s="26" t="s">
        <v>257</v>
      </c>
      <c r="L350" s="26">
        <f t="shared" si="76"/>
        <v>45</v>
      </c>
      <c r="M350" s="97"/>
      <c r="N350" s="97"/>
      <c r="O350" s="97"/>
      <c r="P350" s="26"/>
    </row>
    <row r="351" spans="1:16" s="36" customFormat="1" x14ac:dyDescent="0.25">
      <c r="A351" s="70" t="s">
        <v>8</v>
      </c>
      <c r="B351" s="76" t="str">
        <f t="shared" si="65"/>
        <v>F46</v>
      </c>
      <c r="C351" s="82" t="s">
        <v>524</v>
      </c>
      <c r="D351" s="70" t="s">
        <v>108</v>
      </c>
      <c r="E351" s="69" t="s">
        <v>46</v>
      </c>
      <c r="F351" s="88">
        <v>-2978</v>
      </c>
      <c r="G351" s="88">
        <v>-2978</v>
      </c>
      <c r="H351" s="88">
        <v>-2978</v>
      </c>
      <c r="I351" s="88">
        <v>-2978</v>
      </c>
      <c r="J351" s="417" t="s">
        <v>525</v>
      </c>
      <c r="K351" s="26" t="s">
        <v>257</v>
      </c>
      <c r="L351" s="26">
        <f t="shared" si="76"/>
        <v>46</v>
      </c>
      <c r="M351" s="97"/>
      <c r="N351" s="97"/>
      <c r="O351" s="97"/>
      <c r="P351" s="26"/>
    </row>
    <row r="352" spans="1:16" s="36" customFormat="1" x14ac:dyDescent="0.25">
      <c r="A352" s="70" t="s">
        <v>8</v>
      </c>
      <c r="B352" s="76" t="str">
        <f t="shared" si="65"/>
        <v>F47</v>
      </c>
      <c r="C352" s="82" t="s">
        <v>472</v>
      </c>
      <c r="D352" s="70" t="s">
        <v>108</v>
      </c>
      <c r="E352" s="69" t="s">
        <v>46</v>
      </c>
      <c r="F352" s="88">
        <v>-4176</v>
      </c>
      <c r="G352" s="88">
        <v>-4176</v>
      </c>
      <c r="H352" s="88">
        <v>-4176</v>
      </c>
      <c r="I352" s="88">
        <v>-4176</v>
      </c>
      <c r="J352" s="417" t="s">
        <v>525</v>
      </c>
      <c r="K352" s="26" t="s">
        <v>257</v>
      </c>
      <c r="L352" s="26">
        <f t="shared" si="76"/>
        <v>47</v>
      </c>
      <c r="M352" s="97"/>
      <c r="N352" s="97"/>
      <c r="O352" s="97"/>
      <c r="P352" s="26"/>
    </row>
    <row r="353" spans="1:16" s="36" customFormat="1" x14ac:dyDescent="0.25">
      <c r="A353" s="70" t="s">
        <v>8</v>
      </c>
      <c r="B353" s="76" t="str">
        <f>IF(L353,K353&amp;L353,"")</f>
        <v>F48</v>
      </c>
      <c r="C353" s="396" t="s">
        <v>468</v>
      </c>
      <c r="D353" s="77" t="s">
        <v>108</v>
      </c>
      <c r="E353" s="229">
        <v>2</v>
      </c>
      <c r="F353" s="88">
        <v>5900</v>
      </c>
      <c r="G353" s="88">
        <f>+F353</f>
        <v>5900</v>
      </c>
      <c r="H353" s="88">
        <f t="shared" ref="H353:I353" si="77">+G353</f>
        <v>5900</v>
      </c>
      <c r="I353" s="88">
        <f t="shared" si="77"/>
        <v>5900</v>
      </c>
      <c r="J353" s="417" t="s">
        <v>308</v>
      </c>
      <c r="K353" s="26" t="s">
        <v>257</v>
      </c>
      <c r="L353" s="26">
        <f t="shared" si="76"/>
        <v>48</v>
      </c>
      <c r="M353" s="97"/>
      <c r="N353" s="97"/>
      <c r="O353" s="97"/>
      <c r="P353" s="26"/>
    </row>
    <row r="354" spans="1:16" s="36" customFormat="1" x14ac:dyDescent="0.25">
      <c r="A354" s="70" t="s">
        <v>8</v>
      </c>
      <c r="B354" s="76" t="str">
        <f>IF(L354,K354&amp;L354,"")</f>
        <v>F49</v>
      </c>
      <c r="C354" s="82" t="s">
        <v>470</v>
      </c>
      <c r="D354" s="70" t="s">
        <v>108</v>
      </c>
      <c r="E354" s="229">
        <v>1</v>
      </c>
      <c r="F354" s="418">
        <v>55500</v>
      </c>
      <c r="G354" s="418">
        <v>55500</v>
      </c>
      <c r="H354" s="418">
        <v>55500</v>
      </c>
      <c r="I354" s="418">
        <v>55500</v>
      </c>
      <c r="J354" s="412"/>
      <c r="K354" s="26" t="s">
        <v>257</v>
      </c>
      <c r="L354" s="26">
        <f t="shared" si="76"/>
        <v>49</v>
      </c>
      <c r="M354" s="97"/>
      <c r="N354" s="97"/>
      <c r="O354" s="97"/>
      <c r="P354" s="26"/>
    </row>
    <row r="355" spans="1:16" s="36" customFormat="1" x14ac:dyDescent="0.25">
      <c r="A355" s="70" t="s">
        <v>8</v>
      </c>
      <c r="B355" s="76" t="str">
        <f>IF(L355,K355&amp;L355,"")</f>
        <v>F50</v>
      </c>
      <c r="C355" s="82"/>
      <c r="D355" s="70"/>
      <c r="E355" s="69"/>
      <c r="F355" s="88"/>
      <c r="G355" s="88"/>
      <c r="H355" s="88"/>
      <c r="I355" s="88"/>
      <c r="J355" s="412"/>
      <c r="K355" s="26" t="s">
        <v>257</v>
      </c>
      <c r="L355" s="26">
        <f t="shared" si="76"/>
        <v>50</v>
      </c>
      <c r="M355" s="97">
        <f>IF(E355="VEDTATT","VEDTATT",0)</f>
        <v>0</v>
      </c>
      <c r="N355" s="97">
        <f>IF(E355="MÅ","Nye tiltak",0)</f>
        <v>0</v>
      </c>
      <c r="O355" s="97"/>
      <c r="P355" s="26"/>
    </row>
    <row r="356" spans="1:16" s="36" customFormat="1" x14ac:dyDescent="0.25">
      <c r="A356" s="70"/>
      <c r="B356" s="76" t="str">
        <f>IF(L356,K356&amp;L356,"")</f>
        <v/>
      </c>
      <c r="C356" s="80" t="s">
        <v>473</v>
      </c>
      <c r="D356" s="81"/>
      <c r="E356" s="69"/>
      <c r="F356" s="189"/>
      <c r="G356" s="189"/>
      <c r="H356" s="189"/>
      <c r="I356" s="189"/>
      <c r="J356" s="412"/>
      <c r="K356" s="26"/>
      <c r="L356" s="26"/>
      <c r="M356" s="97"/>
      <c r="N356" s="97"/>
      <c r="O356" s="97"/>
      <c r="P356" s="26"/>
    </row>
    <row r="357" spans="1:16" s="36" customFormat="1" ht="30" x14ac:dyDescent="0.25">
      <c r="A357" s="41"/>
      <c r="B357" s="41" t="s">
        <v>152</v>
      </c>
      <c r="C357" s="3" t="s">
        <v>310</v>
      </c>
      <c r="D357" s="50"/>
      <c r="E357" s="50"/>
      <c r="F357" s="54">
        <f>SUMIF($A:$A,"KOM.FELLES",F:F)</f>
        <v>126103</v>
      </c>
      <c r="G357" s="54">
        <f>SUMIF($A:$A,"KOM.FELLES",G:G)</f>
        <v>127638</v>
      </c>
      <c r="H357" s="54">
        <f>SUMIF($A:$A,"KOM.FELLES",H:H)</f>
        <v>124033</v>
      </c>
      <c r="I357" s="54">
        <f>SUMIF($A:$A,"KOM.FELLES",I:I)</f>
        <v>126563</v>
      </c>
      <c r="J357" s="412"/>
      <c r="K357" s="335"/>
      <c r="L357" s="335"/>
      <c r="M357" s="97"/>
      <c r="N357" s="97"/>
      <c r="O357" s="97"/>
      <c r="P357" s="26"/>
    </row>
    <row r="358" spans="1:16" x14ac:dyDescent="0.25">
      <c r="K358" s="36"/>
      <c r="L358" s="36"/>
      <c r="M358"/>
      <c r="N358"/>
      <c r="O358"/>
    </row>
    <row r="360" spans="1:16" x14ac:dyDescent="0.25">
      <c r="E360" t="s">
        <v>311</v>
      </c>
      <c r="F360" s="254" t="e">
        <f>#REF!+#REF!+#REF!+#REF!</f>
        <v>#REF!</v>
      </c>
      <c r="G360" s="254" t="e">
        <f>#REF!+#REF!+#REF!+#REF!</f>
        <v>#REF!</v>
      </c>
      <c r="H360" s="254" t="e">
        <f>#REF!+#REF!+#REF!+#REF!</f>
        <v>#REF!</v>
      </c>
      <c r="I360" s="254"/>
    </row>
    <row r="361" spans="1:16" x14ac:dyDescent="0.25">
      <c r="E361" t="s">
        <v>312</v>
      </c>
      <c r="F361" s="254">
        <f>30987+13258+710+30241</f>
        <v>75196</v>
      </c>
      <c r="G361" s="254">
        <f>30987+29145+1313+30241</f>
        <v>91686</v>
      </c>
      <c r="H361" s="254">
        <f>30987+29145+1313+30241</f>
        <v>91686</v>
      </c>
      <c r="I361" s="254"/>
    </row>
    <row r="362" spans="1:16" x14ac:dyDescent="0.25">
      <c r="E362" s="200" t="s">
        <v>313</v>
      </c>
      <c r="F362" s="201" t="e">
        <f>F360-F361</f>
        <v>#REF!</v>
      </c>
      <c r="G362" s="201" t="e">
        <f>G360-G361</f>
        <v>#REF!</v>
      </c>
      <c r="H362" s="201" t="e">
        <f>H360-H361</f>
        <v>#REF!</v>
      </c>
      <c r="I362" s="346"/>
    </row>
    <row r="363" spans="1:16" x14ac:dyDescent="0.25">
      <c r="E363" t="s">
        <v>314</v>
      </c>
      <c r="F363" s="181">
        <f>-7929-3038</f>
        <v>-10967</v>
      </c>
      <c r="G363" s="181">
        <f>-9809-3549</f>
        <v>-13358</v>
      </c>
      <c r="H363" s="181">
        <f>-9809-3549</f>
        <v>-13358</v>
      </c>
      <c r="I363" s="181"/>
    </row>
    <row r="364" spans="1:16" x14ac:dyDescent="0.25">
      <c r="E364" s="200" t="s">
        <v>313</v>
      </c>
      <c r="F364" s="201" t="e">
        <f>F363-F362</f>
        <v>#REF!</v>
      </c>
      <c r="G364" s="201" t="e">
        <f>G363-G362</f>
        <v>#REF!</v>
      </c>
      <c r="H364" s="201" t="e">
        <f>H363-H362</f>
        <v>#REF!</v>
      </c>
      <c r="I364" s="346"/>
    </row>
    <row r="366" spans="1:16" x14ac:dyDescent="0.25">
      <c r="F366" s="254" t="e">
        <f>F71+F72+#REF!+#REF!+#REF!+#REF!+#REF!+#REF!+#REF!+#REF!+#REF!+F168+F170+#REF!+#REF!+#REF!+#REF!+#REF!+#REF!+#REF!</f>
        <v>#REF!</v>
      </c>
      <c r="G366" s="254" t="e">
        <f>G71+G72+#REF!+#REF!+#REF!+#REF!+#REF!+#REF!+#REF!+#REF!+#REF!+G168+G170+#REF!+#REF!+#REF!+#REF!+#REF!+#REF!+#REF!</f>
        <v>#REF!</v>
      </c>
      <c r="H366" s="254" t="e">
        <f>H71+H72+#REF!+#REF!+#REF!+#REF!+#REF!+#REF!+#REF!+#REF!+#REF!+H168+H170+#REF!+#REF!+#REF!+#REF!+#REF!+#REF!+#REF!</f>
        <v>#REF!</v>
      </c>
      <c r="I366" s="254"/>
    </row>
    <row r="371" spans="4:21" x14ac:dyDescent="0.25">
      <c r="F371" s="180"/>
      <c r="G371" s="180"/>
      <c r="H371" s="180"/>
      <c r="I371" s="180"/>
    </row>
    <row r="372" spans="4:21" x14ac:dyDescent="0.25">
      <c r="D372" s="254"/>
      <c r="E372" s="254"/>
      <c r="F372" s="254"/>
      <c r="G372" s="254"/>
      <c r="H372" s="254"/>
      <c r="I372" s="254"/>
      <c r="Q372" s="202"/>
      <c r="R372" s="203">
        <v>2019</v>
      </c>
      <c r="S372" s="203">
        <v>2020</v>
      </c>
      <c r="T372" s="203">
        <v>2021</v>
      </c>
      <c r="U372" s="203">
        <v>2022</v>
      </c>
    </row>
    <row r="373" spans="4:21" x14ac:dyDescent="0.25">
      <c r="F373" s="254"/>
      <c r="G373" s="254"/>
      <c r="H373" s="254"/>
      <c r="I373" s="254"/>
      <c r="Q373" s="347" t="s">
        <v>315</v>
      </c>
      <c r="R373" s="184" t="e">
        <f>#REF!+#REF!</f>
        <v>#REF!</v>
      </c>
      <c r="S373" s="184" t="e">
        <f>#REF!+#REF!</f>
        <v>#REF!</v>
      </c>
      <c r="T373" s="184" t="e">
        <f>#REF!+#REF!</f>
        <v>#REF!</v>
      </c>
      <c r="U373" s="184" t="e">
        <f>#REF!+#REF!</f>
        <v>#REF!</v>
      </c>
    </row>
    <row r="374" spans="4:21" x14ac:dyDescent="0.25">
      <c r="F374" s="254"/>
      <c r="G374" s="254"/>
      <c r="H374" s="254"/>
      <c r="I374" s="254"/>
      <c r="Q374" s="347" t="s">
        <v>316</v>
      </c>
      <c r="R374" s="184" t="e">
        <f>#REF!+#REF!</f>
        <v>#REF!</v>
      </c>
      <c r="S374" s="184" t="e">
        <f>#REF!+#REF!</f>
        <v>#REF!</v>
      </c>
      <c r="T374" s="184" t="e">
        <f>#REF!+#REF!</f>
        <v>#REF!</v>
      </c>
      <c r="U374" s="184" t="e">
        <f>#REF!+#REF!</f>
        <v>#REF!</v>
      </c>
    </row>
    <row r="375" spans="4:21" x14ac:dyDescent="0.25">
      <c r="F375" s="254"/>
      <c r="G375" s="254"/>
      <c r="H375" s="254"/>
      <c r="I375" s="254"/>
      <c r="Q375" s="347" t="s">
        <v>3</v>
      </c>
      <c r="R375" s="184" t="e">
        <f>#REF!+#REF!</f>
        <v>#REF!</v>
      </c>
      <c r="S375" s="184">
        <f>F150+F152</f>
        <v>1000</v>
      </c>
      <c r="T375" s="184">
        <f>G150+G152</f>
        <v>1000</v>
      </c>
      <c r="U375" s="184">
        <f>H150+H152</f>
        <v>1000</v>
      </c>
    </row>
    <row r="376" spans="4:21" x14ac:dyDescent="0.25">
      <c r="F376" s="254"/>
      <c r="G376" s="254"/>
      <c r="H376" s="254"/>
      <c r="I376" s="254"/>
      <c r="Q376" s="347" t="s">
        <v>317</v>
      </c>
      <c r="R376" s="184" t="e">
        <f>#REF!</f>
        <v>#REF!</v>
      </c>
      <c r="S376" s="184" t="e">
        <f>#REF!</f>
        <v>#REF!</v>
      </c>
      <c r="T376" s="184" t="e">
        <f>#REF!</f>
        <v>#REF!</v>
      </c>
      <c r="U376" s="184" t="e">
        <f>#REF!</f>
        <v>#REF!</v>
      </c>
    </row>
    <row r="377" spans="4:21" x14ac:dyDescent="0.25">
      <c r="F377" s="254"/>
      <c r="G377" s="254"/>
      <c r="H377" s="254"/>
      <c r="I377" s="254"/>
      <c r="Q377" s="347" t="s">
        <v>11</v>
      </c>
      <c r="R377" s="184" t="e">
        <f>#REF!+#REF!</f>
        <v>#REF!</v>
      </c>
      <c r="S377" s="184" t="e">
        <f>#REF!+#REF!</f>
        <v>#REF!</v>
      </c>
      <c r="T377" s="184" t="e">
        <f>#REF!+#REF!</f>
        <v>#REF!</v>
      </c>
      <c r="U377" s="184" t="e">
        <f>#REF!+#REF!</f>
        <v>#REF!</v>
      </c>
    </row>
    <row r="378" spans="4:21" x14ac:dyDescent="0.25">
      <c r="F378" s="254"/>
      <c r="G378" s="254"/>
      <c r="H378" s="254"/>
      <c r="I378" s="254"/>
      <c r="Q378" s="347" t="s">
        <v>12</v>
      </c>
      <c r="R378" s="184" t="e">
        <f>#REF!</f>
        <v>#REF!</v>
      </c>
      <c r="S378" s="184" t="e">
        <f>#REF!</f>
        <v>#REF!</v>
      </c>
      <c r="T378" s="184" t="e">
        <f>#REF!</f>
        <v>#REF!</v>
      </c>
      <c r="U378" s="184" t="e">
        <f>#REF!</f>
        <v>#REF!</v>
      </c>
    </row>
    <row r="379" spans="4:21" x14ac:dyDescent="0.25">
      <c r="F379" s="254"/>
      <c r="G379" s="254"/>
      <c r="H379" s="254"/>
      <c r="I379" s="254"/>
      <c r="Q379" s="347" t="s">
        <v>13</v>
      </c>
      <c r="R379" s="184" t="e">
        <f>#REF!</f>
        <v>#REF!</v>
      </c>
      <c r="S379" s="184" t="e">
        <f>#REF!</f>
        <v>#REF!</v>
      </c>
      <c r="T379" s="184" t="e">
        <f>#REF!</f>
        <v>#REF!</v>
      </c>
      <c r="U379" s="184" t="e">
        <f>#REF!</f>
        <v>#REF!</v>
      </c>
    </row>
    <row r="380" spans="4:21" ht="30" x14ac:dyDescent="0.25">
      <c r="Q380" s="347" t="s">
        <v>318</v>
      </c>
      <c r="R380" s="184" t="e">
        <f>#REF!+#REF!</f>
        <v>#REF!</v>
      </c>
      <c r="S380" s="184" t="e">
        <f>F304+#REF!</f>
        <v>#REF!</v>
      </c>
      <c r="T380" s="184" t="e">
        <f>G304+#REF!</f>
        <v>#REF!</v>
      </c>
      <c r="U380" s="184" t="e">
        <f>H304+#REF!</f>
        <v>#REF!</v>
      </c>
    </row>
    <row r="381" spans="4:21" x14ac:dyDescent="0.25">
      <c r="Q381" s="183" t="s">
        <v>319</v>
      </c>
      <c r="R381" s="185" t="e">
        <f>SUBTOTAL(9,R373:R380)</f>
        <v>#REF!</v>
      </c>
      <c r="S381" s="185" t="e">
        <f>SUBTOTAL(9,S373:S380)</f>
        <v>#REF!</v>
      </c>
      <c r="T381" s="185" t="e">
        <f>SUBTOTAL(9,T373:T380)</f>
        <v>#REF!</v>
      </c>
      <c r="U381" s="185" t="e">
        <f>SUBTOTAL(9,U373:U380)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1" type="noConversion"/>
  <conditionalFormatting sqref="F18:I18">
    <cfRule type="cellIs" dxfId="1" priority="2" operator="notEqual">
      <formula>0</formula>
    </cfRule>
  </conditionalFormatting>
  <conditionalFormatting sqref="I18">
    <cfRule type="cellIs" dxfId="0" priority="1" operator="notEqual">
      <formula>0</formula>
    </cfRule>
  </conditionalFormatting>
  <dataValidations count="1">
    <dataValidation type="list" allowBlank="1" showInputMessage="1" showErrorMessage="1" sqref="E247:E249 D262:E268 D231:D232 D237 D255:E256 D257 D243:D249 D239:D241" xr:uid="{622FF329-1E30-4B56-9C82-BE489BCE1196}">
      <formula1>#REF!</formula1>
    </dataValidation>
  </dataValidations>
  <pageMargins left="0.25" right="0.25" top="0.75" bottom="0.75" header="0.3" footer="0.3"/>
  <pageSetup paperSize="9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838CC3E-1658-4631-A9CD-4C1BFF7EAF35}">
          <x14:formula1>
            <xm:f>#REF!</xm:f>
          </x14:formula1>
          <xm:sqref>E62:E67 E301:E302 E342 E165 E271 E356 E292 E180:E181 E196 E305 E330 E203 E207 E148 E172 E135:E136 D89 E90:E91</xm:sqref>
        </x14:dataValidation>
        <x14:dataValidation type="list" allowBlank="1" showInputMessage="1" showErrorMessage="1" xr:uid="{8A41B840-A192-4588-B612-AA8E452A04D1}">
          <x14:formula1>
            <xm:f>#REF!</xm:f>
          </x14:formula1>
          <xm:sqref>D62:D67 D196 D357:E357 D103:E103 D165 D178:D181 D290:D292 D299:D302 D305 D330 D342 D356 D201:D203 D84 D207 D148 D172 D134:D136 D269:D271 E197:E199 D90:D91 E303:E304 E343:E355 E29:E61 E204:E246 E250:E254 E257:E261 E269:E270 E272:E291 E92:E101 E201:E202 E331:E341 E134 E137:E164 E293:E300 E182:E195 E166:E170 E172:E179 E68:E78 E80:E84 E86:E89 E306:E329 E104:E129</xm:sqref>
        </x14:dataValidation>
        <x14:dataValidation type="list" allowBlank="1" showInputMessage="1" showErrorMessage="1" xr:uid="{54BCC24E-75D6-41E3-ABA4-D8B260EE923E}">
          <x14:formula1>
            <xm:f>'C:\Users\lincbak\Desktop\[Kopi av Driftskostnader for nye bygg - tiltaksliste 2018-2021.xlsx]Div'!#REF!</xm:f>
          </x14:formula1>
          <xm:sqref>E200</xm:sqref>
        </x14:dataValidation>
        <x14:dataValidation type="list" allowBlank="1" showInputMessage="1" showErrorMessage="1" xr:uid="{A31F4AB6-9AE2-407F-8C31-F36A5F8D5063}">
          <x14:formula1>
            <xm:f>#REF!</xm:f>
          </x14:formula1>
          <xm:sqref>D293:D298 D258:D261 D250:D254 D331:D341 D242 D238 D233:D234 D92:D101 D303:D304 D197:D200 D272:D289 D182:D195 D166:D177 D80:D83 D68:D78 D86:D88 D137:D164 D343:D355 D204:D230 D104:D129 D306:D329 D29:D61</xm:sqref>
        </x14:dataValidation>
        <x14:dataValidation type="list" allowBlank="1" showInputMessage="1" showErrorMessage="1" xr:uid="{B7CDB625-C507-42F3-A823-1ACA9EEC2C60}">
          <x14:formula1>
            <xm:f>#REF!</xm:f>
          </x14:formula1>
          <xm:sqref>A78 A80:A82 A84 A86:A91 A102:A103 A134:A357 A29:A67</xm:sqref>
        </x14:dataValidation>
        <x14:dataValidation type="list" allowBlank="1" showInputMessage="1" showErrorMessage="1" xr:uid="{343C38D0-E228-4716-8988-781DE7CBCF9F}">
          <x14:formula1>
            <xm:f>#REF!</xm:f>
          </x14:formula1>
          <xm:sqref>A68:A77 A92:A101 A104:A133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1AD-36EC-4136-A8FE-343A39DBD028}">
  <sheetPr>
    <tabColor rgb="FFFF0000"/>
  </sheetPr>
  <dimension ref="A1:BI251"/>
  <sheetViews>
    <sheetView topLeftCell="A37" workbookViewId="0">
      <selection activeCell="G46" sqref="G46"/>
    </sheetView>
  </sheetViews>
  <sheetFormatPr baseColWidth="10" defaultColWidth="11.42578125" defaultRowHeight="15" x14ac:dyDescent="0.25"/>
  <cols>
    <col min="1" max="1" width="10.5703125" customWidth="1"/>
    <col min="2" max="2" width="5" customWidth="1"/>
    <col min="3" max="3" width="55.5703125" customWidth="1"/>
    <col min="4" max="4" width="14.42578125" customWidth="1"/>
    <col min="5" max="5" width="14.5703125" customWidth="1"/>
    <col min="6" max="6" width="8.5703125" customWidth="1"/>
    <col min="7" max="9" width="15.42578125" customWidth="1"/>
    <col min="10" max="10" width="4.5703125" customWidth="1"/>
    <col min="11" max="18" width="15.42578125" customWidth="1"/>
    <col min="19" max="19" width="28.5703125" customWidth="1"/>
    <col min="20" max="20" width="7.42578125" style="26" customWidth="1"/>
    <col min="21" max="21" width="3.42578125" style="26" customWidth="1"/>
    <col min="22" max="22" width="8.5703125" style="92" customWidth="1"/>
    <col min="23" max="23" width="9.5703125" style="92" customWidth="1"/>
    <col min="24" max="24" width="13.42578125" style="92" customWidth="1"/>
    <col min="25" max="27" width="13.42578125" customWidth="1"/>
    <col min="28" max="30" width="14.42578125" customWidth="1"/>
    <col min="58" max="58" width="20.42578125" hidden="1" customWidth="1"/>
    <col min="59" max="62" width="0" hidden="1" customWidth="1"/>
  </cols>
  <sheetData>
    <row r="1" spans="1:57" s="26" customFormat="1" ht="23.25" x14ac:dyDescent="0.25">
      <c r="A1" s="378" t="s">
        <v>526</v>
      </c>
      <c r="B1" s="379"/>
      <c r="C1" s="380"/>
      <c r="D1" s="380"/>
      <c r="E1" s="381"/>
      <c r="F1" s="38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V1" s="49"/>
      <c r="W1" s="49"/>
      <c r="X1" s="49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8"/>
      <c r="AT1" s="528"/>
      <c r="AU1" s="528"/>
      <c r="AV1" s="528"/>
      <c r="AW1" s="528"/>
      <c r="AX1" s="528"/>
      <c r="AY1" s="528"/>
      <c r="AZ1" s="528"/>
      <c r="BA1" s="528"/>
      <c r="BB1" s="528"/>
      <c r="BC1" s="528"/>
      <c r="BD1" s="528"/>
      <c r="BE1" s="528"/>
    </row>
    <row r="2" spans="1:57" s="26" customFormat="1" x14ac:dyDescent="0.25">
      <c r="B2" s="9"/>
      <c r="C2" s="9"/>
      <c r="D2" s="9"/>
      <c r="E2" s="49"/>
      <c r="F2" s="49"/>
      <c r="V2" s="49"/>
      <c r="W2" s="49"/>
      <c r="X2" s="4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</row>
    <row r="3" spans="1:57" s="36" customFormat="1" x14ac:dyDescent="0.25">
      <c r="A3" s="8"/>
      <c r="B3" s="3"/>
      <c r="C3" s="3"/>
      <c r="D3" s="3"/>
      <c r="E3" s="61"/>
      <c r="F3" s="5">
        <v>2017</v>
      </c>
      <c r="G3" s="3"/>
      <c r="H3" s="4">
        <v>2015</v>
      </c>
      <c r="I3" s="4">
        <v>2016</v>
      </c>
      <c r="J3" s="4">
        <v>2017</v>
      </c>
      <c r="K3" s="4">
        <v>2018</v>
      </c>
      <c r="L3" s="4">
        <v>2019</v>
      </c>
      <c r="M3" s="4">
        <v>2020</v>
      </c>
      <c r="N3" s="4">
        <v>2021</v>
      </c>
      <c r="O3" s="4">
        <v>2022</v>
      </c>
      <c r="P3" s="4"/>
      <c r="Q3" s="4"/>
      <c r="R3" s="4"/>
      <c r="S3" s="26"/>
      <c r="V3" s="91"/>
      <c r="W3" s="91"/>
      <c r="X3" s="91"/>
      <c r="Y3" s="26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s="36" customFormat="1" x14ac:dyDescent="0.25">
      <c r="A4" s="18" t="s">
        <v>527</v>
      </c>
      <c r="B4" s="30"/>
      <c r="C4" s="19"/>
      <c r="D4" s="19"/>
      <c r="E4" s="62"/>
      <c r="F4" s="31">
        <f>230744-5041+456</f>
        <v>226159</v>
      </c>
      <c r="G4" s="24"/>
      <c r="H4" s="20">
        <v>3471036</v>
      </c>
      <c r="I4" s="20">
        <v>3552868</v>
      </c>
      <c r="J4" s="20">
        <v>3880044</v>
      </c>
      <c r="K4" s="20">
        <f>F4</f>
        <v>226159</v>
      </c>
      <c r="L4" s="20">
        <f>245643-5480</f>
        <v>240163</v>
      </c>
      <c r="M4" s="20">
        <f t="shared" ref="M4:O7" si="0">L4</f>
        <v>240163</v>
      </c>
      <c r="N4" s="20">
        <f t="shared" si="0"/>
        <v>240163</v>
      </c>
      <c r="O4" s="20">
        <f t="shared" si="0"/>
        <v>240163</v>
      </c>
      <c r="P4" s="257"/>
      <c r="Q4" s="257"/>
      <c r="R4" s="257"/>
      <c r="S4" s="27"/>
      <c r="V4" s="91"/>
      <c r="W4" s="91"/>
      <c r="X4" s="91"/>
      <c r="Y4" s="27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</row>
    <row r="5" spans="1:57" s="36" customFormat="1" x14ac:dyDescent="0.25">
      <c r="A5" s="13" t="s">
        <v>528</v>
      </c>
      <c r="B5" s="40"/>
      <c r="C5" s="40"/>
      <c r="D5" s="13"/>
      <c r="E5" s="40"/>
      <c r="F5" s="110">
        <f>13386+42667</f>
        <v>56053</v>
      </c>
      <c r="G5" s="13"/>
      <c r="H5" s="40"/>
      <c r="I5" s="40"/>
      <c r="J5" s="13"/>
      <c r="K5" s="20">
        <f t="shared" ref="K5:K7" si="1">F5</f>
        <v>56053</v>
      </c>
      <c r="L5" s="20">
        <v>63376</v>
      </c>
      <c r="M5" s="20">
        <f t="shared" si="0"/>
        <v>63376</v>
      </c>
      <c r="N5" s="20">
        <f t="shared" si="0"/>
        <v>63376</v>
      </c>
      <c r="O5" s="20">
        <f t="shared" si="0"/>
        <v>63376</v>
      </c>
      <c r="P5" s="257"/>
      <c r="Q5" s="257"/>
      <c r="R5" s="257"/>
      <c r="S5" s="27"/>
      <c r="V5" s="91"/>
      <c r="W5" s="91"/>
      <c r="X5" s="91"/>
      <c r="Y5" s="27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</row>
    <row r="6" spans="1:57" s="36" customFormat="1" x14ac:dyDescent="0.25">
      <c r="A6" s="13" t="s">
        <v>529</v>
      </c>
      <c r="B6" s="40"/>
      <c r="C6" s="40"/>
      <c r="D6" s="13"/>
      <c r="E6" s="40"/>
      <c r="F6" s="110">
        <v>54773</v>
      </c>
      <c r="G6" s="13"/>
      <c r="H6" s="40"/>
      <c r="I6" s="40"/>
      <c r="J6" s="13"/>
      <c r="K6" s="20">
        <f t="shared" si="1"/>
        <v>54773</v>
      </c>
      <c r="L6" s="20">
        <v>51044</v>
      </c>
      <c r="M6" s="20">
        <f>L6</f>
        <v>51044</v>
      </c>
      <c r="N6" s="20">
        <f>M6</f>
        <v>51044</v>
      </c>
      <c r="O6" s="20">
        <f t="shared" si="0"/>
        <v>51044</v>
      </c>
      <c r="P6" s="257"/>
      <c r="Q6" s="257"/>
      <c r="R6" s="257"/>
      <c r="S6" s="27"/>
      <c r="V6" s="91"/>
      <c r="W6" s="91"/>
      <c r="X6" s="91"/>
      <c r="Y6" s="27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</row>
    <row r="7" spans="1:57" s="36" customFormat="1" x14ac:dyDescent="0.25">
      <c r="A7" s="13" t="s">
        <v>530</v>
      </c>
      <c r="B7" s="40"/>
      <c r="C7" s="40"/>
      <c r="D7" s="13"/>
      <c r="E7" s="40"/>
      <c r="F7" s="110">
        <f>3297+396</f>
        <v>3693</v>
      </c>
      <c r="G7" s="13"/>
      <c r="H7" s="40"/>
      <c r="I7" s="40"/>
      <c r="J7" s="13"/>
      <c r="K7" s="20">
        <f t="shared" si="1"/>
        <v>3693</v>
      </c>
      <c r="L7" s="20">
        <v>0</v>
      </c>
      <c r="M7" s="20">
        <f>L7</f>
        <v>0</v>
      </c>
      <c r="N7" s="20">
        <f t="shared" si="0"/>
        <v>0</v>
      </c>
      <c r="O7" s="20">
        <f t="shared" si="0"/>
        <v>0</v>
      </c>
      <c r="P7" s="257"/>
      <c r="Q7" s="257"/>
      <c r="R7" s="257"/>
      <c r="S7" s="27"/>
      <c r="V7" s="91"/>
      <c r="W7" s="91"/>
      <c r="X7" s="91"/>
      <c r="Y7" s="27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s="36" customFormat="1" x14ac:dyDescent="0.25">
      <c r="A8" s="33" t="s">
        <v>531</v>
      </c>
      <c r="B8" s="35"/>
      <c r="C8" s="32"/>
      <c r="D8" s="32"/>
      <c r="E8" s="63"/>
      <c r="F8" s="111">
        <f>SUM(F4:F7)</f>
        <v>340678</v>
      </c>
      <c r="G8" s="33"/>
      <c r="H8" s="34">
        <f t="shared" ref="H8:O8" si="2">SUM(H4:H7)</f>
        <v>3471036</v>
      </c>
      <c r="I8" s="34">
        <f t="shared" si="2"/>
        <v>3552868</v>
      </c>
      <c r="J8" s="34">
        <f t="shared" si="2"/>
        <v>3880044</v>
      </c>
      <c r="K8" s="34">
        <f t="shared" si="2"/>
        <v>340678</v>
      </c>
      <c r="L8" s="111">
        <f>SUM(L4:L7)</f>
        <v>354583</v>
      </c>
      <c r="M8" s="34">
        <f t="shared" si="2"/>
        <v>354583</v>
      </c>
      <c r="N8" s="34">
        <f t="shared" si="2"/>
        <v>354583</v>
      </c>
      <c r="O8" s="34">
        <f t="shared" si="2"/>
        <v>354583</v>
      </c>
      <c r="P8" s="258"/>
      <c r="Q8" s="258"/>
      <c r="R8" s="258"/>
      <c r="S8" s="26"/>
      <c r="V8" s="91"/>
      <c r="W8" s="91"/>
      <c r="X8" s="91"/>
      <c r="Y8" s="27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</row>
    <row r="9" spans="1:57" s="36" customFormat="1" x14ac:dyDescent="0.25">
      <c r="A9" s="24"/>
      <c r="B9" s="30"/>
      <c r="C9" s="30"/>
      <c r="D9" s="30"/>
      <c r="E9" s="62"/>
      <c r="F9" s="62"/>
      <c r="G9" s="24"/>
      <c r="H9" s="31"/>
      <c r="I9" s="31"/>
      <c r="J9" s="31"/>
      <c r="K9" s="31"/>
      <c r="L9" s="31"/>
      <c r="M9" s="31"/>
      <c r="N9" s="31"/>
      <c r="O9" s="31"/>
      <c r="P9" s="259"/>
      <c r="Q9" s="259"/>
      <c r="R9" s="259"/>
      <c r="S9" s="26"/>
      <c r="V9" s="91"/>
      <c r="W9" s="91"/>
      <c r="X9" s="91"/>
      <c r="Y9" s="27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</row>
    <row r="10" spans="1:57" s="26" customFormat="1" x14ac:dyDescent="0.25">
      <c r="B10" s="9"/>
      <c r="C10" s="9"/>
      <c r="D10" s="9"/>
      <c r="E10" s="49"/>
      <c r="F10" s="4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V10" s="49"/>
      <c r="W10" s="49"/>
      <c r="X10" s="49"/>
      <c r="Z10" s="93"/>
      <c r="AA10" s="93"/>
      <c r="AB10" s="93"/>
      <c r="AC10" s="93"/>
    </row>
    <row r="11" spans="1:57" s="26" customFormat="1" x14ac:dyDescent="0.25">
      <c r="A11" s="13" t="s">
        <v>532</v>
      </c>
      <c r="B11" s="13"/>
      <c r="C11" s="13"/>
      <c r="D11" s="13"/>
      <c r="E11" s="13"/>
      <c r="F11" s="13"/>
      <c r="G11" s="13"/>
      <c r="H11" s="13"/>
      <c r="I11" s="13"/>
      <c r="J11" s="13">
        <f>SUMIFS(J:J,$E:$E,"NYTT",$F:$F,"INNSP")</f>
        <v>0</v>
      </c>
      <c r="K11" s="38">
        <f>SUMIFS(K:K,$D:$D,"INTERNHUSLEIE")</f>
        <v>20466</v>
      </c>
      <c r="L11" s="38">
        <f>SUMIFS(L:L,$D:$D,"INTERNHUSLEIE")</f>
        <v>56852</v>
      </c>
      <c r="M11" s="38">
        <f>SUMIFS(M:M,$D:$D,"INTERNHUSLEIE")</f>
        <v>33453</v>
      </c>
      <c r="N11" s="38">
        <f>SUMIFS(N:N,$D:$D,"INTERNHUSLEIE")</f>
        <v>81791</v>
      </c>
      <c r="O11" s="38">
        <f>SUMIFS(O:O,$D:$D,"INTERNHUSLEIE")</f>
        <v>117842</v>
      </c>
      <c r="P11" s="259"/>
      <c r="Q11" s="259"/>
      <c r="R11" s="259"/>
      <c r="V11" s="49"/>
      <c r="W11" s="49"/>
      <c r="X11" s="49"/>
      <c r="Z11" s="93"/>
      <c r="AA11" s="93"/>
      <c r="AB11" s="93"/>
      <c r="AC11" s="93"/>
    </row>
    <row r="12" spans="1:57" s="26" customFormat="1" x14ac:dyDescent="0.25">
      <c r="A12" s="13" t="s">
        <v>533</v>
      </c>
      <c r="B12" s="13"/>
      <c r="C12" s="13"/>
      <c r="D12" s="13"/>
      <c r="E12" s="13"/>
      <c r="F12" s="13"/>
      <c r="G12" s="13"/>
      <c r="H12" s="13"/>
      <c r="I12" s="13"/>
      <c r="J12" s="13"/>
      <c r="K12" s="38">
        <f>SUMIFS(K:K,$D:$D,"RENHOLD")</f>
        <v>1523</v>
      </c>
      <c r="L12" s="38">
        <f>SUMIFS(L:L,$D:$D,"RENHOLD")</f>
        <v>2768</v>
      </c>
      <c r="M12" s="38">
        <f>SUMIFS(M:M,$D:$D,"RENHOLD")</f>
        <v>2494</v>
      </c>
      <c r="N12" s="38">
        <f>SUMIFS(N:N,$D:$D,"RENHOLD")</f>
        <v>5089</v>
      </c>
      <c r="O12" s="38">
        <f>SUMIFS(O:O,$D:$D,"RENHOLD")</f>
        <v>5940</v>
      </c>
      <c r="P12" s="259"/>
      <c r="Q12" s="259"/>
      <c r="R12" s="259"/>
      <c r="V12" s="49"/>
      <c r="W12" s="49"/>
      <c r="X12" s="112">
        <v>2018</v>
      </c>
      <c r="Y12" s="112">
        <v>2019</v>
      </c>
      <c r="Z12" s="112">
        <v>2020</v>
      </c>
      <c r="AA12" s="112">
        <v>2021</v>
      </c>
      <c r="AB12" s="93"/>
      <c r="AC12" s="93"/>
    </row>
    <row r="13" spans="1:57" s="36" customFormat="1" x14ac:dyDescent="0.25">
      <c r="A13" s="13" t="s">
        <v>534</v>
      </c>
      <c r="B13" s="13"/>
      <c r="C13" s="13"/>
      <c r="D13" s="13"/>
      <c r="E13" s="13"/>
      <c r="F13" s="13"/>
      <c r="G13" s="13"/>
      <c r="H13" s="13">
        <f>SUMIFS(H:H,$E:$E,"NYTT",$F:$F,"MÅ")</f>
        <v>0</v>
      </c>
      <c r="I13" s="13">
        <f>SUMIFS(I:I,$E:$E,"NYTT",$F:$F,"MÅ")</f>
        <v>0</v>
      </c>
      <c r="J13" s="13">
        <f>SUMIFS(J:J,$E:$E,"NYTT",$F:$F,"MÅ")</f>
        <v>0</v>
      </c>
      <c r="K13" s="38">
        <f>SUMIFS(K:K,$D:$D,"ENERGI")</f>
        <v>1572</v>
      </c>
      <c r="L13" s="38">
        <f>SUMIFS(L:L,$D:$D,"ENERGI")</f>
        <v>2133</v>
      </c>
      <c r="M13" s="38">
        <f>SUMIFS(M:M,$D:$D,"ENERGI")</f>
        <v>1207</v>
      </c>
      <c r="N13" s="38">
        <f>SUMIFS(N:N,$D:$D,"ENERGI")</f>
        <v>3157</v>
      </c>
      <c r="O13" s="38">
        <f>SUMIFS(O:O,$D:$D,"ENERGI")</f>
        <v>3858</v>
      </c>
      <c r="P13" s="259"/>
      <c r="Q13" s="259"/>
      <c r="R13" s="259"/>
      <c r="S13" s="26"/>
      <c r="T13" s="26"/>
      <c r="U13" s="113" t="s">
        <v>535</v>
      </c>
      <c r="V13" s="49"/>
      <c r="W13" s="49"/>
      <c r="X13" s="47">
        <f>SUMIF($C:$C,$U$13,K:K)</f>
        <v>2042</v>
      </c>
      <c r="Y13" s="47">
        <f ca="1">SUMIF($C:$C,$U$13,L:L)</f>
        <v>17627</v>
      </c>
      <c r="Z13" s="47">
        <f ca="1">SUMIF($C:$C,$U$13,M:M)</f>
        <v>15721</v>
      </c>
      <c r="AA13" s="47">
        <f ca="1">SUMIF($C:$C,$U$13,N:N)</f>
        <v>40932</v>
      </c>
      <c r="AB13" s="93"/>
      <c r="AC13" s="93"/>
    </row>
    <row r="14" spans="1:57" s="36" customFormat="1" x14ac:dyDescent="0.25">
      <c r="A14" s="114" t="s">
        <v>536</v>
      </c>
      <c r="B14" s="115"/>
      <c r="C14" s="115"/>
      <c r="D14" s="115"/>
      <c r="E14" s="116"/>
      <c r="F14" s="116"/>
      <c r="G14" s="117"/>
      <c r="H14" s="118" t="e">
        <f>H8+#REF!+#REF!+H13</f>
        <v>#REF!</v>
      </c>
      <c r="I14" s="119" t="e">
        <f>I8+#REF!+#REF!+#REF!+I13</f>
        <v>#REF!</v>
      </c>
      <c r="J14" s="119" t="e">
        <f>J8+#REF!+#REF!+J11+J13</f>
        <v>#REF!</v>
      </c>
      <c r="K14" s="120">
        <f>SUM(K11:K13)</f>
        <v>23561</v>
      </c>
      <c r="L14" s="120">
        <f>SUM(L11:L13)</f>
        <v>61753</v>
      </c>
      <c r="M14" s="120">
        <f>SUM(M11:M13)</f>
        <v>37154</v>
      </c>
      <c r="N14" s="120">
        <f>SUM(N11:N13)</f>
        <v>90037</v>
      </c>
      <c r="O14" s="120">
        <f>SUM(O11:O13)</f>
        <v>127640</v>
      </c>
      <c r="P14" s="260"/>
      <c r="Q14" s="260"/>
      <c r="R14" s="260"/>
      <c r="U14" s="113" t="s">
        <v>537</v>
      </c>
      <c r="V14" s="49"/>
      <c r="W14" s="49"/>
      <c r="X14" s="47">
        <f>SUMIF($C:$C,$U$14,K:K)</f>
        <v>0</v>
      </c>
      <c r="Y14" s="47">
        <f ca="1">SUMIF($C:$C,$U$14,L:L)</f>
        <v>9</v>
      </c>
      <c r="Z14" s="47">
        <f ca="1">SUMIF($C:$C,$U$14,M:M)</f>
        <v>25</v>
      </c>
      <c r="AA14" s="47">
        <f ca="1">SUMIF($C:$C,$U$14,N:N)</f>
        <v>50</v>
      </c>
      <c r="AB14" s="93"/>
      <c r="AC14" s="93"/>
    </row>
    <row r="15" spans="1:57" s="36" customFormat="1" x14ac:dyDescent="0.25">
      <c r="B15" s="121"/>
      <c r="C15" s="121"/>
      <c r="D15" s="121"/>
      <c r="E15" s="122"/>
      <c r="F15" s="122"/>
      <c r="G15" s="123"/>
      <c r="H15" s="124"/>
      <c r="I15" s="125"/>
      <c r="J15" s="125"/>
      <c r="K15" s="126"/>
      <c r="L15" s="126"/>
      <c r="M15" s="126"/>
      <c r="N15" s="126"/>
      <c r="O15" s="126"/>
      <c r="P15" s="126"/>
      <c r="Q15" s="126"/>
      <c r="R15" s="126"/>
      <c r="U15" s="113" t="s">
        <v>538</v>
      </c>
      <c r="V15" s="49"/>
      <c r="W15" s="49"/>
      <c r="X15" s="47">
        <f>SUMIF($C:$C,$U$15,K:K)</f>
        <v>1088</v>
      </c>
      <c r="Y15" s="47">
        <f ca="1">SUMIF($C:$C,$U$15,L:L)</f>
        <v>963</v>
      </c>
      <c r="Z15" s="47">
        <f ca="1">SUMIF($C:$C,$U$15,M:M)</f>
        <v>562</v>
      </c>
      <c r="AA15" s="47">
        <f ca="1">SUMIF($C:$C,$U$15,N:N)</f>
        <v>2510</v>
      </c>
      <c r="AB15" s="93"/>
      <c r="AC15" s="93"/>
    </row>
    <row r="16" spans="1:57" s="36" customFormat="1" x14ac:dyDescent="0.25">
      <c r="A16" s="127" t="s">
        <v>539</v>
      </c>
      <c r="B16" s="128"/>
      <c r="C16" s="128"/>
      <c r="D16" s="128"/>
      <c r="E16" s="129"/>
      <c r="F16" s="129"/>
      <c r="G16" s="130"/>
      <c r="H16" s="131"/>
      <c r="I16" s="132"/>
      <c r="J16" s="132"/>
      <c r="K16" s="133">
        <f>K12+K13</f>
        <v>3095</v>
      </c>
      <c r="L16" s="133">
        <f>L12+L13</f>
        <v>4901</v>
      </c>
      <c r="M16" s="133">
        <f t="shared" ref="M16:O16" si="3">M12+M13</f>
        <v>3701</v>
      </c>
      <c r="N16" s="133">
        <f t="shared" si="3"/>
        <v>8246</v>
      </c>
      <c r="O16" s="133">
        <f t="shared" si="3"/>
        <v>9798</v>
      </c>
      <c r="P16" s="133"/>
      <c r="Q16" s="133"/>
      <c r="R16" s="133"/>
      <c r="U16" s="113" t="s">
        <v>540</v>
      </c>
      <c r="V16" s="49"/>
      <c r="W16" s="49"/>
      <c r="X16" s="47">
        <f>SUMIF($C:$C,$U$16,K:K)</f>
        <v>86</v>
      </c>
      <c r="Y16" s="47">
        <f ca="1">SUMIF($C:$C,$U$16,L:L)</f>
        <v>1469</v>
      </c>
      <c r="Z16" s="47">
        <f ca="1">SUMIF($C:$C,$U$16,M:M)</f>
        <v>0</v>
      </c>
      <c r="AA16" s="47">
        <f ca="1">SUMIF($C:$C,$U$16,N:N)</f>
        <v>0</v>
      </c>
      <c r="AB16" s="93"/>
      <c r="AC16" s="93"/>
    </row>
    <row r="17" spans="1:29" s="36" customFormat="1" x14ac:dyDescent="0.25">
      <c r="B17" s="121"/>
      <c r="C17" s="121"/>
      <c r="D17" s="121"/>
      <c r="E17" s="122"/>
      <c r="F17" s="122"/>
      <c r="G17" s="123"/>
      <c r="H17" s="124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U17" s="113" t="s">
        <v>541</v>
      </c>
      <c r="V17" s="49"/>
      <c r="W17" s="49"/>
      <c r="X17" s="47">
        <f>SUMIF($C:$C,$U$17,K:K)</f>
        <v>1362</v>
      </c>
      <c r="Y17" s="47">
        <f ca="1">SUMIF($C:$C,$U$17,L:L)</f>
        <v>592</v>
      </c>
      <c r="Z17" s="47">
        <f ca="1">SUMIF($C:$C,$U$17,M:M)</f>
        <v>0</v>
      </c>
      <c r="AA17" s="47">
        <f ca="1">SUMIF($C:$C,$U$17,N:N)</f>
        <v>1257</v>
      </c>
      <c r="AB17" s="93"/>
      <c r="AC17" s="93"/>
    </row>
    <row r="18" spans="1:29" s="36" customFormat="1" x14ac:dyDescent="0.25">
      <c r="A18" s="134" t="s">
        <v>542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5" t="e">
        <f>K241+#REF!</f>
        <v>#REF!</v>
      </c>
      <c r="L18" s="135">
        <f>L241</f>
        <v>7910</v>
      </c>
      <c r="M18" s="135">
        <f>M241</f>
        <v>10012</v>
      </c>
      <c r="N18" s="135">
        <f>N241</f>
        <v>10012</v>
      </c>
      <c r="O18" s="135">
        <f>O241</f>
        <v>10012</v>
      </c>
      <c r="P18" s="140"/>
      <c r="Q18" s="140"/>
      <c r="R18" s="140"/>
      <c r="U18" s="113" t="s">
        <v>543</v>
      </c>
      <c r="V18" s="49"/>
      <c r="W18" s="49"/>
      <c r="X18" s="47">
        <f>SUMIF($C:$C,$U$18,K:K)</f>
        <v>2714</v>
      </c>
      <c r="Y18" s="47">
        <f ca="1">SUMIF($C:$C,$U$18,L:L)</f>
        <v>1217</v>
      </c>
      <c r="Z18" s="47">
        <f ca="1">SUMIF($C:$C,$U$18,M:M)</f>
        <v>187</v>
      </c>
      <c r="AA18" s="47">
        <f ca="1">SUMIF($C:$C,$U$18,N:N)</f>
        <v>2108</v>
      </c>
      <c r="AB18" s="93"/>
      <c r="AC18" s="93"/>
    </row>
    <row r="19" spans="1:29" s="36" customFormat="1" x14ac:dyDescent="0.25">
      <c r="A19" s="136" t="s">
        <v>544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 t="e">
        <f>K4+K18-K244+K7</f>
        <v>#REF!</v>
      </c>
      <c r="L19" s="138">
        <f>L4+L18-L244+L7</f>
        <v>250309</v>
      </c>
      <c r="M19" s="138">
        <f>M4+M18-M244+M7</f>
        <v>252411</v>
      </c>
      <c r="N19" s="138">
        <f>N4+N18-N244+N7</f>
        <v>252411</v>
      </c>
      <c r="O19" s="138">
        <f>O4+O18-O244+O7</f>
        <v>252411</v>
      </c>
      <c r="P19" s="140"/>
      <c r="Q19" s="140"/>
      <c r="R19" s="140"/>
      <c r="U19" s="113" t="s">
        <v>545</v>
      </c>
      <c r="V19" s="49"/>
      <c r="W19" s="49"/>
      <c r="X19" s="47">
        <f ca="1">SUMIF($C:$C,$U$19,K:K)</f>
        <v>4218</v>
      </c>
      <c r="Y19" s="47">
        <f>SUMIF($C:$C,$U$19,L:L)</f>
        <v>4996</v>
      </c>
      <c r="Z19" s="47">
        <f>SUMIF($C:$C,$U$19,M:M)</f>
        <v>4670</v>
      </c>
      <c r="AA19" s="47">
        <f>SUMIF($C:$C,$U$19,N:N)</f>
        <v>10776</v>
      </c>
      <c r="AB19" s="93"/>
      <c r="AC19" s="93"/>
    </row>
    <row r="20" spans="1:29" s="36" customFormat="1" x14ac:dyDescent="0.25">
      <c r="A20" s="139" t="s">
        <v>546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 t="e">
        <f>K242+#REF!</f>
        <v>#REF!</v>
      </c>
      <c r="L20" s="140">
        <f>L242</f>
        <v>2102</v>
      </c>
      <c r="M20" s="140">
        <f>M242</f>
        <v>7142</v>
      </c>
      <c r="N20" s="140">
        <f>N242</f>
        <v>7142</v>
      </c>
      <c r="O20" s="140">
        <f>O242</f>
        <v>7142</v>
      </c>
      <c r="P20" s="140"/>
      <c r="Q20" s="140"/>
      <c r="R20" s="140"/>
      <c r="U20" s="113" t="s">
        <v>547</v>
      </c>
      <c r="V20" s="49"/>
      <c r="W20" s="49"/>
      <c r="X20" s="47">
        <f>SUMIF($C:$C,$U$20,K:K)</f>
        <v>396</v>
      </c>
      <c r="Y20" s="47">
        <f>SUMIF($C:$C,$U$20,L:L)</f>
        <v>43</v>
      </c>
      <c r="Z20" s="47">
        <f>SUMIF($C:$C,$U$20,M:M)</f>
        <v>1604</v>
      </c>
      <c r="AA20" s="47">
        <f>SUMIF($C:$C,$U$20,N:N)</f>
        <v>1935</v>
      </c>
      <c r="AB20" s="93"/>
      <c r="AC20" s="93"/>
    </row>
    <row r="21" spans="1:29" s="36" customFormat="1" x14ac:dyDescent="0.25">
      <c r="A21" s="136" t="s">
        <v>548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8" t="e">
        <f>K5+K20</f>
        <v>#REF!</v>
      </c>
      <c r="L21" s="138">
        <f>L5+L20</f>
        <v>65478</v>
      </c>
      <c r="M21" s="138">
        <f>M5+M20</f>
        <v>70518</v>
      </c>
      <c r="N21" s="138">
        <f>N5+N20</f>
        <v>70518</v>
      </c>
      <c r="O21" s="138">
        <f>O5+O20</f>
        <v>70518</v>
      </c>
      <c r="P21" s="140"/>
      <c r="Q21" s="140"/>
      <c r="R21" s="140"/>
      <c r="U21" s="113" t="s">
        <v>549</v>
      </c>
      <c r="V21" s="49"/>
      <c r="W21" s="49"/>
      <c r="X21" s="47">
        <f>SUMIF($C:$C,$U$21,K:K)</f>
        <v>636</v>
      </c>
      <c r="Y21" s="47">
        <f>SUMIF($C:$C,$U$21,L:L)</f>
        <v>8733</v>
      </c>
      <c r="Z21" s="47">
        <f>SUMIF($C:$C,$U$21,M:M)</f>
        <v>6320</v>
      </c>
      <c r="AA21" s="47">
        <f>SUMIF($C:$C,$U$21,N:N)</f>
        <v>15226</v>
      </c>
      <c r="AB21" s="93"/>
      <c r="AC21" s="93"/>
    </row>
    <row r="22" spans="1:29" s="36" customFormat="1" x14ac:dyDescent="0.25">
      <c r="A22" s="139" t="s">
        <v>550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1">
        <f>K243</f>
        <v>2159</v>
      </c>
      <c r="L22" s="141">
        <f>L243</f>
        <v>1913</v>
      </c>
      <c r="M22" s="141">
        <f>M243</f>
        <v>1352</v>
      </c>
      <c r="N22" s="141">
        <f>N243</f>
        <v>1352</v>
      </c>
      <c r="O22" s="141">
        <f>O243</f>
        <v>1352</v>
      </c>
      <c r="P22" s="141"/>
      <c r="Q22" s="141"/>
      <c r="R22" s="141"/>
      <c r="U22" s="113" t="s">
        <v>551</v>
      </c>
      <c r="V22" s="49"/>
      <c r="W22" s="49"/>
      <c r="X22" s="47">
        <f>SUMIF($C:$C,$U$22,K:K)</f>
        <v>7411</v>
      </c>
      <c r="Y22" s="47">
        <f>SUMIF($C:$C,$U$22,L:L)</f>
        <v>21267</v>
      </c>
      <c r="Z22" s="47">
        <f>SUMIF($C:$C,$U$22,M:M)</f>
        <v>-2194</v>
      </c>
      <c r="AA22" s="47">
        <f>SUMIF($C:$C,$U$22,N:N)</f>
        <v>2522</v>
      </c>
      <c r="AB22" s="93"/>
      <c r="AC22" s="93"/>
    </row>
    <row r="23" spans="1:29" s="36" customFormat="1" x14ac:dyDescent="0.25">
      <c r="A23" s="139" t="s">
        <v>552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1">
        <f>K247</f>
        <v>-5014</v>
      </c>
      <c r="L23" s="141">
        <f>L247</f>
        <v>-1484</v>
      </c>
      <c r="M23" s="141">
        <f>M247</f>
        <v>-792</v>
      </c>
      <c r="N23" s="141">
        <f>N247</f>
        <v>-792</v>
      </c>
      <c r="O23" s="141">
        <f>O247</f>
        <v>-792</v>
      </c>
      <c r="P23" s="141"/>
      <c r="Q23" s="141"/>
      <c r="R23" s="141"/>
      <c r="S23" s="142" t="s">
        <v>553</v>
      </c>
      <c r="U23" s="113" t="s">
        <v>554</v>
      </c>
      <c r="V23" s="49"/>
      <c r="W23" s="49"/>
      <c r="X23" s="47">
        <f>SUMIF($C:$C,$U$23,K:K)</f>
        <v>-1406</v>
      </c>
      <c r="Y23" s="47">
        <f>SUMIF($C:$C,$U$23,L:L)</f>
        <v>32395</v>
      </c>
      <c r="Z23" s="47">
        <f>SUMIF($C:$C,$U$23,M:M)</f>
        <v>9467</v>
      </c>
      <c r="AA23" s="47">
        <f>SUMIF($C:$C,$U$23,N:N)</f>
        <v>11929</v>
      </c>
      <c r="AB23" s="93"/>
      <c r="AC23" s="93"/>
    </row>
    <row r="24" spans="1:29" s="36" customFormat="1" x14ac:dyDescent="0.25">
      <c r="A24" s="139" t="s">
        <v>555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41">
        <f>K6+K22+K23</f>
        <v>51918</v>
      </c>
      <c r="L24" s="141">
        <f>L6+L22+L23</f>
        <v>51473</v>
      </c>
      <c r="M24" s="141">
        <f>M6+M22+M23</f>
        <v>51604</v>
      </c>
      <c r="N24" s="141">
        <f>N6+N22+N23</f>
        <v>51604</v>
      </c>
      <c r="O24" s="141">
        <f>O6+O22+O23</f>
        <v>51604</v>
      </c>
      <c r="P24" s="141"/>
      <c r="Q24" s="141"/>
      <c r="R24" s="141"/>
      <c r="U24" s="113" t="s">
        <v>556</v>
      </c>
      <c r="V24" s="49"/>
      <c r="W24" s="49"/>
      <c r="X24" s="47">
        <f>SUMIF($D:$D,$U$24,K:K)</f>
        <v>10310</v>
      </c>
      <c r="Y24" s="47">
        <f>SUMIF($D:$D,$U$24,L:L)</f>
        <v>11925</v>
      </c>
      <c r="Z24" s="47">
        <f>SUMIF($D:$D,$U$24,M:M)</f>
        <v>18506</v>
      </c>
      <c r="AA24" s="47">
        <f>SUMIF($D:$D,$U$24,N:N)</f>
        <v>18506</v>
      </c>
      <c r="AB24" s="93"/>
      <c r="AC24" s="93"/>
    </row>
    <row r="25" spans="1:29" s="36" customFormat="1" x14ac:dyDescent="0.25">
      <c r="B25" s="121"/>
      <c r="C25" s="121"/>
      <c r="D25" s="121"/>
      <c r="E25" s="122"/>
      <c r="F25" s="122"/>
      <c r="G25" s="123"/>
      <c r="H25" s="124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26"/>
      <c r="U25" s="26"/>
      <c r="V25" s="49"/>
      <c r="W25" s="49"/>
      <c r="X25" s="143">
        <f ca="1">SUBTOTAL(9,X13:X24)</f>
        <v>28857</v>
      </c>
      <c r="Y25" s="143">
        <f t="shared" ref="Y25:AA25" ca="1" si="4">SUBTOTAL(9,Y13:Y24)</f>
        <v>101236</v>
      </c>
      <c r="Z25" s="143">
        <f t="shared" ca="1" si="4"/>
        <v>54868</v>
      </c>
      <c r="AA25" s="143">
        <f t="shared" ca="1" si="4"/>
        <v>107751</v>
      </c>
      <c r="AB25" s="93"/>
      <c r="AC25" s="93"/>
    </row>
    <row r="26" spans="1:29" s="36" customFormat="1" x14ac:dyDescent="0.25">
      <c r="A26" s="144" t="s">
        <v>557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6" t="e">
        <f>K19+K21+K24+K245+K11</f>
        <v>#REF!</v>
      </c>
      <c r="L26" s="146">
        <f>L4+L5+L6+L7+L11+L245</f>
        <v>417305</v>
      </c>
      <c r="M26" s="146">
        <f>M4+M5+M6+M7+M11+M245</f>
        <v>400531</v>
      </c>
      <c r="N26" s="146">
        <f>N4+N5+N6+N7+N11+N245</f>
        <v>451331</v>
      </c>
      <c r="O26" s="146">
        <f>O4+O5+O6+O7+O11+O245</f>
        <v>490229</v>
      </c>
      <c r="P26" s="261"/>
      <c r="Q26" s="261"/>
      <c r="R26" s="261"/>
      <c r="S26" s="26"/>
      <c r="U26" s="26"/>
      <c r="V26" s="49"/>
      <c r="W26" s="49"/>
      <c r="X26" s="49"/>
      <c r="Y26" s="1"/>
      <c r="Z26" s="93"/>
      <c r="AA26" s="93"/>
      <c r="AB26" s="93"/>
      <c r="AC26" s="93"/>
    </row>
    <row r="27" spans="1:29" s="36" customFormat="1" x14ac:dyDescent="0.25">
      <c r="A27" s="144" t="s">
        <v>558</v>
      </c>
      <c r="B27" s="147"/>
      <c r="C27" s="147"/>
      <c r="D27" s="147"/>
      <c r="E27" s="148"/>
      <c r="F27" s="148"/>
      <c r="G27" s="149"/>
      <c r="H27" s="150"/>
      <c r="I27" s="151"/>
      <c r="J27" s="151"/>
      <c r="K27" s="151">
        <f>K8+K11</f>
        <v>361144</v>
      </c>
      <c r="L27" s="151">
        <f>L8+L11</f>
        <v>411435</v>
      </c>
      <c r="M27" s="151">
        <f>M8+M11</f>
        <v>388036</v>
      </c>
      <c r="N27" s="151">
        <f>N8+N11</f>
        <v>436374</v>
      </c>
      <c r="O27" s="151">
        <f>O8+O11</f>
        <v>472425</v>
      </c>
      <c r="P27" s="262"/>
      <c r="Q27" s="262"/>
      <c r="R27" s="262"/>
      <c r="S27" s="26"/>
      <c r="T27" s="26"/>
      <c r="U27" s="26"/>
      <c r="V27" s="49"/>
      <c r="W27" s="49"/>
      <c r="X27" s="152">
        <f ca="1">SUMIF($B:$B,"X",K:K)-X25</f>
        <v>0</v>
      </c>
      <c r="Y27" s="152">
        <f ca="1">SUMIF($B:$B,"X",L:L)-Y25</f>
        <v>1268</v>
      </c>
      <c r="Z27" s="152">
        <f ca="1">SUMIF($B:$B,"X",M:M)-Z25</f>
        <v>0</v>
      </c>
      <c r="AA27" s="152">
        <f ca="1">SUMIF($B:$B,"X",N:N)-AA25</f>
        <v>0</v>
      </c>
      <c r="AB27" s="93"/>
      <c r="AC27" s="93"/>
    </row>
    <row r="28" spans="1:29" s="36" customFormat="1" x14ac:dyDescent="0.25">
      <c r="A28" s="153"/>
      <c r="B28" s="154"/>
      <c r="C28" s="154"/>
      <c r="D28" s="154"/>
      <c r="E28" s="155"/>
      <c r="F28" s="155"/>
      <c r="G28" s="156"/>
      <c r="H28" s="157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26"/>
      <c r="T28" s="26"/>
      <c r="U28" s="26"/>
      <c r="V28" s="49"/>
      <c r="W28" s="49"/>
      <c r="X28" s="49"/>
      <c r="Y28" s="1"/>
      <c r="Z28" s="93"/>
      <c r="AA28" s="93"/>
      <c r="AB28" s="93"/>
      <c r="AC28" s="93"/>
    </row>
    <row r="29" spans="1:29" s="36" customFormat="1" x14ac:dyDescent="0.25">
      <c r="A29" s="24"/>
      <c r="B29" s="30"/>
      <c r="C29" s="30"/>
      <c r="D29" s="30"/>
      <c r="E29" s="62"/>
      <c r="F29" s="62"/>
      <c r="G29" s="24"/>
      <c r="H29" s="31"/>
      <c r="I29" s="31"/>
      <c r="J29" s="31"/>
      <c r="K29" s="31"/>
      <c r="L29" s="31"/>
      <c r="M29" s="31"/>
      <c r="N29" s="31"/>
      <c r="O29" s="31"/>
      <c r="P29" s="259"/>
      <c r="Q29" s="259"/>
      <c r="R29" s="259"/>
      <c r="S29" s="26"/>
      <c r="T29" s="26"/>
      <c r="U29" s="26"/>
      <c r="V29" s="49"/>
      <c r="W29" s="49"/>
      <c r="X29" s="49"/>
      <c r="Y29" s="27"/>
      <c r="Z29" s="93"/>
      <c r="AA29" s="93">
        <f ca="1">+AA25-Z25</f>
        <v>52883</v>
      </c>
      <c r="AB29" s="93"/>
      <c r="AC29" s="93"/>
    </row>
    <row r="30" spans="1:29" s="36" customFormat="1" x14ac:dyDescent="0.25">
      <c r="A30" s="13" t="s">
        <v>559</v>
      </c>
      <c r="B30" s="9"/>
      <c r="C30" s="9"/>
      <c r="D30" s="9"/>
      <c r="E30" s="49"/>
      <c r="F30" s="49"/>
      <c r="G30" s="26"/>
      <c r="H30" s="10"/>
      <c r="I30" s="10"/>
      <c r="J30" s="10"/>
      <c r="K30" s="10">
        <f>K37</f>
        <v>-117426</v>
      </c>
      <c r="L30" s="10">
        <f t="shared" ref="L30:L31" si="5">M37</f>
        <v>-146557</v>
      </c>
      <c r="M30" s="10">
        <v>-147666</v>
      </c>
      <c r="N30" s="10">
        <v>-165432</v>
      </c>
      <c r="O30" s="10">
        <v>-179309</v>
      </c>
      <c r="P30" s="10">
        <v>-182520</v>
      </c>
      <c r="Q30" s="10"/>
      <c r="R30" s="10"/>
      <c r="S30" s="26"/>
      <c r="T30" s="26"/>
      <c r="U30" s="26"/>
      <c r="V30" s="49"/>
      <c r="W30" s="49"/>
      <c r="X30" s="49"/>
      <c r="Y30" s="27"/>
      <c r="Z30" s="93"/>
      <c r="AA30" s="93"/>
      <c r="AB30" s="93"/>
      <c r="AC30" s="93"/>
    </row>
    <row r="31" spans="1:29" s="36" customFormat="1" x14ac:dyDescent="0.25">
      <c r="A31" s="13" t="s">
        <v>560</v>
      </c>
      <c r="B31" s="16"/>
      <c r="C31" s="16"/>
      <c r="D31" s="16"/>
      <c r="E31" s="65"/>
      <c r="F31" s="65"/>
      <c r="G31" s="25"/>
      <c r="H31" s="17">
        <f>SUMIFS(H:H,$E:$E,"NYTT",$F:$F,"MÅ")</f>
        <v>0</v>
      </c>
      <c r="I31" s="17">
        <f>SUMIFS(I:I,$E:$E,"NYTT",$F:$F,"MÅ")</f>
        <v>0</v>
      </c>
      <c r="J31" s="17">
        <f>SUMIFS(J:J,$E:$E,"NYTT",$F:$F,"MÅ")</f>
        <v>0</v>
      </c>
      <c r="K31" s="17">
        <f t="shared" ref="K31" si="6">K38</f>
        <v>-123759</v>
      </c>
      <c r="L31" s="17">
        <f t="shared" si="5"/>
        <v>-158540</v>
      </c>
      <c r="M31" s="17">
        <v>-159649</v>
      </c>
      <c r="N31" s="17">
        <v>-179833</v>
      </c>
      <c r="O31" s="17">
        <v>-196127</v>
      </c>
      <c r="P31" s="259">
        <v>-202763</v>
      </c>
      <c r="Q31" s="259"/>
      <c r="R31" s="259"/>
      <c r="S31" s="26"/>
      <c r="T31" s="26"/>
      <c r="U31" s="26"/>
      <c r="V31" s="49"/>
      <c r="W31" s="49"/>
      <c r="X31" s="49"/>
      <c r="Y31" s="27"/>
      <c r="Z31" s="93"/>
      <c r="AA31" s="93"/>
      <c r="AB31" s="93"/>
      <c r="AC31" s="93"/>
    </row>
    <row r="32" spans="1:29" s="36" customFormat="1" x14ac:dyDescent="0.25">
      <c r="A32" s="144" t="s">
        <v>561</v>
      </c>
      <c r="B32" s="147"/>
      <c r="C32" s="147"/>
      <c r="D32" s="147"/>
      <c r="E32" s="148"/>
      <c r="F32" s="148"/>
      <c r="G32" s="149"/>
      <c r="H32" s="150" t="e">
        <f>#REF!+#REF!+H10+H31</f>
        <v>#REF!</v>
      </c>
      <c r="I32" s="151" t="e">
        <f>#REF!+#REF!+I10+#REF!+I31</f>
        <v>#REF!</v>
      </c>
      <c r="J32" s="151" t="e">
        <f>#REF!+#REF!+J10+J29+J31</f>
        <v>#REF!</v>
      </c>
      <c r="K32" s="151">
        <f>K11+K30+K31</f>
        <v>-220719</v>
      </c>
      <c r="L32" s="151">
        <f>L11+L30+L31</f>
        <v>-248245</v>
      </c>
      <c r="M32" s="151">
        <f>M11+M30+M31</f>
        <v>-273862</v>
      </c>
      <c r="N32" s="151">
        <f>N11+N30+N31</f>
        <v>-263474</v>
      </c>
      <c r="O32" s="151">
        <f>O11+O30+O31</f>
        <v>-257594</v>
      </c>
      <c r="P32" s="262"/>
      <c r="Q32" s="262"/>
      <c r="R32" s="262"/>
      <c r="S32" s="26"/>
      <c r="T32" s="26"/>
      <c r="U32" s="26"/>
      <c r="V32" s="49"/>
      <c r="W32" s="49"/>
      <c r="X32" s="49"/>
      <c r="Y32" s="27"/>
      <c r="Z32" s="93"/>
      <c r="AA32" s="93"/>
      <c r="AB32" s="93"/>
      <c r="AC32" s="93"/>
    </row>
    <row r="33" spans="1:29" s="36" customFormat="1" x14ac:dyDescent="0.25">
      <c r="B33" s="121"/>
      <c r="C33" s="121"/>
      <c r="D33" s="121"/>
      <c r="E33" s="122"/>
      <c r="F33" s="122"/>
      <c r="G33" s="123"/>
      <c r="H33" s="124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26"/>
      <c r="T33" s="26"/>
      <c r="U33" s="26"/>
      <c r="V33" s="49"/>
      <c r="W33" s="49"/>
      <c r="X33" s="49"/>
      <c r="Y33" s="27"/>
      <c r="Z33" s="93"/>
      <c r="AA33" s="93"/>
      <c r="AB33" s="93"/>
      <c r="AC33" s="93"/>
    </row>
    <row r="34" spans="1:29" s="36" customFormat="1" x14ac:dyDescent="0.25">
      <c r="A34" s="13"/>
      <c r="B34" s="40"/>
      <c r="C34" s="40"/>
      <c r="D34" s="40"/>
      <c r="E34" s="64"/>
      <c r="F34" s="64"/>
      <c r="G34" s="13"/>
      <c r="H34" s="38"/>
      <c r="I34" s="38"/>
      <c r="J34" s="38"/>
      <c r="K34" s="38"/>
      <c r="L34" s="38"/>
      <c r="M34" s="38"/>
      <c r="N34" s="38"/>
      <c r="O34" s="38"/>
      <c r="P34" s="259"/>
      <c r="Q34" s="259"/>
      <c r="R34" s="259"/>
      <c r="S34" s="26"/>
      <c r="T34" s="26"/>
      <c r="U34" s="26"/>
      <c r="V34" s="49"/>
      <c r="W34" s="49"/>
      <c r="X34" s="49"/>
      <c r="Y34" s="27"/>
      <c r="Z34" s="93"/>
      <c r="AA34" s="93"/>
      <c r="AB34" s="93"/>
      <c r="AC34" s="93"/>
    </row>
    <row r="35" spans="1:29" s="36" customFormat="1" ht="30" x14ac:dyDescent="0.25">
      <c r="A35" s="4" t="s">
        <v>33</v>
      </c>
      <c r="B35" s="5" t="s">
        <v>34</v>
      </c>
      <c r="C35" s="3" t="s">
        <v>35</v>
      </c>
      <c r="D35" s="3" t="s">
        <v>562</v>
      </c>
      <c r="E35" s="6" t="s">
        <v>36</v>
      </c>
      <c r="F35" s="44" t="s">
        <v>37</v>
      </c>
      <c r="G35" s="5" t="s">
        <v>563</v>
      </c>
      <c r="H35" s="4">
        <v>2015</v>
      </c>
      <c r="I35" s="4">
        <v>2016</v>
      </c>
      <c r="J35" s="4">
        <v>2017</v>
      </c>
      <c r="K35" s="4">
        <v>2018</v>
      </c>
      <c r="L35" s="4">
        <v>2019</v>
      </c>
      <c r="M35" s="4">
        <v>2020</v>
      </c>
      <c r="N35" s="4">
        <v>2021</v>
      </c>
      <c r="O35" s="4">
        <v>2022</v>
      </c>
      <c r="P35" s="4">
        <v>2023</v>
      </c>
      <c r="Q35" s="4"/>
      <c r="R35" s="4"/>
      <c r="S35" s="26"/>
      <c r="T35" s="26" t="s">
        <v>39</v>
      </c>
      <c r="U35" s="26" t="s">
        <v>40</v>
      </c>
      <c r="V35" s="49"/>
      <c r="W35" s="49"/>
      <c r="X35" s="49"/>
      <c r="Y35" s="26"/>
    </row>
    <row r="36" spans="1:29" s="36" customFormat="1" ht="18.75" customHeight="1" x14ac:dyDescent="0.25">
      <c r="A36" s="13"/>
      <c r="B36" s="42"/>
      <c r="C36" s="14" t="s">
        <v>42</v>
      </c>
      <c r="D36" s="15"/>
      <c r="E36" s="39"/>
      <c r="F36" s="85"/>
      <c r="G36" s="28"/>
      <c r="H36" s="29"/>
      <c r="I36" s="38"/>
      <c r="J36" s="83"/>
      <c r="K36" s="83"/>
      <c r="L36" s="83"/>
      <c r="M36" s="83"/>
      <c r="N36" s="38"/>
      <c r="O36" s="38"/>
      <c r="P36" s="259"/>
      <c r="Q36" s="259"/>
      <c r="R36" s="259"/>
      <c r="S36" s="26"/>
      <c r="T36" s="26"/>
      <c r="U36" s="26"/>
      <c r="V36" s="75"/>
      <c r="W36" s="75"/>
      <c r="X36" s="75"/>
      <c r="Y36" s="26"/>
    </row>
    <row r="37" spans="1:29" s="36" customFormat="1" ht="18.75" customHeight="1" x14ac:dyDescent="0.25">
      <c r="A37" s="43" t="s">
        <v>44</v>
      </c>
      <c r="B37" s="43" t="s">
        <v>564</v>
      </c>
      <c r="C37" s="96" t="s">
        <v>565</v>
      </c>
      <c r="D37" s="77"/>
      <c r="E37" s="39" t="s">
        <v>44</v>
      </c>
      <c r="F37" s="58" t="s">
        <v>46</v>
      </c>
      <c r="G37" s="23"/>
      <c r="H37" s="23"/>
      <c r="I37" s="53">
        <v>-96696</v>
      </c>
      <c r="J37" s="87">
        <v>-110754</v>
      </c>
      <c r="K37" s="87">
        <v>-117426</v>
      </c>
      <c r="M37" s="10">
        <v>-146557</v>
      </c>
      <c r="N37" s="10">
        <v>-160476</v>
      </c>
      <c r="O37" s="10">
        <v>-176350</v>
      </c>
      <c r="P37" s="10">
        <v>-179215</v>
      </c>
      <c r="Q37" s="10"/>
      <c r="R37" s="10"/>
      <c r="S37" s="36" t="s">
        <v>566</v>
      </c>
      <c r="T37" s="26"/>
      <c r="U37" s="26"/>
      <c r="V37" s="26"/>
      <c r="W37" s="26"/>
      <c r="X37" s="26"/>
      <c r="Y37" s="26"/>
    </row>
    <row r="38" spans="1:29" s="36" customFormat="1" ht="18.75" customHeight="1" x14ac:dyDescent="0.25">
      <c r="A38" s="43" t="s">
        <v>44</v>
      </c>
      <c r="B38" s="43" t="s">
        <v>567</v>
      </c>
      <c r="C38" s="96" t="s">
        <v>568</v>
      </c>
      <c r="D38" s="77"/>
      <c r="E38" s="39" t="s">
        <v>44</v>
      </c>
      <c r="F38" s="58" t="s">
        <v>46</v>
      </c>
      <c r="G38" s="23"/>
      <c r="H38" s="23"/>
      <c r="I38" s="53">
        <v>-98309</v>
      </c>
      <c r="J38" s="87">
        <v>-121909</v>
      </c>
      <c r="K38" s="87">
        <v>-123759</v>
      </c>
      <c r="M38" s="17">
        <v>-158540</v>
      </c>
      <c r="N38" s="17">
        <v>-174876</v>
      </c>
      <c r="O38" s="17">
        <v>-193168</v>
      </c>
      <c r="P38" s="10">
        <v>-199458</v>
      </c>
      <c r="Q38" s="10"/>
      <c r="R38" s="10"/>
      <c r="S38" s="36" t="s">
        <v>566</v>
      </c>
      <c r="T38" s="26"/>
      <c r="U38" s="26"/>
      <c r="V38" s="26"/>
      <c r="W38" s="26"/>
      <c r="X38" s="26"/>
      <c r="Y38" s="26"/>
    </row>
    <row r="39" spans="1:29" s="36" customFormat="1" ht="25.5" x14ac:dyDescent="0.25">
      <c r="A39" s="43" t="s">
        <v>44</v>
      </c>
      <c r="B39" s="43" t="s">
        <v>569</v>
      </c>
      <c r="C39" s="96" t="s">
        <v>570</v>
      </c>
      <c r="D39" s="77"/>
      <c r="E39" s="39" t="s">
        <v>44</v>
      </c>
      <c r="F39" s="58" t="s">
        <v>46</v>
      </c>
      <c r="G39" s="23"/>
      <c r="H39" s="23"/>
      <c r="I39" s="53"/>
      <c r="J39" s="87"/>
      <c r="K39" s="87">
        <v>-4927</v>
      </c>
      <c r="M39" s="209">
        <v>-5832</v>
      </c>
      <c r="N39" s="209">
        <v>-5633</v>
      </c>
      <c r="O39" s="209">
        <v>-5438</v>
      </c>
      <c r="P39" s="209">
        <v>-5181</v>
      </c>
      <c r="Q39" s="388"/>
      <c r="R39" s="388"/>
      <c r="S39" s="142" t="s">
        <v>571</v>
      </c>
      <c r="T39" s="26"/>
      <c r="U39" s="26"/>
      <c r="V39" s="26"/>
      <c r="W39" s="26"/>
      <c r="X39" s="26"/>
      <c r="Y39" s="26"/>
    </row>
    <row r="40" spans="1:29" s="36" customFormat="1" ht="25.5" x14ac:dyDescent="0.25">
      <c r="A40" s="43" t="s">
        <v>44</v>
      </c>
      <c r="B40" s="43" t="s">
        <v>572</v>
      </c>
      <c r="C40" s="96" t="s">
        <v>573</v>
      </c>
      <c r="D40" s="77"/>
      <c r="E40" s="39" t="s">
        <v>44</v>
      </c>
      <c r="F40" s="58" t="s">
        <v>46</v>
      </c>
      <c r="G40" s="23"/>
      <c r="H40" s="23"/>
      <c r="I40" s="53"/>
      <c r="J40" s="87"/>
      <c r="K40" s="87">
        <v>-11569</v>
      </c>
      <c r="L40" s="88"/>
      <c r="M40" s="209">
        <v>-10672</v>
      </c>
      <c r="N40" s="209">
        <v>-10672</v>
      </c>
      <c r="O40" s="209">
        <v>-10672</v>
      </c>
      <c r="P40" s="209">
        <v>-10672</v>
      </c>
      <c r="Q40" s="388"/>
      <c r="R40" s="388"/>
      <c r="S40" s="142" t="s">
        <v>571</v>
      </c>
      <c r="T40" s="26"/>
      <c r="U40" s="26"/>
      <c r="V40" s="26"/>
      <c r="W40" s="26"/>
      <c r="X40" s="26"/>
      <c r="Y40" s="26"/>
    </row>
    <row r="41" spans="1:29" s="36" customFormat="1" ht="18.75" customHeight="1" x14ac:dyDescent="0.25">
      <c r="A41" s="41"/>
      <c r="B41" s="41"/>
      <c r="C41" s="3" t="s">
        <v>87</v>
      </c>
      <c r="D41" s="3"/>
      <c r="E41" s="61"/>
      <c r="F41" s="61"/>
      <c r="G41" s="7"/>
      <c r="H41" s="7">
        <f t="shared" ref="H41:P41" si="7">SUMIF($A:$A,"SENT.INNT",H:H)</f>
        <v>0</v>
      </c>
      <c r="I41" s="7">
        <f t="shared" si="7"/>
        <v>-195005</v>
      </c>
      <c r="J41" s="7">
        <f t="shared" si="7"/>
        <v>-232663</v>
      </c>
      <c r="K41" s="7">
        <f t="shared" si="7"/>
        <v>-257681</v>
      </c>
      <c r="L41" s="7">
        <f t="shared" si="7"/>
        <v>0</v>
      </c>
      <c r="M41" s="7">
        <f t="shared" si="7"/>
        <v>-321601</v>
      </c>
      <c r="N41" s="7">
        <f t="shared" si="7"/>
        <v>-351657</v>
      </c>
      <c r="O41" s="7">
        <f t="shared" si="7"/>
        <v>-385628</v>
      </c>
      <c r="P41" s="7">
        <f t="shared" si="7"/>
        <v>-394526</v>
      </c>
      <c r="Q41" s="7"/>
      <c r="R41" s="7"/>
      <c r="S41" s="26"/>
      <c r="T41" s="26"/>
      <c r="U41" s="26"/>
      <c r="V41" s="26"/>
      <c r="W41" s="26"/>
      <c r="X41" s="26"/>
      <c r="Y41" s="26"/>
    </row>
    <row r="42" spans="1:29" s="1" customFormat="1" ht="18.75" customHeight="1" x14ac:dyDescent="0.25">
      <c r="A42" s="46"/>
      <c r="B42" s="46"/>
      <c r="C42" s="11" t="s">
        <v>574</v>
      </c>
      <c r="D42" s="11"/>
      <c r="E42" s="48"/>
      <c r="F42" s="48"/>
      <c r="G42" s="22"/>
      <c r="H42" s="22"/>
      <c r="I42" s="12"/>
      <c r="J42" s="12"/>
      <c r="K42" s="12"/>
      <c r="L42" s="12"/>
      <c r="M42" s="12"/>
      <c r="N42" s="12"/>
      <c r="O42" s="12"/>
      <c r="P42" s="263"/>
      <c r="Q42" s="263"/>
      <c r="R42" s="263"/>
      <c r="S42" s="27"/>
      <c r="T42" s="26"/>
      <c r="U42" s="26"/>
      <c r="V42" s="27"/>
      <c r="W42" s="27"/>
      <c r="X42" s="27"/>
      <c r="Y42" s="27"/>
    </row>
    <row r="43" spans="1:29" s="36" customFormat="1" ht="18.75" customHeight="1" x14ac:dyDescent="0.25">
      <c r="A43" s="39"/>
      <c r="B43" s="42"/>
      <c r="C43" s="86" t="s">
        <v>91</v>
      </c>
      <c r="D43" s="86"/>
      <c r="E43" s="48"/>
      <c r="F43" s="48"/>
      <c r="G43" s="29"/>
      <c r="H43" s="29"/>
      <c r="I43" s="38"/>
      <c r="J43" s="38"/>
      <c r="K43" s="38"/>
      <c r="L43" s="38"/>
      <c r="M43" s="38"/>
      <c r="N43" s="38"/>
      <c r="O43" s="38"/>
      <c r="P43" s="259"/>
      <c r="Q43" s="259"/>
      <c r="R43" s="259"/>
      <c r="S43" s="26"/>
      <c r="T43" s="26"/>
      <c r="U43" s="26"/>
      <c r="V43" s="97" t="s">
        <v>92</v>
      </c>
      <c r="W43" s="97" t="s">
        <v>93</v>
      </c>
      <c r="X43" s="97" t="s">
        <v>94</v>
      </c>
      <c r="Y43" s="26"/>
    </row>
    <row r="44" spans="1:29" s="36" customFormat="1" ht="18.75" customHeight="1" x14ac:dyDescent="0.25">
      <c r="A44" s="39" t="s">
        <v>575</v>
      </c>
      <c r="B44" s="43" t="str">
        <f>IF(U44,T44&amp;U44,"")</f>
        <v>S1</v>
      </c>
      <c r="C44" s="74" t="s">
        <v>576</v>
      </c>
      <c r="D44" s="77" t="s">
        <v>577</v>
      </c>
      <c r="E44" s="70" t="s">
        <v>578</v>
      </c>
      <c r="F44" s="58" t="s">
        <v>98</v>
      </c>
      <c r="G44" s="29"/>
      <c r="H44" s="29"/>
      <c r="I44" s="38"/>
      <c r="J44" s="38"/>
      <c r="K44" s="38">
        <v>91</v>
      </c>
      <c r="L44" s="68">
        <v>7978</v>
      </c>
      <c r="M44" s="221">
        <f>11987-7978</f>
        <v>4009</v>
      </c>
      <c r="N44" s="221">
        <f>11987-7978</f>
        <v>4009</v>
      </c>
      <c r="O44" s="221">
        <f>11987-7978</f>
        <v>4009</v>
      </c>
      <c r="P44" s="264">
        <f t="shared" ref="P44:P52" si="8">O44</f>
        <v>4009</v>
      </c>
      <c r="Q44" s="438"/>
      <c r="R44" s="438"/>
      <c r="S44" s="23">
        <f t="shared" ref="S44:S63" si="9">IF(D44="INTERNHUSLEIE",K44,"0")</f>
        <v>91</v>
      </c>
      <c r="T44" s="26" t="s">
        <v>579</v>
      </c>
      <c r="U44" s="26">
        <v>1</v>
      </c>
      <c r="V44" s="97"/>
      <c r="W44" s="97"/>
      <c r="X44" s="97"/>
      <c r="Y44" s="26"/>
    </row>
    <row r="45" spans="1:29" s="36" customFormat="1" ht="18.75" customHeight="1" x14ac:dyDescent="0.25">
      <c r="A45" s="39" t="s">
        <v>575</v>
      </c>
      <c r="B45" s="43" t="str">
        <f t="shared" ref="B45:B94" si="10">IF(U45,T45&amp;U45,"")</f>
        <v>S2</v>
      </c>
      <c r="C45" s="74" t="s">
        <v>576</v>
      </c>
      <c r="D45" s="77" t="s">
        <v>580</v>
      </c>
      <c r="E45" s="70" t="s">
        <v>578</v>
      </c>
      <c r="F45" s="58" t="s">
        <v>98</v>
      </c>
      <c r="G45" s="29"/>
      <c r="H45" s="29"/>
      <c r="I45" s="38"/>
      <c r="J45" s="38"/>
      <c r="K45" s="38">
        <v>13</v>
      </c>
      <c r="L45" s="68">
        <v>852</v>
      </c>
      <c r="M45" s="277">
        <f>1278-L45</f>
        <v>426</v>
      </c>
      <c r="N45" s="277">
        <f>1278-M45</f>
        <v>852</v>
      </c>
      <c r="O45" s="277">
        <f>1278-N45</f>
        <v>426</v>
      </c>
      <c r="P45" s="278">
        <f t="shared" si="8"/>
        <v>426</v>
      </c>
      <c r="Q45" s="439"/>
      <c r="R45" s="439"/>
      <c r="S45" s="23" t="str">
        <f t="shared" si="9"/>
        <v>0</v>
      </c>
      <c r="T45" s="26" t="s">
        <v>579</v>
      </c>
      <c r="U45" s="26">
        <f>U44+1</f>
        <v>2</v>
      </c>
      <c r="V45" s="97"/>
      <c r="W45" s="97"/>
      <c r="X45" s="97"/>
      <c r="Y45" s="26"/>
    </row>
    <row r="46" spans="1:29" s="36" customFormat="1" ht="18.75" customHeight="1" x14ac:dyDescent="0.25">
      <c r="A46" s="39" t="s">
        <v>575</v>
      </c>
      <c r="B46" s="43" t="str">
        <f t="shared" si="10"/>
        <v>S3</v>
      </c>
      <c r="C46" s="74" t="s">
        <v>576</v>
      </c>
      <c r="D46" s="77" t="s">
        <v>581</v>
      </c>
      <c r="E46" s="70" t="s">
        <v>578</v>
      </c>
      <c r="F46" s="58" t="s">
        <v>98</v>
      </c>
      <c r="G46" s="29"/>
      <c r="H46" s="29"/>
      <c r="I46" s="38"/>
      <c r="J46" s="38"/>
      <c r="K46" s="38">
        <v>6</v>
      </c>
      <c r="L46" s="68">
        <v>426</v>
      </c>
      <c r="M46" s="277">
        <f>639-L46</f>
        <v>213</v>
      </c>
      <c r="N46" s="277">
        <f>639-M46</f>
        <v>426</v>
      </c>
      <c r="O46" s="277">
        <f>639-N46</f>
        <v>213</v>
      </c>
      <c r="P46" s="278">
        <f t="shared" si="8"/>
        <v>213</v>
      </c>
      <c r="Q46" s="439"/>
      <c r="R46" s="439"/>
      <c r="S46" s="23" t="str">
        <f t="shared" si="9"/>
        <v>0</v>
      </c>
      <c r="T46" s="26" t="s">
        <v>579</v>
      </c>
      <c r="U46" s="26">
        <f t="shared" ref="U46:U93" si="11">U45+1</f>
        <v>3</v>
      </c>
      <c r="V46" s="97"/>
      <c r="W46" s="97"/>
      <c r="X46" s="97"/>
      <c r="Y46" s="26"/>
    </row>
    <row r="47" spans="1:29" s="36" customFormat="1" ht="18.75" customHeight="1" x14ac:dyDescent="0.25">
      <c r="A47" s="39" t="s">
        <v>575</v>
      </c>
      <c r="B47" s="43" t="str">
        <f t="shared" si="10"/>
        <v>S4</v>
      </c>
      <c r="C47" s="74" t="s">
        <v>582</v>
      </c>
      <c r="D47" s="77" t="s">
        <v>577</v>
      </c>
      <c r="E47" s="70" t="s">
        <v>578</v>
      </c>
      <c r="F47" s="58" t="s">
        <v>98</v>
      </c>
      <c r="G47" s="29"/>
      <c r="H47" s="29"/>
      <c r="I47" s="38"/>
      <c r="J47" s="38"/>
      <c r="K47" s="38">
        <v>1005</v>
      </c>
      <c r="L47" s="68">
        <v>-300</v>
      </c>
      <c r="M47" s="277">
        <f>225-L47</f>
        <v>525</v>
      </c>
      <c r="N47" s="277">
        <f>225-M47</f>
        <v>-300</v>
      </c>
      <c r="O47" s="277">
        <f>225-N47</f>
        <v>525</v>
      </c>
      <c r="P47" s="278">
        <f t="shared" si="8"/>
        <v>525</v>
      </c>
      <c r="Q47" s="439"/>
      <c r="R47" s="439"/>
      <c r="S47" s="23">
        <f t="shared" si="9"/>
        <v>1005</v>
      </c>
      <c r="T47" s="26" t="s">
        <v>579</v>
      </c>
      <c r="U47" s="26">
        <f t="shared" si="11"/>
        <v>4</v>
      </c>
      <c r="V47" s="97"/>
      <c r="W47" s="97"/>
      <c r="X47" s="97"/>
      <c r="Y47" s="26"/>
    </row>
    <row r="48" spans="1:29" s="36" customFormat="1" ht="18.75" customHeight="1" x14ac:dyDescent="0.25">
      <c r="A48" s="39" t="s">
        <v>575</v>
      </c>
      <c r="B48" s="43" t="str">
        <f t="shared" si="10"/>
        <v>S5</v>
      </c>
      <c r="C48" s="74" t="s">
        <v>582</v>
      </c>
      <c r="D48" s="77" t="s">
        <v>580</v>
      </c>
      <c r="E48" s="70" t="s">
        <v>578</v>
      </c>
      <c r="F48" s="58" t="s">
        <v>98</v>
      </c>
      <c r="G48" s="29"/>
      <c r="H48" s="29"/>
      <c r="I48" s="38"/>
      <c r="J48" s="38"/>
      <c r="K48" s="38">
        <v>120</v>
      </c>
      <c r="L48" s="68">
        <v>-441</v>
      </c>
      <c r="M48" s="277">
        <f>-662-L48</f>
        <v>-221</v>
      </c>
      <c r="N48" s="277">
        <f>-662-M48</f>
        <v>-441</v>
      </c>
      <c r="O48" s="277">
        <f>-662-N48</f>
        <v>-221</v>
      </c>
      <c r="P48" s="278">
        <f t="shared" si="8"/>
        <v>-221</v>
      </c>
      <c r="Q48" s="439"/>
      <c r="R48" s="439"/>
      <c r="S48" s="23" t="str">
        <f t="shared" si="9"/>
        <v>0</v>
      </c>
      <c r="T48" s="26" t="s">
        <v>579</v>
      </c>
      <c r="U48" s="26">
        <f t="shared" si="11"/>
        <v>5</v>
      </c>
      <c r="V48" s="97"/>
      <c r="W48" s="97"/>
      <c r="X48" s="97"/>
      <c r="Y48" s="26"/>
    </row>
    <row r="49" spans="1:29" s="36" customFormat="1" ht="18.75" customHeight="1" x14ac:dyDescent="0.25">
      <c r="A49" s="39" t="s">
        <v>575</v>
      </c>
      <c r="B49" s="43" t="str">
        <f t="shared" si="10"/>
        <v>S6</v>
      </c>
      <c r="C49" s="74" t="s">
        <v>582</v>
      </c>
      <c r="D49" s="77" t="s">
        <v>581</v>
      </c>
      <c r="E49" s="70" t="s">
        <v>578</v>
      </c>
      <c r="F49" s="58" t="s">
        <v>98</v>
      </c>
      <c r="G49" s="29"/>
      <c r="H49" s="29"/>
      <c r="I49" s="38"/>
      <c r="J49" s="38"/>
      <c r="K49" s="38">
        <v>60</v>
      </c>
      <c r="L49" s="68">
        <v>-263</v>
      </c>
      <c r="M49" s="277">
        <f>-395-L49</f>
        <v>-132</v>
      </c>
      <c r="N49" s="277">
        <f>-395-M49</f>
        <v>-263</v>
      </c>
      <c r="O49" s="277">
        <f>-395-N49</f>
        <v>-132</v>
      </c>
      <c r="P49" s="278">
        <f t="shared" si="8"/>
        <v>-132</v>
      </c>
      <c r="Q49" s="439"/>
      <c r="R49" s="439"/>
      <c r="S49" s="23" t="str">
        <f t="shared" si="9"/>
        <v>0</v>
      </c>
      <c r="T49" s="26" t="s">
        <v>579</v>
      </c>
      <c r="U49" s="26">
        <f t="shared" si="11"/>
        <v>6</v>
      </c>
      <c r="V49" s="97"/>
      <c r="W49" s="97"/>
      <c r="X49" s="97"/>
      <c r="Y49" s="26"/>
    </row>
    <row r="50" spans="1:29" s="36" customFormat="1" ht="18.75" customHeight="1" x14ac:dyDescent="0.25">
      <c r="A50" s="39" t="s">
        <v>575</v>
      </c>
      <c r="B50" s="43" t="str">
        <f t="shared" si="10"/>
        <v>S7</v>
      </c>
      <c r="C50" s="74" t="s">
        <v>583</v>
      </c>
      <c r="D50" s="77" t="s">
        <v>577</v>
      </c>
      <c r="E50" s="70" t="s">
        <v>578</v>
      </c>
      <c r="F50" s="58" t="s">
        <v>98</v>
      </c>
      <c r="G50" s="29"/>
      <c r="H50" s="29"/>
      <c r="I50" s="38"/>
      <c r="J50" s="38"/>
      <c r="K50" s="38">
        <v>405</v>
      </c>
      <c r="L50" s="68">
        <v>8886</v>
      </c>
      <c r="M50" s="221">
        <f>11848-L50</f>
        <v>2962</v>
      </c>
      <c r="N50" s="221">
        <v>2962</v>
      </c>
      <c r="O50" s="221">
        <v>2962</v>
      </c>
      <c r="P50" s="264">
        <f t="shared" si="8"/>
        <v>2962</v>
      </c>
      <c r="Q50" s="438"/>
      <c r="R50" s="438"/>
      <c r="S50" s="23">
        <f t="shared" si="9"/>
        <v>405</v>
      </c>
      <c r="T50" s="26" t="s">
        <v>579</v>
      </c>
      <c r="U50" s="26">
        <f t="shared" si="11"/>
        <v>7</v>
      </c>
      <c r="V50" s="97"/>
      <c r="W50" s="97"/>
      <c r="X50" s="97"/>
      <c r="Y50" s="26"/>
    </row>
    <row r="51" spans="1:29" s="36" customFormat="1" ht="18.75" customHeight="1" x14ac:dyDescent="0.25">
      <c r="A51" s="43" t="s">
        <v>575</v>
      </c>
      <c r="B51" s="43" t="str">
        <f t="shared" si="10"/>
        <v>S8</v>
      </c>
      <c r="C51" s="74" t="s">
        <v>584</v>
      </c>
      <c r="D51" s="77" t="s">
        <v>580</v>
      </c>
      <c r="E51" s="70" t="s">
        <v>578</v>
      </c>
      <c r="F51" s="58" t="s">
        <v>98</v>
      </c>
      <c r="G51" s="23"/>
      <c r="H51" s="23"/>
      <c r="I51" s="53"/>
      <c r="J51" s="71"/>
      <c r="K51" s="72"/>
      <c r="L51" s="68">
        <f>547-228</f>
        <v>319</v>
      </c>
      <c r="M51" s="221">
        <f>547-L51</f>
        <v>228</v>
      </c>
      <c r="N51" s="221">
        <v>228</v>
      </c>
      <c r="O51" s="221">
        <v>228</v>
      </c>
      <c r="P51" s="264">
        <f t="shared" si="8"/>
        <v>228</v>
      </c>
      <c r="Q51" s="438"/>
      <c r="R51" s="438"/>
      <c r="S51" s="23" t="str">
        <f t="shared" si="9"/>
        <v>0</v>
      </c>
      <c r="T51" s="26" t="s">
        <v>579</v>
      </c>
      <c r="U51" s="26">
        <f t="shared" si="11"/>
        <v>8</v>
      </c>
      <c r="V51" s="97" t="str">
        <f t="shared" ref="V51:V62" si="12">IF(F51="VEDTATT","VEDTATT",0)</f>
        <v>VEDTATT</v>
      </c>
      <c r="W51" s="97">
        <f t="shared" ref="W51:W62" si="13">IF(F51="MÅ","Nye tiltak",0)</f>
        <v>0</v>
      </c>
      <c r="X51" s="97"/>
      <c r="Y51" s="26"/>
      <c r="Z51" s="93"/>
      <c r="AA51" s="93"/>
      <c r="AB51" s="93"/>
      <c r="AC51" s="93"/>
    </row>
    <row r="52" spans="1:29" s="36" customFormat="1" ht="18.75" customHeight="1" x14ac:dyDescent="0.25">
      <c r="A52" s="43" t="s">
        <v>575</v>
      </c>
      <c r="B52" s="43" t="str">
        <f t="shared" si="10"/>
        <v>S9</v>
      </c>
      <c r="C52" s="74" t="s">
        <v>584</v>
      </c>
      <c r="D52" s="77" t="s">
        <v>581</v>
      </c>
      <c r="E52" s="70" t="s">
        <v>578</v>
      </c>
      <c r="F52" s="58" t="s">
        <v>98</v>
      </c>
      <c r="G52" s="23"/>
      <c r="H52" s="23"/>
      <c r="I52" s="53"/>
      <c r="J52" s="71"/>
      <c r="K52" s="72"/>
      <c r="L52" s="68">
        <v>170</v>
      </c>
      <c r="M52" s="221">
        <f>274-L52</f>
        <v>104</v>
      </c>
      <c r="N52" s="221">
        <v>104</v>
      </c>
      <c r="O52" s="221">
        <v>104</v>
      </c>
      <c r="P52" s="264">
        <f t="shared" si="8"/>
        <v>104</v>
      </c>
      <c r="Q52" s="438"/>
      <c r="R52" s="438"/>
      <c r="S52" s="23" t="str">
        <f t="shared" si="9"/>
        <v>0</v>
      </c>
      <c r="T52" s="26" t="s">
        <v>579</v>
      </c>
      <c r="U52" s="26">
        <f t="shared" si="11"/>
        <v>9</v>
      </c>
      <c r="V52" s="97" t="str">
        <f t="shared" si="12"/>
        <v>VEDTATT</v>
      </c>
      <c r="W52" s="97">
        <f t="shared" si="13"/>
        <v>0</v>
      </c>
      <c r="X52" s="97"/>
      <c r="Y52" s="26"/>
      <c r="AA52" s="93"/>
      <c r="AB52" s="93"/>
      <c r="AC52" s="93"/>
    </row>
    <row r="53" spans="1:29" s="36" customFormat="1" ht="18.75" customHeight="1" x14ac:dyDescent="0.25">
      <c r="A53" s="43" t="s">
        <v>575</v>
      </c>
      <c r="B53" s="43" t="str">
        <f t="shared" si="10"/>
        <v>S10</v>
      </c>
      <c r="C53" s="223" t="s">
        <v>585</v>
      </c>
      <c r="D53" s="77" t="s">
        <v>577</v>
      </c>
      <c r="E53" s="70" t="s">
        <v>578</v>
      </c>
      <c r="F53" s="58" t="s">
        <v>98</v>
      </c>
      <c r="G53" s="23"/>
      <c r="H53" s="23"/>
      <c r="I53" s="53"/>
      <c r="J53" s="71"/>
      <c r="K53" s="72"/>
      <c r="L53" s="68"/>
      <c r="M53" s="68"/>
      <c r="N53" s="68"/>
      <c r="O53" s="68"/>
      <c r="P53" s="68"/>
      <c r="Q53" s="68"/>
      <c r="R53" s="68"/>
      <c r="S53" s="23">
        <f t="shared" si="9"/>
        <v>0</v>
      </c>
      <c r="T53" s="26" t="s">
        <v>579</v>
      </c>
      <c r="U53" s="26">
        <f t="shared" si="11"/>
        <v>10</v>
      </c>
      <c r="V53" s="97" t="str">
        <f t="shared" si="12"/>
        <v>VEDTATT</v>
      </c>
      <c r="W53" s="97">
        <f t="shared" si="13"/>
        <v>0</v>
      </c>
      <c r="X53" s="97"/>
      <c r="Y53" s="26"/>
      <c r="AB53" s="93"/>
      <c r="AC53" s="93"/>
    </row>
    <row r="54" spans="1:29" s="36" customFormat="1" x14ac:dyDescent="0.25">
      <c r="A54" s="43" t="s">
        <v>575</v>
      </c>
      <c r="B54" s="43" t="str">
        <f t="shared" si="10"/>
        <v>S11</v>
      </c>
      <c r="C54" s="223" t="s">
        <v>585</v>
      </c>
      <c r="D54" s="77" t="s">
        <v>580</v>
      </c>
      <c r="E54" s="70" t="s">
        <v>578</v>
      </c>
      <c r="F54" s="58" t="s">
        <v>98</v>
      </c>
      <c r="G54" s="23"/>
      <c r="H54" s="23"/>
      <c r="I54" s="53"/>
      <c r="J54" s="53"/>
      <c r="K54" s="72"/>
      <c r="L54" s="68"/>
      <c r="M54" s="68"/>
      <c r="N54" s="68"/>
      <c r="O54" s="68"/>
      <c r="P54" s="68"/>
      <c r="Q54" s="68"/>
      <c r="R54" s="68"/>
      <c r="S54" s="23" t="str">
        <f t="shared" si="9"/>
        <v>0</v>
      </c>
      <c r="T54" s="26" t="s">
        <v>579</v>
      </c>
      <c r="U54" s="26">
        <f t="shared" si="11"/>
        <v>11</v>
      </c>
      <c r="V54" s="97" t="str">
        <f t="shared" si="12"/>
        <v>VEDTATT</v>
      </c>
      <c r="W54" s="97">
        <f t="shared" si="13"/>
        <v>0</v>
      </c>
      <c r="X54" s="97"/>
      <c r="Y54" s="26"/>
      <c r="AC54" s="93"/>
    </row>
    <row r="55" spans="1:29" s="36" customFormat="1" ht="18.75" customHeight="1" x14ac:dyDescent="0.25">
      <c r="A55" s="43" t="s">
        <v>575</v>
      </c>
      <c r="B55" s="43" t="str">
        <f t="shared" si="10"/>
        <v>S12</v>
      </c>
      <c r="C55" s="223" t="s">
        <v>585</v>
      </c>
      <c r="D55" s="77" t="s">
        <v>581</v>
      </c>
      <c r="E55" s="70" t="s">
        <v>578</v>
      </c>
      <c r="F55" s="58" t="s">
        <v>98</v>
      </c>
      <c r="G55" s="23"/>
      <c r="H55" s="23"/>
      <c r="I55" s="53"/>
      <c r="J55" s="53"/>
      <c r="K55" s="72">
        <v>228</v>
      </c>
      <c r="L55" s="68"/>
      <c r="M55" s="68"/>
      <c r="N55" s="68"/>
      <c r="O55" s="68"/>
      <c r="P55" s="68"/>
      <c r="Q55" s="68"/>
      <c r="R55" s="68"/>
      <c r="S55" s="23" t="str">
        <f t="shared" si="9"/>
        <v>0</v>
      </c>
      <c r="T55" s="26" t="s">
        <v>579</v>
      </c>
      <c r="U55" s="26">
        <f t="shared" si="11"/>
        <v>12</v>
      </c>
      <c r="V55" s="97" t="str">
        <f t="shared" si="12"/>
        <v>VEDTATT</v>
      </c>
      <c r="W55" s="97">
        <f t="shared" si="13"/>
        <v>0</v>
      </c>
      <c r="X55" s="98"/>
      <c r="Y55" s="26"/>
    </row>
    <row r="56" spans="1:29" s="36" customFormat="1" ht="18.75" customHeight="1" x14ac:dyDescent="0.25">
      <c r="A56" s="43" t="s">
        <v>575</v>
      </c>
      <c r="B56" s="43" t="str">
        <f t="shared" si="10"/>
        <v>S13</v>
      </c>
      <c r="C56" s="74" t="s">
        <v>586</v>
      </c>
      <c r="D56" s="77" t="s">
        <v>577</v>
      </c>
      <c r="E56" s="70" t="s">
        <v>578</v>
      </c>
      <c r="F56" s="58" t="s">
        <v>98</v>
      </c>
      <c r="G56" s="23"/>
      <c r="H56" s="23"/>
      <c r="I56" s="53"/>
      <c r="J56" s="71"/>
      <c r="K56" s="72">
        <v>114</v>
      </c>
      <c r="L56" s="68"/>
      <c r="M56" s="221">
        <v>5645</v>
      </c>
      <c r="N56" s="221">
        <v>13548</v>
      </c>
      <c r="O56" s="221">
        <v>13548</v>
      </c>
      <c r="P56" s="264">
        <f>O56</f>
        <v>13548</v>
      </c>
      <c r="Q56" s="438"/>
      <c r="R56" s="438"/>
      <c r="S56" s="23">
        <f t="shared" si="9"/>
        <v>114</v>
      </c>
      <c r="T56" s="26" t="s">
        <v>579</v>
      </c>
      <c r="U56" s="26">
        <f t="shared" si="11"/>
        <v>13</v>
      </c>
      <c r="V56" s="97" t="str">
        <f t="shared" si="12"/>
        <v>VEDTATT</v>
      </c>
      <c r="W56" s="97">
        <f t="shared" si="13"/>
        <v>0</v>
      </c>
      <c r="X56" s="98"/>
      <c r="Y56" s="26"/>
    </row>
    <row r="57" spans="1:29" s="36" customFormat="1" ht="18.75" customHeight="1" x14ac:dyDescent="0.25">
      <c r="A57" s="43" t="s">
        <v>575</v>
      </c>
      <c r="B57" s="43" t="str">
        <f t="shared" si="10"/>
        <v>S14</v>
      </c>
      <c r="C57" s="74" t="s">
        <v>586</v>
      </c>
      <c r="D57" s="77" t="s">
        <v>580</v>
      </c>
      <c r="E57" s="70" t="s">
        <v>578</v>
      </c>
      <c r="F57" s="58" t="s">
        <v>98</v>
      </c>
      <c r="G57" s="23"/>
      <c r="H57" s="23"/>
      <c r="I57" s="53"/>
      <c r="J57" s="53"/>
      <c r="K57" s="72"/>
      <c r="L57" s="68"/>
      <c r="M57" s="221">
        <v>918</v>
      </c>
      <c r="N57" s="221">
        <v>1836</v>
      </c>
      <c r="O57" s="221">
        <v>1836</v>
      </c>
      <c r="P57" s="264">
        <f>O57</f>
        <v>1836</v>
      </c>
      <c r="Q57" s="438"/>
      <c r="R57" s="438"/>
      <c r="S57" s="23" t="str">
        <f t="shared" si="9"/>
        <v>0</v>
      </c>
      <c r="T57" s="26" t="s">
        <v>579</v>
      </c>
      <c r="U57" s="26">
        <f t="shared" si="11"/>
        <v>14</v>
      </c>
      <c r="V57" s="97" t="str">
        <f t="shared" si="12"/>
        <v>VEDTATT</v>
      </c>
      <c r="W57" s="97">
        <f t="shared" si="13"/>
        <v>0</v>
      </c>
      <c r="X57" s="98"/>
      <c r="Y57" s="26"/>
    </row>
    <row r="58" spans="1:29" s="36" customFormat="1" ht="18.75" customHeight="1" x14ac:dyDescent="0.25">
      <c r="A58" s="43" t="s">
        <v>575</v>
      </c>
      <c r="B58" s="43" t="str">
        <f t="shared" si="10"/>
        <v>S15</v>
      </c>
      <c r="C58" s="74" t="s">
        <v>586</v>
      </c>
      <c r="D58" s="77" t="s">
        <v>581</v>
      </c>
      <c r="E58" s="70" t="s">
        <v>578</v>
      </c>
      <c r="F58" s="58" t="s">
        <v>98</v>
      </c>
      <c r="G58" s="23"/>
      <c r="H58" s="23"/>
      <c r="I58" s="53"/>
      <c r="J58" s="106"/>
      <c r="K58" s="72"/>
      <c r="L58" s="68"/>
      <c r="M58" s="221">
        <v>459</v>
      </c>
      <c r="N58" s="221">
        <v>918</v>
      </c>
      <c r="O58" s="221">
        <v>918</v>
      </c>
      <c r="P58" s="264">
        <f>O58</f>
        <v>918</v>
      </c>
      <c r="Q58" s="438"/>
      <c r="R58" s="438"/>
      <c r="S58" s="23" t="str">
        <f t="shared" si="9"/>
        <v>0</v>
      </c>
      <c r="T58" s="26" t="s">
        <v>579</v>
      </c>
      <c r="U58" s="26">
        <f t="shared" si="11"/>
        <v>15</v>
      </c>
      <c r="V58" s="97" t="str">
        <f t="shared" si="12"/>
        <v>VEDTATT</v>
      </c>
      <c r="W58" s="97">
        <f t="shared" si="13"/>
        <v>0</v>
      </c>
      <c r="X58" s="98"/>
      <c r="Y58" s="26"/>
    </row>
    <row r="59" spans="1:29" s="36" customFormat="1" ht="18.75" customHeight="1" x14ac:dyDescent="0.25">
      <c r="A59" s="43" t="s">
        <v>575</v>
      </c>
      <c r="B59" s="43" t="str">
        <f t="shared" si="10"/>
        <v>S16</v>
      </c>
      <c r="C59" s="223" t="s">
        <v>587</v>
      </c>
      <c r="D59" s="77" t="s">
        <v>577</v>
      </c>
      <c r="E59" s="70" t="s">
        <v>578</v>
      </c>
      <c r="F59" s="58" t="s">
        <v>98</v>
      </c>
      <c r="G59" s="23"/>
      <c r="H59" s="23"/>
      <c r="I59" s="53"/>
      <c r="J59" s="53"/>
      <c r="K59" s="72"/>
      <c r="L59" s="68"/>
      <c r="M59" s="68"/>
      <c r="N59" s="68"/>
      <c r="O59" s="68"/>
      <c r="P59" s="68"/>
      <c r="Q59" s="68"/>
      <c r="R59" s="68"/>
      <c r="S59" s="23">
        <f t="shared" si="9"/>
        <v>0</v>
      </c>
      <c r="T59" s="26" t="s">
        <v>579</v>
      </c>
      <c r="U59" s="26">
        <f t="shared" si="11"/>
        <v>16</v>
      </c>
      <c r="V59" s="97" t="str">
        <f t="shared" si="12"/>
        <v>VEDTATT</v>
      </c>
      <c r="W59" s="97">
        <f t="shared" si="13"/>
        <v>0</v>
      </c>
      <c r="X59" s="100"/>
      <c r="Y59" s="26"/>
    </row>
    <row r="60" spans="1:29" s="36" customFormat="1" ht="18.75" customHeight="1" x14ac:dyDescent="0.25">
      <c r="A60" s="43" t="s">
        <v>575</v>
      </c>
      <c r="B60" s="43" t="str">
        <f t="shared" si="10"/>
        <v>S17</v>
      </c>
      <c r="C60" s="223" t="s">
        <v>587</v>
      </c>
      <c r="D60" s="69" t="s">
        <v>580</v>
      </c>
      <c r="E60" s="70" t="s">
        <v>578</v>
      </c>
      <c r="F60" s="58" t="s">
        <v>98</v>
      </c>
      <c r="G60" s="23"/>
      <c r="H60" s="23"/>
      <c r="I60" s="53"/>
      <c r="J60" s="53"/>
      <c r="K60" s="72"/>
      <c r="L60" s="68"/>
      <c r="M60" s="68"/>
      <c r="N60" s="68"/>
      <c r="O60" s="68"/>
      <c r="P60" s="68"/>
      <c r="Q60" s="68"/>
      <c r="R60" s="68"/>
      <c r="S60" s="23" t="str">
        <f t="shared" si="9"/>
        <v>0</v>
      </c>
      <c r="T60" s="26" t="s">
        <v>579</v>
      </c>
      <c r="U60" s="26">
        <f t="shared" si="11"/>
        <v>17</v>
      </c>
      <c r="V60" s="97" t="str">
        <f t="shared" si="12"/>
        <v>VEDTATT</v>
      </c>
      <c r="W60" s="97">
        <f t="shared" si="13"/>
        <v>0</v>
      </c>
      <c r="X60" s="100"/>
      <c r="Y60" s="26"/>
    </row>
    <row r="61" spans="1:29" s="36" customFormat="1" ht="18.75" customHeight="1" x14ac:dyDescent="0.25">
      <c r="A61" s="43" t="s">
        <v>575</v>
      </c>
      <c r="B61" s="43" t="str">
        <f t="shared" si="10"/>
        <v>S18</v>
      </c>
      <c r="C61" s="223" t="s">
        <v>587</v>
      </c>
      <c r="D61" s="109" t="s">
        <v>581</v>
      </c>
      <c r="E61" s="70" t="s">
        <v>578</v>
      </c>
      <c r="F61" s="58" t="s">
        <v>98</v>
      </c>
      <c r="G61" s="23"/>
      <c r="H61" s="23"/>
      <c r="I61" s="53"/>
      <c r="J61" s="53"/>
      <c r="K61" s="72"/>
      <c r="L61" s="68"/>
      <c r="M61" s="68"/>
      <c r="N61" s="68"/>
      <c r="O61" s="68"/>
      <c r="P61" s="68"/>
      <c r="Q61" s="68"/>
      <c r="R61" s="68"/>
      <c r="S61" s="23" t="str">
        <f t="shared" si="9"/>
        <v>0</v>
      </c>
      <c r="T61" s="26" t="s">
        <v>579</v>
      </c>
      <c r="U61" s="26">
        <f t="shared" si="11"/>
        <v>18</v>
      </c>
      <c r="V61" s="97" t="str">
        <f t="shared" si="12"/>
        <v>VEDTATT</v>
      </c>
      <c r="W61" s="97">
        <f t="shared" si="13"/>
        <v>0</v>
      </c>
      <c r="X61" s="100"/>
      <c r="Y61" s="26"/>
    </row>
    <row r="62" spans="1:29" s="36" customFormat="1" ht="18.75" customHeight="1" x14ac:dyDescent="0.25">
      <c r="A62" s="43" t="s">
        <v>575</v>
      </c>
      <c r="B62" s="43" t="str">
        <f t="shared" si="10"/>
        <v>S19</v>
      </c>
      <c r="C62" s="223" t="s">
        <v>588</v>
      </c>
      <c r="D62" s="109" t="s">
        <v>577</v>
      </c>
      <c r="E62" s="70" t="s">
        <v>578</v>
      </c>
      <c r="F62" s="58" t="s">
        <v>98</v>
      </c>
      <c r="G62" s="23"/>
      <c r="H62" s="23"/>
      <c r="I62" s="53"/>
      <c r="J62" s="53"/>
      <c r="K62" s="72"/>
      <c r="L62" s="68"/>
      <c r="M62" s="68"/>
      <c r="N62" s="68"/>
      <c r="O62" s="68"/>
      <c r="P62" s="68"/>
      <c r="Q62" s="68"/>
      <c r="R62" s="68"/>
      <c r="S62" s="23">
        <f t="shared" si="9"/>
        <v>0</v>
      </c>
      <c r="T62" s="26" t="s">
        <v>579</v>
      </c>
      <c r="U62" s="26">
        <f t="shared" si="11"/>
        <v>19</v>
      </c>
      <c r="V62" s="97" t="str">
        <f t="shared" si="12"/>
        <v>VEDTATT</v>
      </c>
      <c r="W62" s="97">
        <f t="shared" si="13"/>
        <v>0</v>
      </c>
      <c r="X62" s="100"/>
      <c r="Y62" s="26"/>
    </row>
    <row r="63" spans="1:29" s="36" customFormat="1" ht="18.75" customHeight="1" x14ac:dyDescent="0.25">
      <c r="A63" s="43" t="s">
        <v>575</v>
      </c>
      <c r="B63" s="43" t="str">
        <f t="shared" si="10"/>
        <v>S20</v>
      </c>
      <c r="C63" s="223" t="s">
        <v>588</v>
      </c>
      <c r="D63" s="109" t="s">
        <v>580</v>
      </c>
      <c r="E63" s="70" t="s">
        <v>578</v>
      </c>
      <c r="F63" s="58" t="s">
        <v>98</v>
      </c>
      <c r="G63" s="23"/>
      <c r="H63" s="23"/>
      <c r="I63" s="53"/>
      <c r="J63" s="53"/>
      <c r="K63" s="72"/>
      <c r="L63" s="68"/>
      <c r="M63" s="68"/>
      <c r="N63" s="68"/>
      <c r="O63" s="68"/>
      <c r="P63" s="68"/>
      <c r="Q63" s="68"/>
      <c r="R63" s="68"/>
      <c r="S63" s="23" t="str">
        <f t="shared" si="9"/>
        <v>0</v>
      </c>
      <c r="T63" s="26" t="s">
        <v>579</v>
      </c>
      <c r="U63" s="26">
        <f t="shared" si="11"/>
        <v>20</v>
      </c>
      <c r="V63" s="97"/>
      <c r="W63" s="97"/>
      <c r="X63" s="100"/>
      <c r="Y63" s="26"/>
    </row>
    <row r="64" spans="1:29" s="36" customFormat="1" ht="18.75" customHeight="1" x14ac:dyDescent="0.25">
      <c r="A64" s="43" t="s">
        <v>575</v>
      </c>
      <c r="B64" s="43" t="str">
        <f t="shared" si="10"/>
        <v>S21</v>
      </c>
      <c r="C64" s="223" t="s">
        <v>588</v>
      </c>
      <c r="D64" s="109" t="s">
        <v>581</v>
      </c>
      <c r="E64" s="70" t="s">
        <v>578</v>
      </c>
      <c r="F64" s="58" t="s">
        <v>98</v>
      </c>
      <c r="G64" s="23"/>
      <c r="H64" s="23"/>
      <c r="I64" s="53"/>
      <c r="J64" s="53"/>
      <c r="K64" s="72"/>
      <c r="L64" s="68"/>
      <c r="M64" s="68"/>
      <c r="N64" s="68"/>
      <c r="O64" s="68"/>
      <c r="P64" s="68"/>
      <c r="Q64" s="68"/>
      <c r="R64" s="68"/>
      <c r="S64" s="23"/>
      <c r="T64" s="26" t="s">
        <v>579</v>
      </c>
      <c r="U64" s="26">
        <f t="shared" si="11"/>
        <v>21</v>
      </c>
      <c r="V64" s="97"/>
      <c r="W64" s="97"/>
      <c r="X64" s="100"/>
      <c r="Y64" s="26"/>
    </row>
    <row r="65" spans="1:25" s="452" customFormat="1" ht="18.75" customHeight="1" x14ac:dyDescent="0.25">
      <c r="A65" s="441" t="s">
        <v>575</v>
      </c>
      <c r="B65" s="441" t="str">
        <f t="shared" si="10"/>
        <v>S22</v>
      </c>
      <c r="C65" s="442" t="s">
        <v>589</v>
      </c>
      <c r="D65" s="455" t="s">
        <v>577</v>
      </c>
      <c r="E65" s="444" t="s">
        <v>578</v>
      </c>
      <c r="F65" s="443" t="s">
        <v>98</v>
      </c>
      <c r="G65" s="445"/>
      <c r="H65" s="445"/>
      <c r="I65" s="446"/>
      <c r="J65" s="446"/>
      <c r="K65" s="446"/>
      <c r="L65" s="447"/>
      <c r="M65" s="456"/>
      <c r="N65" s="449">
        <v>3428</v>
      </c>
      <c r="O65" s="449">
        <v>7054</v>
      </c>
      <c r="P65" s="450">
        <f t="shared" ref="P65:P88" si="14">O65</f>
        <v>7054</v>
      </c>
      <c r="Q65" s="451"/>
      <c r="R65" s="451"/>
      <c r="S65" s="445">
        <f>IF(D65="INTERNHUSLEIE",K65,"0")</f>
        <v>0</v>
      </c>
      <c r="T65" s="452" t="s">
        <v>579</v>
      </c>
      <c r="U65" s="452">
        <f t="shared" si="11"/>
        <v>22</v>
      </c>
      <c r="V65" s="453"/>
      <c r="W65" s="453"/>
      <c r="X65" s="454"/>
    </row>
    <row r="66" spans="1:25" s="452" customFormat="1" ht="18.75" customHeight="1" x14ac:dyDescent="0.25">
      <c r="A66" s="441" t="s">
        <v>575</v>
      </c>
      <c r="B66" s="441" t="str">
        <f t="shared" si="10"/>
        <v>S23</v>
      </c>
      <c r="C66" s="442" t="s">
        <v>589</v>
      </c>
      <c r="D66" s="455" t="s">
        <v>580</v>
      </c>
      <c r="E66" s="444" t="s">
        <v>578</v>
      </c>
      <c r="F66" s="443" t="s">
        <v>98</v>
      </c>
      <c r="G66" s="445"/>
      <c r="H66" s="445"/>
      <c r="I66" s="446"/>
      <c r="J66" s="446"/>
      <c r="K66" s="446"/>
      <c r="L66" s="447"/>
      <c r="M66" s="456"/>
      <c r="N66" s="449">
        <v>420</v>
      </c>
      <c r="O66" s="449">
        <v>842</v>
      </c>
      <c r="P66" s="450">
        <f t="shared" si="14"/>
        <v>842</v>
      </c>
      <c r="Q66" s="451"/>
      <c r="R66" s="451"/>
      <c r="S66" s="445" t="str">
        <f>IF(D66="INTERNHUSLEIE",K66,"0")</f>
        <v>0</v>
      </c>
      <c r="T66" s="452" t="s">
        <v>579</v>
      </c>
      <c r="U66" s="452">
        <f t="shared" si="11"/>
        <v>23</v>
      </c>
      <c r="V66" s="453"/>
      <c r="W66" s="453"/>
      <c r="X66" s="454"/>
    </row>
    <row r="67" spans="1:25" s="452" customFormat="1" ht="18.75" customHeight="1" x14ac:dyDescent="0.25">
      <c r="A67" s="441" t="s">
        <v>575</v>
      </c>
      <c r="B67" s="441" t="str">
        <f t="shared" si="10"/>
        <v>S24</v>
      </c>
      <c r="C67" s="442" t="s">
        <v>589</v>
      </c>
      <c r="D67" s="455" t="s">
        <v>581</v>
      </c>
      <c r="E67" s="444" t="s">
        <v>578</v>
      </c>
      <c r="F67" s="443" t="s">
        <v>98</v>
      </c>
      <c r="G67" s="445"/>
      <c r="H67" s="445"/>
      <c r="I67" s="446"/>
      <c r="J67" s="446"/>
      <c r="K67" s="446"/>
      <c r="L67" s="447"/>
      <c r="M67" s="456"/>
      <c r="N67" s="449">
        <v>210</v>
      </c>
      <c r="O67" s="449">
        <v>421</v>
      </c>
      <c r="P67" s="450">
        <f t="shared" si="14"/>
        <v>421</v>
      </c>
      <c r="Q67" s="451"/>
      <c r="R67" s="451"/>
      <c r="S67" s="445" t="str">
        <f>IF(D67="INTERNHUSLEIE",K67,"0")</f>
        <v>0</v>
      </c>
      <c r="T67" s="452" t="s">
        <v>579</v>
      </c>
      <c r="U67" s="452">
        <f t="shared" si="11"/>
        <v>24</v>
      </c>
      <c r="V67" s="453" t="str">
        <f>IF(F67="VEDTATT","VEDTATT",0)</f>
        <v>VEDTATT</v>
      </c>
      <c r="W67" s="453">
        <f>IF(F67="MÅ","Nye tiltak",0)</f>
        <v>0</v>
      </c>
      <c r="X67" s="454"/>
    </row>
    <row r="68" spans="1:25" s="36" customFormat="1" ht="18.75" customHeight="1" x14ac:dyDescent="0.25">
      <c r="A68" s="43" t="s">
        <v>575</v>
      </c>
      <c r="B68" s="43" t="str">
        <f t="shared" si="10"/>
        <v>S25</v>
      </c>
      <c r="C68" s="74" t="s">
        <v>590</v>
      </c>
      <c r="D68" s="109" t="s">
        <v>577</v>
      </c>
      <c r="E68" s="70" t="s">
        <v>578</v>
      </c>
      <c r="F68" s="58" t="s">
        <v>98</v>
      </c>
      <c r="G68" s="23"/>
      <c r="H68" s="23"/>
      <c r="I68" s="53"/>
      <c r="J68" s="53"/>
      <c r="K68" s="72"/>
      <c r="L68" s="68"/>
      <c r="M68" s="221"/>
      <c r="N68" s="221">
        <v>-216</v>
      </c>
      <c r="O68" s="221">
        <v>-432</v>
      </c>
      <c r="P68" s="264">
        <f t="shared" si="14"/>
        <v>-432</v>
      </c>
      <c r="Q68" s="438"/>
      <c r="R68" s="438"/>
      <c r="S68" s="23">
        <f>IF(D68="INTERNHUSLEIE",K68,"0")</f>
        <v>0</v>
      </c>
      <c r="T68" s="26" t="s">
        <v>579</v>
      </c>
      <c r="U68" s="26">
        <f t="shared" si="11"/>
        <v>25</v>
      </c>
      <c r="V68" s="97" t="str">
        <f>IF(F68="VEDTATT","VEDTATT",0)</f>
        <v>VEDTATT</v>
      </c>
      <c r="W68" s="97">
        <f>IF(F68="MÅ","Nye tiltak",0)</f>
        <v>0</v>
      </c>
      <c r="X68" s="100"/>
      <c r="Y68" s="26"/>
    </row>
    <row r="69" spans="1:25" s="36" customFormat="1" ht="18.75" customHeight="1" x14ac:dyDescent="0.25">
      <c r="A69" s="43" t="s">
        <v>575</v>
      </c>
      <c r="B69" s="43" t="str">
        <f>IF(U69,T69&amp;U69,"")</f>
        <v>S26</v>
      </c>
      <c r="C69" s="74" t="s">
        <v>590</v>
      </c>
      <c r="D69" s="109" t="s">
        <v>580</v>
      </c>
      <c r="E69" s="70" t="s">
        <v>578</v>
      </c>
      <c r="F69" s="58" t="s">
        <v>98</v>
      </c>
      <c r="G69" s="23"/>
      <c r="H69" s="23"/>
      <c r="I69" s="53"/>
      <c r="J69" s="53"/>
      <c r="K69" s="72"/>
      <c r="L69" s="68"/>
      <c r="M69" s="221"/>
      <c r="N69" s="221">
        <v>-300</v>
      </c>
      <c r="O69" s="221">
        <v>-600</v>
      </c>
      <c r="P69" s="264">
        <f t="shared" si="14"/>
        <v>-600</v>
      </c>
      <c r="Q69" s="438"/>
      <c r="R69" s="438"/>
      <c r="S69" s="23" t="str">
        <f>IF(D69="INTERNHUSLEIE",K69,"0")</f>
        <v>0</v>
      </c>
      <c r="T69" s="26" t="s">
        <v>579</v>
      </c>
      <c r="U69" s="26">
        <f t="shared" si="11"/>
        <v>26</v>
      </c>
      <c r="V69" s="97" t="str">
        <f>IF(F69="VEDTATT","VEDTATT",0)</f>
        <v>VEDTATT</v>
      </c>
      <c r="W69" s="97">
        <f>IF(F69="MÅ","Nye tiltak",0)</f>
        <v>0</v>
      </c>
      <c r="X69" s="100"/>
      <c r="Y69" s="26"/>
    </row>
    <row r="70" spans="1:25" s="36" customFormat="1" ht="18.75" customHeight="1" x14ac:dyDescent="0.25">
      <c r="A70" s="43" t="s">
        <v>575</v>
      </c>
      <c r="B70" s="43" t="str">
        <f t="shared" si="10"/>
        <v>S27</v>
      </c>
      <c r="C70" s="74" t="s">
        <v>590</v>
      </c>
      <c r="D70" s="109" t="s">
        <v>581</v>
      </c>
      <c r="E70" s="70" t="s">
        <v>578</v>
      </c>
      <c r="F70" s="58" t="s">
        <v>98</v>
      </c>
      <c r="G70" s="23"/>
      <c r="H70" s="23"/>
      <c r="I70" s="53"/>
      <c r="J70" s="53"/>
      <c r="K70" s="72"/>
      <c r="L70" s="68"/>
      <c r="M70" s="221"/>
      <c r="N70" s="221">
        <v>-179</v>
      </c>
      <c r="O70" s="221">
        <v>-358</v>
      </c>
      <c r="P70" s="264">
        <f t="shared" si="14"/>
        <v>-358</v>
      </c>
      <c r="Q70" s="438"/>
      <c r="R70" s="438"/>
      <c r="S70" s="23"/>
      <c r="T70" s="26" t="s">
        <v>579</v>
      </c>
      <c r="U70" s="26">
        <f t="shared" si="11"/>
        <v>27</v>
      </c>
      <c r="V70" s="97"/>
      <c r="W70" s="97"/>
      <c r="X70" s="100"/>
      <c r="Y70" s="26"/>
    </row>
    <row r="71" spans="1:25" s="452" customFormat="1" ht="18.75" customHeight="1" x14ac:dyDescent="0.25">
      <c r="A71" s="441" t="s">
        <v>575</v>
      </c>
      <c r="B71" s="441" t="str">
        <f t="shared" si="10"/>
        <v>S28</v>
      </c>
      <c r="C71" s="442" t="s">
        <v>591</v>
      </c>
      <c r="D71" s="443" t="s">
        <v>577</v>
      </c>
      <c r="E71" s="444" t="s">
        <v>578</v>
      </c>
      <c r="F71" s="443" t="s">
        <v>98</v>
      </c>
      <c r="G71" s="445"/>
      <c r="H71" s="445"/>
      <c r="I71" s="446"/>
      <c r="J71" s="446"/>
      <c r="K71" s="446"/>
      <c r="L71" s="447"/>
      <c r="M71" s="449"/>
      <c r="N71" s="449"/>
      <c r="O71" s="449">
        <v>1507</v>
      </c>
      <c r="P71" s="450">
        <f t="shared" si="14"/>
        <v>1507</v>
      </c>
      <c r="Q71" s="451"/>
      <c r="R71" s="451"/>
      <c r="S71" s="445"/>
      <c r="T71" s="452" t="s">
        <v>579</v>
      </c>
      <c r="U71" s="452">
        <f t="shared" si="11"/>
        <v>28</v>
      </c>
      <c r="V71" s="453"/>
      <c r="W71" s="453"/>
      <c r="X71" s="454"/>
    </row>
    <row r="72" spans="1:25" s="452" customFormat="1" ht="18.75" customHeight="1" x14ac:dyDescent="0.25">
      <c r="A72" s="441" t="s">
        <v>575</v>
      </c>
      <c r="B72" s="441" t="str">
        <f t="shared" si="10"/>
        <v>S29</v>
      </c>
      <c r="C72" s="442" t="s">
        <v>591</v>
      </c>
      <c r="D72" s="443" t="s">
        <v>580</v>
      </c>
      <c r="E72" s="444" t="s">
        <v>578</v>
      </c>
      <c r="F72" s="443" t="s">
        <v>98</v>
      </c>
      <c r="G72" s="445"/>
      <c r="H72" s="445"/>
      <c r="I72" s="446"/>
      <c r="J72" s="446"/>
      <c r="K72" s="446"/>
      <c r="L72" s="447"/>
      <c r="M72" s="449"/>
      <c r="N72" s="449"/>
      <c r="O72" s="449">
        <v>140</v>
      </c>
      <c r="P72" s="450">
        <f t="shared" si="14"/>
        <v>140</v>
      </c>
      <c r="Q72" s="451"/>
      <c r="R72" s="451"/>
      <c r="S72" s="445"/>
      <c r="T72" s="452" t="s">
        <v>579</v>
      </c>
      <c r="U72" s="452">
        <f t="shared" si="11"/>
        <v>29</v>
      </c>
      <c r="V72" s="453"/>
      <c r="W72" s="453"/>
      <c r="X72" s="454"/>
    </row>
    <row r="73" spans="1:25" s="452" customFormat="1" ht="18.75" customHeight="1" x14ac:dyDescent="0.25">
      <c r="A73" s="441" t="s">
        <v>575</v>
      </c>
      <c r="B73" s="441" t="str">
        <f t="shared" si="10"/>
        <v>S30</v>
      </c>
      <c r="C73" s="442" t="s">
        <v>591</v>
      </c>
      <c r="D73" s="443" t="s">
        <v>581</v>
      </c>
      <c r="E73" s="444" t="s">
        <v>578</v>
      </c>
      <c r="F73" s="443" t="s">
        <v>98</v>
      </c>
      <c r="G73" s="445"/>
      <c r="H73" s="445"/>
      <c r="I73" s="446"/>
      <c r="J73" s="446"/>
      <c r="K73" s="446"/>
      <c r="L73" s="447"/>
      <c r="M73" s="449"/>
      <c r="N73" s="449"/>
      <c r="O73" s="449">
        <v>143</v>
      </c>
      <c r="P73" s="450">
        <f t="shared" si="14"/>
        <v>143</v>
      </c>
      <c r="Q73" s="451"/>
      <c r="R73" s="451"/>
      <c r="S73" s="445"/>
      <c r="T73" s="452" t="s">
        <v>579</v>
      </c>
      <c r="U73" s="452">
        <f t="shared" si="11"/>
        <v>30</v>
      </c>
      <c r="V73" s="453"/>
      <c r="W73" s="453"/>
      <c r="X73" s="454"/>
    </row>
    <row r="74" spans="1:25" s="452" customFormat="1" ht="18.75" customHeight="1" x14ac:dyDescent="0.25">
      <c r="A74" s="441" t="s">
        <v>575</v>
      </c>
      <c r="B74" s="441" t="str">
        <f t="shared" si="10"/>
        <v>S31</v>
      </c>
      <c r="C74" s="442" t="s">
        <v>592</v>
      </c>
      <c r="D74" s="443" t="s">
        <v>577</v>
      </c>
      <c r="E74" s="444" t="s">
        <v>578</v>
      </c>
      <c r="F74" s="443" t="s">
        <v>98</v>
      </c>
      <c r="G74" s="445"/>
      <c r="H74" s="445"/>
      <c r="I74" s="446"/>
      <c r="J74" s="446"/>
      <c r="K74" s="446"/>
      <c r="L74" s="447"/>
      <c r="M74" s="448"/>
      <c r="N74" s="449">
        <v>2417</v>
      </c>
      <c r="O74" s="449">
        <v>5800</v>
      </c>
      <c r="P74" s="450">
        <f t="shared" si="14"/>
        <v>5800</v>
      </c>
      <c r="Q74" s="451"/>
      <c r="R74" s="451"/>
      <c r="S74" s="445"/>
      <c r="T74" s="452" t="s">
        <v>579</v>
      </c>
      <c r="U74" s="452">
        <f t="shared" si="11"/>
        <v>31</v>
      </c>
      <c r="V74" s="453"/>
      <c r="W74" s="453"/>
      <c r="X74" s="454"/>
    </row>
    <row r="75" spans="1:25" s="452" customFormat="1" ht="18.75" customHeight="1" x14ac:dyDescent="0.25">
      <c r="A75" s="441" t="s">
        <v>575</v>
      </c>
      <c r="B75" s="441" t="str">
        <f t="shared" si="10"/>
        <v>S32</v>
      </c>
      <c r="C75" s="442" t="s">
        <v>592</v>
      </c>
      <c r="D75" s="443" t="s">
        <v>580</v>
      </c>
      <c r="E75" s="444" t="s">
        <v>578</v>
      </c>
      <c r="F75" s="443" t="s">
        <v>98</v>
      </c>
      <c r="G75" s="445"/>
      <c r="H75" s="445"/>
      <c r="I75" s="446"/>
      <c r="J75" s="446"/>
      <c r="K75" s="446"/>
      <c r="L75" s="447"/>
      <c r="M75" s="448"/>
      <c r="N75" s="449">
        <v>161</v>
      </c>
      <c r="O75" s="449">
        <v>386</v>
      </c>
      <c r="P75" s="450">
        <f t="shared" si="14"/>
        <v>386</v>
      </c>
      <c r="Q75" s="451"/>
      <c r="R75" s="451"/>
      <c r="S75" s="445"/>
      <c r="T75" s="452" t="s">
        <v>579</v>
      </c>
      <c r="U75" s="452">
        <f t="shared" si="11"/>
        <v>32</v>
      </c>
      <c r="V75" s="453"/>
      <c r="W75" s="453"/>
      <c r="X75" s="454"/>
    </row>
    <row r="76" spans="1:25" s="452" customFormat="1" ht="18.75" customHeight="1" x14ac:dyDescent="0.25">
      <c r="A76" s="441" t="s">
        <v>575</v>
      </c>
      <c r="B76" s="441" t="str">
        <f t="shared" si="10"/>
        <v>S33</v>
      </c>
      <c r="C76" s="442" t="s">
        <v>592</v>
      </c>
      <c r="D76" s="443" t="s">
        <v>581</v>
      </c>
      <c r="E76" s="444" t="s">
        <v>578</v>
      </c>
      <c r="F76" s="443" t="s">
        <v>98</v>
      </c>
      <c r="G76" s="445"/>
      <c r="H76" s="445"/>
      <c r="I76" s="446"/>
      <c r="J76" s="446"/>
      <c r="K76" s="446"/>
      <c r="L76" s="447"/>
      <c r="M76" s="448"/>
      <c r="N76" s="449">
        <v>80</v>
      </c>
      <c r="O76" s="449">
        <v>193</v>
      </c>
      <c r="P76" s="450">
        <f t="shared" si="14"/>
        <v>193</v>
      </c>
      <c r="Q76" s="451"/>
      <c r="R76" s="451"/>
      <c r="S76" s="445"/>
      <c r="T76" s="452" t="s">
        <v>579</v>
      </c>
      <c r="U76" s="452">
        <f t="shared" si="11"/>
        <v>33</v>
      </c>
      <c r="V76" s="453"/>
      <c r="W76" s="453"/>
      <c r="X76" s="454"/>
    </row>
    <row r="77" spans="1:25" s="36" customFormat="1" ht="18.75" customHeight="1" x14ac:dyDescent="0.25">
      <c r="A77" s="43" t="s">
        <v>575</v>
      </c>
      <c r="B77" s="43" t="str">
        <f t="shared" si="10"/>
        <v>S34</v>
      </c>
      <c r="C77" s="74" t="s">
        <v>593</v>
      </c>
      <c r="D77" s="77" t="s">
        <v>577</v>
      </c>
      <c r="E77" s="70" t="s">
        <v>578</v>
      </c>
      <c r="F77" s="58" t="s">
        <v>98</v>
      </c>
      <c r="G77" s="23"/>
      <c r="H77" s="23"/>
      <c r="I77" s="53"/>
      <c r="J77" s="53"/>
      <c r="K77" s="72"/>
      <c r="L77" s="68"/>
      <c r="M77" s="182"/>
      <c r="N77" s="221">
        <v>-180</v>
      </c>
      <c r="O77" s="221">
        <v>-360</v>
      </c>
      <c r="P77" s="264">
        <f t="shared" si="14"/>
        <v>-360</v>
      </c>
      <c r="Q77" s="438"/>
      <c r="R77" s="438"/>
      <c r="S77" s="23"/>
      <c r="T77" s="26" t="s">
        <v>579</v>
      </c>
      <c r="U77" s="26">
        <f t="shared" si="11"/>
        <v>34</v>
      </c>
      <c r="V77" s="97"/>
      <c r="W77" s="97"/>
      <c r="X77" s="100"/>
      <c r="Y77" s="26"/>
    </row>
    <row r="78" spans="1:25" s="36" customFormat="1" ht="18.75" customHeight="1" x14ac:dyDescent="0.25">
      <c r="A78" s="43" t="s">
        <v>575</v>
      </c>
      <c r="B78" s="43" t="str">
        <f t="shared" si="10"/>
        <v>S35</v>
      </c>
      <c r="C78" s="74" t="s">
        <v>593</v>
      </c>
      <c r="D78" s="77" t="s">
        <v>580</v>
      </c>
      <c r="E78" s="70" t="s">
        <v>578</v>
      </c>
      <c r="F78" s="58" t="s">
        <v>98</v>
      </c>
      <c r="G78" s="23"/>
      <c r="H78" s="23"/>
      <c r="I78" s="53"/>
      <c r="J78" s="53"/>
      <c r="K78" s="72"/>
      <c r="L78" s="68"/>
      <c r="M78" s="182"/>
      <c r="N78" s="221">
        <v>-253</v>
      </c>
      <c r="O78" s="221">
        <v>-506</v>
      </c>
      <c r="P78" s="264">
        <f t="shared" si="14"/>
        <v>-506</v>
      </c>
      <c r="Q78" s="438"/>
      <c r="R78" s="438"/>
      <c r="S78" s="23"/>
      <c r="T78" s="26" t="s">
        <v>579</v>
      </c>
      <c r="U78" s="26">
        <f t="shared" si="11"/>
        <v>35</v>
      </c>
      <c r="V78" s="97"/>
      <c r="W78" s="97"/>
      <c r="X78" s="100"/>
      <c r="Y78" s="26"/>
    </row>
    <row r="79" spans="1:25" s="36" customFormat="1" ht="18.75" customHeight="1" x14ac:dyDescent="0.25">
      <c r="A79" s="43" t="s">
        <v>575</v>
      </c>
      <c r="B79" s="43" t="str">
        <f t="shared" si="10"/>
        <v>S36</v>
      </c>
      <c r="C79" s="74" t="s">
        <v>593</v>
      </c>
      <c r="D79" s="77" t="s">
        <v>581</v>
      </c>
      <c r="E79" s="70" t="s">
        <v>578</v>
      </c>
      <c r="F79" s="58" t="s">
        <v>98</v>
      </c>
      <c r="G79" s="23"/>
      <c r="H79" s="23"/>
      <c r="I79" s="53"/>
      <c r="J79" s="53"/>
      <c r="K79" s="72"/>
      <c r="L79" s="68"/>
      <c r="M79" s="182"/>
      <c r="N79" s="221">
        <v>-151</v>
      </c>
      <c r="O79" s="221">
        <v>-302</v>
      </c>
      <c r="P79" s="264">
        <f t="shared" si="14"/>
        <v>-302</v>
      </c>
      <c r="Q79" s="438"/>
      <c r="R79" s="438"/>
      <c r="S79" s="23"/>
      <c r="T79" s="26" t="s">
        <v>579</v>
      </c>
      <c r="U79" s="26">
        <f t="shared" si="11"/>
        <v>36</v>
      </c>
      <c r="V79" s="97"/>
      <c r="W79" s="97"/>
      <c r="X79" s="100"/>
      <c r="Y79" s="26"/>
    </row>
    <row r="80" spans="1:25" s="452" customFormat="1" ht="18.75" customHeight="1" x14ac:dyDescent="0.25">
      <c r="A80" s="441" t="s">
        <v>575</v>
      </c>
      <c r="B80" s="441" t="str">
        <f t="shared" si="10"/>
        <v>S37</v>
      </c>
      <c r="C80" s="442" t="s">
        <v>594</v>
      </c>
      <c r="D80" s="443" t="s">
        <v>577</v>
      </c>
      <c r="E80" s="444" t="s">
        <v>578</v>
      </c>
      <c r="F80" s="443" t="s">
        <v>98</v>
      </c>
      <c r="G80" s="445"/>
      <c r="H80" s="445"/>
      <c r="I80" s="446"/>
      <c r="J80" s="446"/>
      <c r="K80" s="446"/>
      <c r="L80" s="447"/>
      <c r="M80" s="457"/>
      <c r="N80" s="449">
        <v>5824</v>
      </c>
      <c r="O80" s="449">
        <v>13979</v>
      </c>
      <c r="P80" s="450">
        <f t="shared" si="14"/>
        <v>13979</v>
      </c>
      <c r="Q80" s="451"/>
      <c r="R80" s="451"/>
      <c r="S80" s="445"/>
      <c r="T80" s="452" t="s">
        <v>579</v>
      </c>
      <c r="U80" s="452">
        <f t="shared" si="11"/>
        <v>37</v>
      </c>
      <c r="V80" s="453"/>
      <c r="W80" s="453"/>
      <c r="X80" s="454"/>
    </row>
    <row r="81" spans="1:61" s="452" customFormat="1" ht="18.75" customHeight="1" x14ac:dyDescent="0.25">
      <c r="A81" s="441" t="s">
        <v>575</v>
      </c>
      <c r="B81" s="441" t="str">
        <f t="shared" si="10"/>
        <v>S38</v>
      </c>
      <c r="C81" s="442" t="s">
        <v>594</v>
      </c>
      <c r="D81" s="458" t="s">
        <v>580</v>
      </c>
      <c r="E81" s="444" t="s">
        <v>578</v>
      </c>
      <c r="F81" s="443" t="s">
        <v>98</v>
      </c>
      <c r="G81" s="445"/>
      <c r="H81" s="445"/>
      <c r="I81" s="446"/>
      <c r="J81" s="446"/>
      <c r="K81" s="446"/>
      <c r="L81" s="447"/>
      <c r="M81" s="457"/>
      <c r="N81" s="449">
        <v>540</v>
      </c>
      <c r="O81" s="449">
        <v>1080</v>
      </c>
      <c r="P81" s="450">
        <f t="shared" si="14"/>
        <v>1080</v>
      </c>
      <c r="Q81" s="451"/>
      <c r="R81" s="451"/>
      <c r="S81" s="445"/>
      <c r="T81" s="452" t="s">
        <v>579</v>
      </c>
      <c r="U81" s="452">
        <f t="shared" si="11"/>
        <v>38</v>
      </c>
      <c r="V81" s="453"/>
      <c r="W81" s="453"/>
      <c r="X81" s="454"/>
    </row>
    <row r="82" spans="1:61" s="452" customFormat="1" ht="18.75" customHeight="1" x14ac:dyDescent="0.25">
      <c r="A82" s="441" t="s">
        <v>575</v>
      </c>
      <c r="B82" s="441" t="str">
        <f t="shared" si="10"/>
        <v>S39</v>
      </c>
      <c r="C82" s="442" t="s">
        <v>594</v>
      </c>
      <c r="D82" s="455" t="s">
        <v>581</v>
      </c>
      <c r="E82" s="444" t="s">
        <v>578</v>
      </c>
      <c r="F82" s="443" t="s">
        <v>98</v>
      </c>
      <c r="G82" s="445"/>
      <c r="H82" s="445"/>
      <c r="I82" s="446"/>
      <c r="J82" s="446"/>
      <c r="K82" s="446"/>
      <c r="L82" s="447"/>
      <c r="M82" s="457"/>
      <c r="N82" s="449">
        <v>270</v>
      </c>
      <c r="O82" s="449">
        <v>540</v>
      </c>
      <c r="P82" s="450">
        <f t="shared" si="14"/>
        <v>540</v>
      </c>
      <c r="Q82" s="451"/>
      <c r="R82" s="451"/>
      <c r="S82" s="445"/>
      <c r="T82" s="452" t="s">
        <v>579</v>
      </c>
      <c r="U82" s="452">
        <f t="shared" si="11"/>
        <v>39</v>
      </c>
      <c r="V82" s="453"/>
      <c r="W82" s="453"/>
      <c r="X82" s="454"/>
    </row>
    <row r="83" spans="1:61" s="452" customFormat="1" ht="18.75" customHeight="1" x14ac:dyDescent="0.25">
      <c r="A83" s="441" t="s">
        <v>575</v>
      </c>
      <c r="B83" s="441" t="str">
        <f t="shared" si="10"/>
        <v>S40</v>
      </c>
      <c r="C83" s="442" t="s">
        <v>595</v>
      </c>
      <c r="D83" s="455" t="s">
        <v>577</v>
      </c>
      <c r="E83" s="444" t="s">
        <v>578</v>
      </c>
      <c r="F83" s="443" t="s">
        <v>98</v>
      </c>
      <c r="G83" s="445"/>
      <c r="H83" s="445"/>
      <c r="I83" s="446"/>
      <c r="J83" s="446"/>
      <c r="K83" s="446"/>
      <c r="L83" s="447"/>
      <c r="M83" s="457"/>
      <c r="N83" s="449">
        <v>1384</v>
      </c>
      <c r="O83" s="449">
        <v>3321</v>
      </c>
      <c r="P83" s="450">
        <f t="shared" si="14"/>
        <v>3321</v>
      </c>
      <c r="Q83" s="451"/>
      <c r="R83" s="451"/>
      <c r="S83" s="445"/>
      <c r="T83" s="452" t="s">
        <v>579</v>
      </c>
      <c r="U83" s="452">
        <f t="shared" si="11"/>
        <v>40</v>
      </c>
      <c r="V83" s="453"/>
      <c r="W83" s="453"/>
      <c r="X83" s="454"/>
    </row>
    <row r="84" spans="1:61" s="452" customFormat="1" ht="18.75" customHeight="1" x14ac:dyDescent="0.25">
      <c r="A84" s="441" t="s">
        <v>575</v>
      </c>
      <c r="B84" s="441" t="str">
        <f t="shared" si="10"/>
        <v>S41</v>
      </c>
      <c r="C84" s="442" t="s">
        <v>595</v>
      </c>
      <c r="D84" s="455" t="s">
        <v>580</v>
      </c>
      <c r="E84" s="444" t="s">
        <v>578</v>
      </c>
      <c r="F84" s="443" t="s">
        <v>98</v>
      </c>
      <c r="G84" s="445"/>
      <c r="H84" s="445"/>
      <c r="I84" s="446"/>
      <c r="J84" s="446"/>
      <c r="K84" s="446"/>
      <c r="L84" s="447"/>
      <c r="M84" s="457"/>
      <c r="N84" s="449">
        <v>284</v>
      </c>
      <c r="O84" s="449">
        <v>567</v>
      </c>
      <c r="P84" s="450">
        <f t="shared" si="14"/>
        <v>567</v>
      </c>
      <c r="Q84" s="451"/>
      <c r="R84" s="451"/>
      <c r="S84" s="445"/>
      <c r="T84" s="452" t="s">
        <v>579</v>
      </c>
      <c r="U84" s="452">
        <f t="shared" si="11"/>
        <v>41</v>
      </c>
      <c r="V84" s="453"/>
      <c r="W84" s="453"/>
      <c r="X84" s="454"/>
    </row>
    <row r="85" spans="1:61" s="452" customFormat="1" ht="18.75" customHeight="1" x14ac:dyDescent="0.25">
      <c r="A85" s="441" t="s">
        <v>575</v>
      </c>
      <c r="B85" s="441" t="str">
        <f t="shared" si="10"/>
        <v>S42</v>
      </c>
      <c r="C85" s="442" t="s">
        <v>595</v>
      </c>
      <c r="D85" s="455" t="s">
        <v>581</v>
      </c>
      <c r="E85" s="444" t="s">
        <v>578</v>
      </c>
      <c r="F85" s="443" t="s">
        <v>98</v>
      </c>
      <c r="G85" s="445"/>
      <c r="H85" s="445"/>
      <c r="I85" s="446"/>
      <c r="J85" s="446"/>
      <c r="K85" s="446"/>
      <c r="L85" s="447"/>
      <c r="M85" s="457"/>
      <c r="N85" s="449">
        <v>142</v>
      </c>
      <c r="O85" s="449">
        <v>284</v>
      </c>
      <c r="P85" s="450">
        <f t="shared" si="14"/>
        <v>284</v>
      </c>
      <c r="Q85" s="451"/>
      <c r="R85" s="451"/>
      <c r="S85" s="445"/>
      <c r="T85" s="452" t="s">
        <v>579</v>
      </c>
      <c r="U85" s="452">
        <f t="shared" si="11"/>
        <v>42</v>
      </c>
      <c r="V85" s="453"/>
      <c r="W85" s="453"/>
      <c r="X85" s="454"/>
    </row>
    <row r="86" spans="1:61" s="36" customFormat="1" ht="18.75" customHeight="1" x14ac:dyDescent="0.25">
      <c r="A86" s="43" t="s">
        <v>575</v>
      </c>
      <c r="B86" s="43" t="str">
        <f t="shared" si="10"/>
        <v>S43</v>
      </c>
      <c r="C86" s="223" t="s">
        <v>596</v>
      </c>
      <c r="D86" s="178" t="s">
        <v>577</v>
      </c>
      <c r="E86" s="70" t="s">
        <v>578</v>
      </c>
      <c r="F86" s="58" t="s">
        <v>98</v>
      </c>
      <c r="G86" s="23"/>
      <c r="H86" s="23"/>
      <c r="I86" s="53"/>
      <c r="J86" s="53"/>
      <c r="K86" s="72"/>
      <c r="L86" s="68"/>
      <c r="M86" s="221">
        <v>483</v>
      </c>
      <c r="N86" s="221">
        <v>1159</v>
      </c>
      <c r="O86" s="221">
        <v>1159</v>
      </c>
      <c r="P86" s="264">
        <f t="shared" si="14"/>
        <v>1159</v>
      </c>
      <c r="Q86" s="438"/>
      <c r="R86" s="438"/>
      <c r="S86" s="23"/>
      <c r="T86" s="26" t="s">
        <v>579</v>
      </c>
      <c r="U86" s="26">
        <f t="shared" si="11"/>
        <v>43</v>
      </c>
      <c r="V86" s="97"/>
      <c r="W86" s="97"/>
      <c r="X86" s="100"/>
      <c r="Y86" s="26"/>
    </row>
    <row r="87" spans="1:61" s="36" customFormat="1" ht="18.75" customHeight="1" x14ac:dyDescent="0.25">
      <c r="A87" s="43" t="s">
        <v>575</v>
      </c>
      <c r="B87" s="43" t="str">
        <f t="shared" si="10"/>
        <v>S44</v>
      </c>
      <c r="C87" s="223" t="s">
        <v>596</v>
      </c>
      <c r="D87" s="77" t="s">
        <v>580</v>
      </c>
      <c r="E87" s="70" t="s">
        <v>578</v>
      </c>
      <c r="F87" s="58" t="s">
        <v>98</v>
      </c>
      <c r="G87" s="23"/>
      <c r="H87" s="23"/>
      <c r="I87" s="53"/>
      <c r="J87" s="53"/>
      <c r="K87" s="72"/>
      <c r="L87" s="68"/>
      <c r="M87" s="221">
        <v>68</v>
      </c>
      <c r="N87" s="221">
        <v>135</v>
      </c>
      <c r="O87" s="221">
        <v>135</v>
      </c>
      <c r="P87" s="264">
        <f t="shared" si="14"/>
        <v>135</v>
      </c>
      <c r="Q87" s="438"/>
      <c r="R87" s="438"/>
      <c r="S87" s="23"/>
      <c r="T87" s="26" t="s">
        <v>579</v>
      </c>
      <c r="U87" s="26">
        <f t="shared" si="11"/>
        <v>44</v>
      </c>
      <c r="V87" s="97"/>
      <c r="W87" s="97"/>
      <c r="X87" s="100"/>
      <c r="Y87" s="26"/>
    </row>
    <row r="88" spans="1:61" s="36" customFormat="1" ht="18.75" customHeight="1" x14ac:dyDescent="0.25">
      <c r="A88" s="43" t="s">
        <v>575</v>
      </c>
      <c r="B88" s="43" t="str">
        <f t="shared" si="10"/>
        <v>S45</v>
      </c>
      <c r="C88" s="223" t="s">
        <v>596</v>
      </c>
      <c r="D88" s="77" t="s">
        <v>581</v>
      </c>
      <c r="E88" s="70" t="s">
        <v>578</v>
      </c>
      <c r="F88" s="58" t="s">
        <v>98</v>
      </c>
      <c r="G88" s="23"/>
      <c r="H88" s="23"/>
      <c r="I88" s="53"/>
      <c r="J88" s="53"/>
      <c r="K88" s="72"/>
      <c r="L88" s="68"/>
      <c r="M88" s="221">
        <v>34</v>
      </c>
      <c r="N88" s="221">
        <v>68</v>
      </c>
      <c r="O88" s="221">
        <v>68</v>
      </c>
      <c r="P88" s="264">
        <f t="shared" si="14"/>
        <v>68</v>
      </c>
      <c r="Q88" s="438"/>
      <c r="R88" s="438"/>
      <c r="S88" s="23"/>
      <c r="T88" s="26" t="s">
        <v>579</v>
      </c>
      <c r="U88" s="26">
        <f t="shared" si="11"/>
        <v>45</v>
      </c>
      <c r="V88" s="97"/>
      <c r="W88" s="97"/>
      <c r="X88" s="100"/>
      <c r="Y88" s="26"/>
    </row>
    <row r="89" spans="1:61" s="36" customFormat="1" ht="18.75" customHeight="1" x14ac:dyDescent="0.25">
      <c r="A89" s="43" t="s">
        <v>575</v>
      </c>
      <c r="B89" s="43" t="str">
        <f t="shared" si="10"/>
        <v>S46</v>
      </c>
      <c r="C89" s="223" t="s">
        <v>597</v>
      </c>
      <c r="D89" s="178" t="s">
        <v>577</v>
      </c>
      <c r="E89" s="39" t="s">
        <v>108</v>
      </c>
      <c r="F89" s="58"/>
      <c r="G89" s="23"/>
      <c r="H89" s="23"/>
      <c r="I89" s="53"/>
      <c r="J89" s="53"/>
      <c r="K89" s="72"/>
      <c r="L89" s="68"/>
      <c r="M89" s="68"/>
      <c r="N89" s="68">
        <v>1810</v>
      </c>
      <c r="O89" s="68">
        <v>1810</v>
      </c>
      <c r="P89" s="68">
        <v>1810</v>
      </c>
      <c r="Q89" s="68"/>
      <c r="R89" s="68"/>
      <c r="S89" s="23"/>
      <c r="T89" s="26" t="s">
        <v>579</v>
      </c>
      <c r="U89" s="26">
        <f t="shared" si="11"/>
        <v>46</v>
      </c>
      <c r="V89" s="97"/>
      <c r="W89" s="97"/>
      <c r="X89" s="100"/>
      <c r="Y89" s="26"/>
    </row>
    <row r="90" spans="1:61" s="36" customFormat="1" ht="18.75" customHeight="1" x14ac:dyDescent="0.25">
      <c r="A90" s="43" t="s">
        <v>575</v>
      </c>
      <c r="B90" s="43" t="str">
        <f t="shared" si="10"/>
        <v>S47</v>
      </c>
      <c r="C90" s="74" t="s">
        <v>598</v>
      </c>
      <c r="D90" s="178" t="s">
        <v>577</v>
      </c>
      <c r="E90" s="39" t="s">
        <v>108</v>
      </c>
      <c r="F90" s="58"/>
      <c r="G90" s="23"/>
      <c r="H90" s="23"/>
      <c r="I90" s="53"/>
      <c r="J90" s="53"/>
      <c r="K90" s="72"/>
      <c r="L90" s="68"/>
      <c r="M90" s="68"/>
      <c r="N90" s="68"/>
      <c r="O90" s="68"/>
      <c r="P90" s="68"/>
      <c r="Q90" s="68"/>
      <c r="R90" s="68"/>
      <c r="S90" s="23"/>
      <c r="T90" s="26" t="s">
        <v>579</v>
      </c>
      <c r="U90" s="26">
        <f t="shared" si="11"/>
        <v>47</v>
      </c>
      <c r="V90" s="97"/>
      <c r="W90" s="97"/>
      <c r="X90" s="100"/>
      <c r="Y90" s="26"/>
    </row>
    <row r="91" spans="1:61" s="36" customFormat="1" ht="18.75" customHeight="1" x14ac:dyDescent="0.25">
      <c r="A91" s="43" t="s">
        <v>575</v>
      </c>
      <c r="B91" s="43" t="str">
        <f t="shared" si="10"/>
        <v>S48</v>
      </c>
      <c r="C91" s="74" t="s">
        <v>599</v>
      </c>
      <c r="D91" s="178" t="s">
        <v>577</v>
      </c>
      <c r="E91" s="39" t="s">
        <v>108</v>
      </c>
      <c r="F91" s="58"/>
      <c r="G91" s="23"/>
      <c r="H91" s="23"/>
      <c r="I91" s="53"/>
      <c r="J91" s="53"/>
      <c r="K91" s="72"/>
      <c r="L91" s="68"/>
      <c r="M91" s="68"/>
      <c r="N91" s="68"/>
      <c r="O91" s="68"/>
      <c r="P91" s="68"/>
      <c r="Q91" s="68"/>
      <c r="R91" s="68"/>
      <c r="S91" s="23"/>
      <c r="T91" s="26" t="s">
        <v>579</v>
      </c>
      <c r="U91" s="26">
        <f t="shared" si="11"/>
        <v>48</v>
      </c>
      <c r="V91" s="97"/>
      <c r="W91" s="97"/>
      <c r="X91" s="100"/>
      <c r="Y91" s="26"/>
    </row>
    <row r="92" spans="1:61" s="36" customFormat="1" ht="18.75" customHeight="1" x14ac:dyDescent="0.25">
      <c r="A92" s="43" t="s">
        <v>575</v>
      </c>
      <c r="B92" s="43" t="str">
        <f t="shared" si="10"/>
        <v>S49</v>
      </c>
      <c r="C92" s="74" t="s">
        <v>599</v>
      </c>
      <c r="D92" s="77" t="s">
        <v>580</v>
      </c>
      <c r="E92" s="39" t="s">
        <v>108</v>
      </c>
      <c r="F92" s="58"/>
      <c r="G92" s="23"/>
      <c r="H92" s="23"/>
      <c r="I92" s="53"/>
      <c r="J92" s="53"/>
      <c r="K92" s="72"/>
      <c r="L92" s="68"/>
      <c r="M92" s="68"/>
      <c r="N92" s="68"/>
      <c r="O92" s="68"/>
      <c r="P92" s="68"/>
      <c r="Q92" s="68"/>
      <c r="R92" s="68"/>
      <c r="S92" s="23"/>
      <c r="T92" s="26" t="s">
        <v>579</v>
      </c>
      <c r="U92" s="26">
        <f t="shared" si="11"/>
        <v>49</v>
      </c>
      <c r="V92" s="97"/>
      <c r="W92" s="97"/>
      <c r="X92" s="100"/>
      <c r="Y92" s="26"/>
    </row>
    <row r="93" spans="1:61" s="36" customFormat="1" ht="18.75" customHeight="1" x14ac:dyDescent="0.25">
      <c r="A93" s="43" t="s">
        <v>575</v>
      </c>
      <c r="B93" s="43" t="str">
        <f t="shared" si="10"/>
        <v>S50</v>
      </c>
      <c r="C93" s="74" t="s">
        <v>599</v>
      </c>
      <c r="D93" s="77" t="s">
        <v>581</v>
      </c>
      <c r="E93" s="39" t="s">
        <v>108</v>
      </c>
      <c r="F93" s="58"/>
      <c r="G93" s="23"/>
      <c r="H93" s="23"/>
      <c r="I93" s="53"/>
      <c r="J93" s="53"/>
      <c r="K93" s="72"/>
      <c r="L93" s="68"/>
      <c r="M93" s="68"/>
      <c r="N93" s="68"/>
      <c r="O93" s="68"/>
      <c r="P93" s="68"/>
      <c r="Q93" s="68"/>
      <c r="R93" s="68"/>
      <c r="S93" s="23"/>
      <c r="T93" s="26" t="s">
        <v>579</v>
      </c>
      <c r="U93" s="26">
        <f t="shared" si="11"/>
        <v>50</v>
      </c>
      <c r="V93" s="97"/>
      <c r="W93" s="97"/>
      <c r="X93" s="100"/>
      <c r="Y93" s="26"/>
    </row>
    <row r="94" spans="1:61" s="36" customFormat="1" ht="19.5" customHeight="1" x14ac:dyDescent="0.25">
      <c r="A94" s="159"/>
      <c r="B94" s="159" t="str">
        <f t="shared" si="10"/>
        <v/>
      </c>
      <c r="C94" s="160" t="s">
        <v>535</v>
      </c>
      <c r="D94" s="160"/>
      <c r="E94" s="160"/>
      <c r="F94" s="163" t="s">
        <v>98</v>
      </c>
      <c r="G94" s="160"/>
      <c r="H94" s="160"/>
      <c r="I94" s="160"/>
      <c r="J94" s="160"/>
      <c r="K94" s="161">
        <f>SUMIF(F44:$F$93,$F$94,K44:K93)</f>
        <v>2042</v>
      </c>
      <c r="L94" s="161">
        <f ca="1">SUMIF($F44:G$93,$F$94,L44:L93)</f>
        <v>17627</v>
      </c>
      <c r="M94" s="161">
        <f ca="1">SUMIF($F44:H$93,$F$94,M44:M93)</f>
        <v>15721</v>
      </c>
      <c r="N94" s="161">
        <f ca="1">SUMIF($F44:I$93,$F$94,N44:N93)</f>
        <v>39122</v>
      </c>
      <c r="O94" s="161">
        <f ca="1">SUMIF($F44:J$93,$F$94,O44:O93)</f>
        <v>59477</v>
      </c>
      <c r="P94" s="161">
        <f ca="1">SUMIF($F44:K$93,$F$94,P44:P93)</f>
        <v>59477</v>
      </c>
      <c r="Q94" s="161"/>
      <c r="R94" s="161"/>
      <c r="S94" s="23"/>
      <c r="T94" s="26"/>
      <c r="U94" s="26"/>
      <c r="V94" s="97"/>
      <c r="W94" s="97"/>
      <c r="X94" s="98"/>
      <c r="Y94" s="26"/>
    </row>
    <row r="95" spans="1:61" s="36" customFormat="1" ht="19.5" customHeight="1" x14ac:dyDescent="0.25">
      <c r="A95" s="160"/>
      <c r="B95" s="160"/>
      <c r="C95" s="160" t="s">
        <v>535</v>
      </c>
      <c r="D95" s="160"/>
      <c r="E95" s="164" t="s">
        <v>108</v>
      </c>
      <c r="F95" s="162"/>
      <c r="G95" s="162"/>
      <c r="H95" s="162"/>
      <c r="I95" s="162"/>
      <c r="J95" s="162"/>
      <c r="K95" s="161">
        <f t="shared" ref="K95:P95" si="15">SUMIF($E$44:$E$93,$E$95,K44:K93)</f>
        <v>0</v>
      </c>
      <c r="L95" s="161">
        <f t="shared" si="15"/>
        <v>0</v>
      </c>
      <c r="M95" s="161">
        <f t="shared" si="15"/>
        <v>0</v>
      </c>
      <c r="N95" s="161">
        <f t="shared" si="15"/>
        <v>1810</v>
      </c>
      <c r="O95" s="161">
        <f t="shared" si="15"/>
        <v>1810</v>
      </c>
      <c r="P95" s="161">
        <f t="shared" si="15"/>
        <v>1810</v>
      </c>
      <c r="Q95" s="161"/>
      <c r="R95" s="161"/>
      <c r="S95" s="23"/>
      <c r="T95" s="26"/>
      <c r="U95" s="26"/>
      <c r="V95" s="97"/>
      <c r="W95" s="97"/>
      <c r="X95" s="98"/>
      <c r="Y95" s="26"/>
    </row>
    <row r="96" spans="1:61" s="36" customFormat="1" ht="18.75" customHeight="1" x14ac:dyDescent="0.25">
      <c r="A96" s="41"/>
      <c r="B96" s="41" t="s">
        <v>152</v>
      </c>
      <c r="C96" s="3" t="s">
        <v>600</v>
      </c>
      <c r="D96" s="3"/>
      <c r="E96" s="50"/>
      <c r="F96" s="50"/>
      <c r="G96" s="7"/>
      <c r="H96" s="7">
        <f t="shared" ref="H96:P96" si="16">SUMIF($A:$A,"SKOLE",H:H)</f>
        <v>0</v>
      </c>
      <c r="I96" s="54">
        <f t="shared" si="16"/>
        <v>0</v>
      </c>
      <c r="J96" s="54">
        <f t="shared" si="16"/>
        <v>0</v>
      </c>
      <c r="K96" s="54">
        <f t="shared" si="16"/>
        <v>2042</v>
      </c>
      <c r="L96" s="54">
        <f t="shared" si="16"/>
        <v>17627</v>
      </c>
      <c r="M96" s="54">
        <f t="shared" si="16"/>
        <v>15721</v>
      </c>
      <c r="N96" s="54">
        <f t="shared" si="16"/>
        <v>40932</v>
      </c>
      <c r="O96" s="54">
        <f t="shared" si="16"/>
        <v>61287</v>
      </c>
      <c r="P96" s="54">
        <f t="shared" si="16"/>
        <v>61287</v>
      </c>
      <c r="Q96" s="54"/>
      <c r="R96" s="54"/>
      <c r="S96" s="23" t="str">
        <f>IF(D96="INTERNHUSLEIE",K96,"0")</f>
        <v>0</v>
      </c>
      <c r="T96" s="26"/>
      <c r="U96" s="26"/>
      <c r="V96" s="97">
        <f>IF(F96="VEDTATT","VEDTATT",0)</f>
        <v>0</v>
      </c>
      <c r="W96" s="97">
        <f>IF(F96="MÅ","Nye tiltak",0)</f>
        <v>0</v>
      </c>
      <c r="X96" s="100"/>
      <c r="Y96" s="26"/>
      <c r="BF96" s="93"/>
      <c r="BG96" s="93"/>
      <c r="BH96" s="93"/>
      <c r="BI96" s="93"/>
    </row>
    <row r="97" spans="1:30" s="36" customFormat="1" ht="18.75" customHeight="1" x14ac:dyDescent="0.25">
      <c r="A97" s="46"/>
      <c r="B97" s="46"/>
      <c r="C97" s="11" t="s">
        <v>316</v>
      </c>
      <c r="D97" s="11"/>
      <c r="E97" s="48"/>
      <c r="F97" s="48"/>
      <c r="G97" s="22"/>
      <c r="H97" s="2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3" t="str">
        <f>IF(D97="INTERNHUSLEIE",K97,"0")</f>
        <v>0</v>
      </c>
      <c r="T97" s="26"/>
      <c r="U97" s="26"/>
      <c r="V97" s="97">
        <f>IF(F97="VEDTATT","VEDTATT",0)</f>
        <v>0</v>
      </c>
      <c r="W97" s="97">
        <f>IF(F97="MÅ","Nye tiltak",0)</f>
        <v>0</v>
      </c>
      <c r="X97" s="99"/>
      <c r="Y97" s="26"/>
    </row>
    <row r="98" spans="1:30" s="1" customFormat="1" ht="18.75" customHeight="1" x14ac:dyDescent="0.25">
      <c r="A98" s="39"/>
      <c r="B98" s="42"/>
      <c r="C98" s="86" t="s">
        <v>119</v>
      </c>
      <c r="D98" s="86"/>
      <c r="E98" s="48"/>
      <c r="F98" s="48"/>
      <c r="G98" s="29"/>
      <c r="H98" s="29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23" t="str">
        <f>IF(D98="INTERNHUSLEIE",K98,"0")</f>
        <v>0</v>
      </c>
      <c r="T98" s="26"/>
      <c r="U98" s="26"/>
      <c r="V98" s="97">
        <f>IF(F98="VEDTATT","VEDTATT",0)</f>
        <v>0</v>
      </c>
      <c r="W98" s="97">
        <f>IF(F98="MÅ","Nye tiltak",0)</f>
        <v>0</v>
      </c>
      <c r="X98" s="101"/>
      <c r="Y98" s="27"/>
    </row>
    <row r="99" spans="1:30" s="36" customFormat="1" ht="18.75" customHeight="1" x14ac:dyDescent="0.25">
      <c r="A99" s="43" t="s">
        <v>2</v>
      </c>
      <c r="B99" s="43" t="str">
        <f>IF(U99,T99&amp;U99,"")</f>
        <v>B1</v>
      </c>
      <c r="C99" s="223" t="s">
        <v>601</v>
      </c>
      <c r="D99" s="77" t="s">
        <v>577</v>
      </c>
      <c r="E99" s="39" t="s">
        <v>108</v>
      </c>
      <c r="F99" s="58"/>
      <c r="G99" s="23"/>
      <c r="H99" s="23"/>
      <c r="I99" s="53"/>
      <c r="J99" s="53"/>
      <c r="K99" s="72"/>
      <c r="L99" s="68">
        <v>9</v>
      </c>
      <c r="M99" s="68">
        <v>25</v>
      </c>
      <c r="N99" s="68">
        <v>50</v>
      </c>
      <c r="O99" s="68">
        <v>50</v>
      </c>
      <c r="P99" s="68">
        <v>50</v>
      </c>
      <c r="Q99" s="68"/>
      <c r="R99" s="68"/>
      <c r="S99" s="23">
        <f>IF(D99="INTERNHUSLEIE",K99,"0")</f>
        <v>0</v>
      </c>
      <c r="T99" s="26" t="s">
        <v>602</v>
      </c>
      <c r="U99" s="26">
        <v>1</v>
      </c>
      <c r="V99" s="97">
        <f>IF(F99="VEDTATT","VEDTATT",0)</f>
        <v>0</v>
      </c>
      <c r="W99" s="97">
        <f>IF(F99="MÅ","Nye tiltak",0)</f>
        <v>0</v>
      </c>
      <c r="X99" s="99"/>
      <c r="Y99" s="26"/>
    </row>
    <row r="100" spans="1:30" s="36" customFormat="1" ht="18.75" customHeight="1" x14ac:dyDescent="0.25">
      <c r="A100" s="159"/>
      <c r="B100" s="159" t="str">
        <f t="shared" ref="B100:B110" si="17">IF(U100,T100&amp;U100,"")</f>
        <v/>
      </c>
      <c r="C100" s="213" t="s">
        <v>537</v>
      </c>
      <c r="D100" s="160"/>
      <c r="E100" s="160"/>
      <c r="F100" s="163" t="s">
        <v>98</v>
      </c>
      <c r="G100" s="160"/>
      <c r="H100" s="160"/>
      <c r="I100" s="160"/>
      <c r="J100" s="160"/>
      <c r="K100" s="161">
        <f>SUMIF(F99:$F$99,$F$100,K99:K99)</f>
        <v>0</v>
      </c>
      <c r="L100" s="214">
        <f ca="1">SUMIF($F99:G$99,$F$100,L99:L99)</f>
        <v>0</v>
      </c>
      <c r="M100" s="214">
        <f ca="1">SUMIF($F99:H$99,$F$100,M99:M99)</f>
        <v>0</v>
      </c>
      <c r="N100" s="214">
        <f ca="1">SUMIF($F99:I$99,$F$100,N99:N99)</f>
        <v>0</v>
      </c>
      <c r="O100" s="214">
        <f ca="1">SUMIF($F99:J$99,$F$100,O99:O99)</f>
        <v>0</v>
      </c>
      <c r="P100" s="214"/>
      <c r="Q100" s="214"/>
      <c r="R100" s="214"/>
      <c r="S100" s="23" t="str">
        <f>IF(D100="INTERNHUSLEIE",K100,"0")</f>
        <v>0</v>
      </c>
      <c r="T100" s="26"/>
      <c r="U100" s="26"/>
      <c r="V100" s="97" t="str">
        <f>IF(F100="VEDTATT","VEDTATT",0)</f>
        <v>VEDTATT</v>
      </c>
      <c r="W100" s="97">
        <f>IF(F100="MÅ","Nye tiltak",0)</f>
        <v>0</v>
      </c>
      <c r="X100" s="102"/>
      <c r="Y100" s="26"/>
      <c r="Z100" s="2"/>
      <c r="AA100" s="2"/>
      <c r="AB100" s="2"/>
      <c r="AC100" s="2"/>
      <c r="AD100" s="2"/>
    </row>
    <row r="101" spans="1:30" s="36" customFormat="1" ht="18.75" customHeight="1" x14ac:dyDescent="0.25">
      <c r="A101" s="159"/>
      <c r="B101" s="159"/>
      <c r="C101" s="160" t="s">
        <v>537</v>
      </c>
      <c r="D101" s="160"/>
      <c r="E101" s="164" t="s">
        <v>108</v>
      </c>
      <c r="F101" s="162"/>
      <c r="G101" s="162"/>
      <c r="H101" s="162"/>
      <c r="I101" s="162"/>
      <c r="J101" s="162"/>
      <c r="K101" s="161">
        <f>SUMIF($E$99:$E$99,$E$101,K99:K99)</f>
        <v>0</v>
      </c>
      <c r="L101" s="161">
        <f>SUMIF($E$99:$E$99,$E$101,L99:L99)</f>
        <v>9</v>
      </c>
      <c r="M101" s="161">
        <f>SUMIF($E$99:$E$99,$E$101,M99:M99)</f>
        <v>25</v>
      </c>
      <c r="N101" s="161">
        <f>SUMIF($E$99:$E$99,$E$101,N99:N99)</f>
        <v>50</v>
      </c>
      <c r="O101" s="161">
        <f>SUMIF($E$99:$E$99,$E$101,O99:O99)</f>
        <v>50</v>
      </c>
      <c r="P101" s="161">
        <f>P99</f>
        <v>50</v>
      </c>
      <c r="Q101" s="161"/>
      <c r="R101" s="161"/>
      <c r="S101" s="23"/>
      <c r="T101" s="26"/>
      <c r="U101" s="26"/>
      <c r="V101" s="97"/>
      <c r="W101" s="97"/>
      <c r="X101" s="102"/>
      <c r="Y101" s="26"/>
      <c r="Z101" s="2"/>
      <c r="AA101" s="2"/>
      <c r="AB101" s="2"/>
      <c r="AC101" s="2"/>
      <c r="AD101" s="2"/>
    </row>
    <row r="102" spans="1:30" s="36" customFormat="1" ht="18.75" customHeight="1" x14ac:dyDescent="0.25">
      <c r="A102" s="76"/>
      <c r="B102" s="43" t="str">
        <f t="shared" si="17"/>
        <v/>
      </c>
      <c r="C102" s="14" t="s">
        <v>129</v>
      </c>
      <c r="D102" s="77"/>
      <c r="E102" s="94"/>
      <c r="F102" s="69"/>
      <c r="G102" s="265"/>
      <c r="H102" s="265"/>
      <c r="I102" s="73"/>
      <c r="J102" s="73"/>
      <c r="K102" s="73"/>
      <c r="L102" s="73"/>
      <c r="M102" s="73"/>
      <c r="N102" s="73"/>
      <c r="O102" s="73"/>
      <c r="P102" s="68"/>
      <c r="Q102" s="68"/>
      <c r="R102" s="68"/>
      <c r="S102" s="23" t="str">
        <f>IF(D102="INTERNHUSLEIE",K102,"0")</f>
        <v>0</v>
      </c>
      <c r="T102" s="26"/>
      <c r="U102" s="26"/>
      <c r="V102" s="97">
        <f>IF(F102="VEDTATT","VEDTATT",0)</f>
        <v>0</v>
      </c>
      <c r="W102" s="97">
        <f>IF(F102="MÅ","Nye tiltak",0)</f>
        <v>0</v>
      </c>
      <c r="X102" s="102"/>
      <c r="Y102" s="26"/>
      <c r="Z102" s="2"/>
      <c r="AA102" s="2"/>
      <c r="AB102" s="2"/>
      <c r="AC102" s="2"/>
      <c r="AD102" s="2"/>
    </row>
    <row r="103" spans="1:30" s="36" customFormat="1" ht="18.75" customHeight="1" x14ac:dyDescent="0.25">
      <c r="A103" s="43" t="s">
        <v>2</v>
      </c>
      <c r="B103" s="43" t="str">
        <f t="shared" si="17"/>
        <v>B2</v>
      </c>
      <c r="C103" s="74" t="s">
        <v>603</v>
      </c>
      <c r="D103" s="77" t="s">
        <v>577</v>
      </c>
      <c r="E103" s="212" t="s">
        <v>578</v>
      </c>
      <c r="F103" s="270" t="s">
        <v>98</v>
      </c>
      <c r="G103" s="259"/>
      <c r="H103" s="259"/>
      <c r="I103" s="271"/>
      <c r="J103" s="271"/>
      <c r="K103" s="252">
        <v>879</v>
      </c>
      <c r="L103" s="252"/>
      <c r="M103" s="252">
        <v>293</v>
      </c>
      <c r="N103" s="252">
        <v>1757</v>
      </c>
      <c r="O103" s="252">
        <v>1757</v>
      </c>
      <c r="P103" s="273">
        <v>1757</v>
      </c>
      <c r="Q103" s="252"/>
      <c r="R103" s="252"/>
      <c r="S103" s="23">
        <f>IF(D103="INTERNHUSLEIE",K103,"0")</f>
        <v>879</v>
      </c>
      <c r="T103" s="26" t="s">
        <v>602</v>
      </c>
      <c r="U103" s="26">
        <f>U99+1</f>
        <v>2</v>
      </c>
      <c r="V103" s="97" t="str">
        <f>IF(F103="VEDTATT","VEDTATT",0)</f>
        <v>VEDTATT</v>
      </c>
      <c r="W103" s="97">
        <f>IF(F103="MÅ","Nye tiltak",0)</f>
        <v>0</v>
      </c>
      <c r="X103" s="102"/>
      <c r="Y103" s="26"/>
    </row>
    <row r="104" spans="1:30" s="36" customFormat="1" ht="18.75" customHeight="1" x14ac:dyDescent="0.25">
      <c r="A104" s="43" t="s">
        <v>2</v>
      </c>
      <c r="B104" s="43" t="str">
        <f t="shared" si="17"/>
        <v>B3</v>
      </c>
      <c r="C104" s="107" t="s">
        <v>603</v>
      </c>
      <c r="D104" s="77" t="s">
        <v>580</v>
      </c>
      <c r="E104" s="212" t="s">
        <v>578</v>
      </c>
      <c r="F104" s="270" t="s">
        <v>98</v>
      </c>
      <c r="G104" s="259"/>
      <c r="H104" s="259"/>
      <c r="I104" s="271">
        <v>-1265</v>
      </c>
      <c r="J104" s="271">
        <v>-4000</v>
      </c>
      <c r="K104" s="252">
        <v>158</v>
      </c>
      <c r="L104" s="252"/>
      <c r="M104" s="252">
        <v>34</v>
      </c>
      <c r="N104" s="252">
        <v>189</v>
      </c>
      <c r="O104" s="252">
        <v>189</v>
      </c>
      <c r="P104" s="273">
        <v>189</v>
      </c>
      <c r="Q104" s="252"/>
      <c r="R104" s="252"/>
      <c r="S104" s="23" t="str">
        <f>IF(D104="INTERNHUSLEIE",K104,"0")</f>
        <v>0</v>
      </c>
      <c r="T104" s="26" t="s">
        <v>602</v>
      </c>
      <c r="U104" s="26">
        <f t="shared" ref="U104" si="18">U103+1</f>
        <v>3</v>
      </c>
      <c r="V104" s="97" t="str">
        <f>IF(F104="VEDTATT","VEDTATT",0)</f>
        <v>VEDTATT</v>
      </c>
      <c r="W104" s="97">
        <f>IF(F104="MÅ","Nye tiltak",0)</f>
        <v>0</v>
      </c>
      <c r="X104" s="99"/>
      <c r="Y104" s="26"/>
    </row>
    <row r="105" spans="1:30" s="36" customFormat="1" ht="18.75" customHeight="1" x14ac:dyDescent="0.25">
      <c r="A105" s="43" t="s">
        <v>2</v>
      </c>
      <c r="B105" s="43" t="str">
        <f t="shared" si="17"/>
        <v>B4</v>
      </c>
      <c r="C105" s="74" t="s">
        <v>603</v>
      </c>
      <c r="D105" s="77" t="s">
        <v>581</v>
      </c>
      <c r="E105" s="212" t="s">
        <v>578</v>
      </c>
      <c r="F105" s="270" t="s">
        <v>98</v>
      </c>
      <c r="G105" s="259"/>
      <c r="H105" s="259"/>
      <c r="I105" s="271"/>
      <c r="J105" s="272">
        <v>1800</v>
      </c>
      <c r="K105" s="252">
        <v>51</v>
      </c>
      <c r="L105" s="252"/>
      <c r="M105" s="252">
        <v>25</v>
      </c>
      <c r="N105" s="252">
        <v>144</v>
      </c>
      <c r="O105" s="252">
        <v>144</v>
      </c>
      <c r="P105" s="273">
        <v>144</v>
      </c>
      <c r="Q105" s="252"/>
      <c r="R105" s="252"/>
      <c r="S105" s="23" t="str">
        <f>IF(D105="INTERNHUSLEIE",K105,"0")</f>
        <v>0</v>
      </c>
      <c r="T105" s="26" t="s">
        <v>602</v>
      </c>
      <c r="U105" s="26">
        <f>U104+1</f>
        <v>4</v>
      </c>
      <c r="V105" s="97" t="str">
        <f>IF(F105="VEDTATT","VEDTATT",0)</f>
        <v>VEDTATT</v>
      </c>
      <c r="W105" s="97">
        <f>IF(F105="MÅ","Nye tiltak",0)</f>
        <v>0</v>
      </c>
      <c r="X105" s="99"/>
      <c r="Y105" s="26"/>
    </row>
    <row r="106" spans="1:30" s="36" customFormat="1" ht="18.75" customHeight="1" x14ac:dyDescent="0.25">
      <c r="A106" s="43" t="s">
        <v>2</v>
      </c>
      <c r="B106" s="43" t="str">
        <f t="shared" si="17"/>
        <v>B5</v>
      </c>
      <c r="C106" s="74" t="s">
        <v>604</v>
      </c>
      <c r="D106" s="77" t="s">
        <v>577</v>
      </c>
      <c r="E106" s="212" t="s">
        <v>108</v>
      </c>
      <c r="F106" s="270"/>
      <c r="G106" s="259"/>
      <c r="H106" s="259"/>
      <c r="I106" s="271"/>
      <c r="J106" s="272"/>
      <c r="K106" s="252"/>
      <c r="L106" s="252"/>
      <c r="M106" s="252">
        <v>145</v>
      </c>
      <c r="N106" s="252">
        <v>290</v>
      </c>
      <c r="O106" s="252">
        <v>290</v>
      </c>
      <c r="P106" s="273">
        <v>290</v>
      </c>
      <c r="Q106" s="252"/>
      <c r="R106" s="252"/>
      <c r="S106" s="23"/>
      <c r="T106" s="26" t="s">
        <v>602</v>
      </c>
      <c r="U106" s="26">
        <f>U105+1</f>
        <v>5</v>
      </c>
      <c r="V106" s="97"/>
      <c r="W106" s="97"/>
      <c r="X106" s="99"/>
      <c r="Y106" s="26"/>
    </row>
    <row r="107" spans="1:30" s="36" customFormat="1" ht="18.75" customHeight="1" x14ac:dyDescent="0.25">
      <c r="A107" s="43" t="s">
        <v>2</v>
      </c>
      <c r="B107" s="43" t="str">
        <f t="shared" si="17"/>
        <v>B6</v>
      </c>
      <c r="C107" s="74" t="s">
        <v>605</v>
      </c>
      <c r="D107" s="77" t="s">
        <v>580</v>
      </c>
      <c r="E107" s="212" t="s">
        <v>108</v>
      </c>
      <c r="F107" s="212"/>
      <c r="G107" s="259"/>
      <c r="H107" s="259"/>
      <c r="I107" s="271"/>
      <c r="J107" s="272"/>
      <c r="K107" s="252"/>
      <c r="L107" s="252">
        <v>800</v>
      </c>
      <c r="M107" s="252">
        <v>40</v>
      </c>
      <c r="N107" s="252">
        <v>80</v>
      </c>
      <c r="O107" s="252">
        <v>80</v>
      </c>
      <c r="P107" s="68">
        <v>80</v>
      </c>
      <c r="Q107" s="68"/>
      <c r="R107" s="68"/>
      <c r="S107" s="23"/>
      <c r="T107" s="26" t="s">
        <v>602</v>
      </c>
      <c r="U107" s="26">
        <f t="shared" ref="U107:U109" si="19">U106+1</f>
        <v>6</v>
      </c>
      <c r="V107" s="97"/>
      <c r="W107" s="97"/>
      <c r="X107" s="99"/>
      <c r="Y107" s="26"/>
    </row>
    <row r="108" spans="1:30" s="36" customFormat="1" ht="18.75" customHeight="1" x14ac:dyDescent="0.25">
      <c r="A108" s="43" t="s">
        <v>2</v>
      </c>
      <c r="B108" s="43" t="str">
        <f t="shared" si="17"/>
        <v>B7</v>
      </c>
      <c r="C108" s="74" t="s">
        <v>606</v>
      </c>
      <c r="D108" s="77" t="s">
        <v>581</v>
      </c>
      <c r="E108" s="266" t="s">
        <v>108</v>
      </c>
      <c r="F108" s="266"/>
      <c r="G108" s="31"/>
      <c r="H108" s="31"/>
      <c r="I108" s="267"/>
      <c r="J108" s="268"/>
      <c r="K108" s="269"/>
      <c r="L108" s="269">
        <v>98</v>
      </c>
      <c r="M108" s="269">
        <v>25</v>
      </c>
      <c r="N108" s="269">
        <v>50</v>
      </c>
      <c r="O108" s="269">
        <v>50</v>
      </c>
      <c r="P108" s="68">
        <v>50</v>
      </c>
      <c r="Q108" s="68"/>
      <c r="R108" s="68"/>
      <c r="S108" s="23"/>
      <c r="T108" s="26" t="s">
        <v>602</v>
      </c>
      <c r="U108" s="26">
        <f t="shared" si="19"/>
        <v>7</v>
      </c>
      <c r="V108" s="97"/>
      <c r="W108" s="97"/>
      <c r="X108" s="99"/>
      <c r="Y108" s="26"/>
    </row>
    <row r="109" spans="1:30" s="36" customFormat="1" ht="18.75" customHeight="1" x14ac:dyDescent="0.25">
      <c r="A109" s="43" t="s">
        <v>2</v>
      </c>
      <c r="B109" s="43" t="str">
        <f t="shared" si="17"/>
        <v>B8</v>
      </c>
      <c r="C109" s="225"/>
      <c r="E109" s="70" t="s">
        <v>108</v>
      </c>
      <c r="F109" s="70"/>
      <c r="G109" s="38"/>
      <c r="H109" s="38"/>
      <c r="I109" s="57"/>
      <c r="J109" s="105">
        <v>-1200</v>
      </c>
      <c r="K109" s="68"/>
      <c r="L109" s="68">
        <v>65</v>
      </c>
      <c r="M109" s="68"/>
      <c r="N109" s="68"/>
      <c r="O109" s="68"/>
      <c r="P109" s="68"/>
      <c r="Q109" s="68"/>
      <c r="R109" s="68"/>
      <c r="S109" s="23"/>
      <c r="T109" s="26" t="s">
        <v>602</v>
      </c>
      <c r="U109" s="26">
        <f t="shared" si="19"/>
        <v>8</v>
      </c>
      <c r="V109" s="97">
        <f>IF(F109="VEDTATT","VEDTATT",0)</f>
        <v>0</v>
      </c>
      <c r="W109" s="97">
        <f>IF(F109="MÅ","Nye tiltak",0)</f>
        <v>0</v>
      </c>
      <c r="X109" s="99"/>
      <c r="Y109" s="26"/>
    </row>
    <row r="110" spans="1:30" s="36" customFormat="1" ht="18.75" customHeight="1" x14ac:dyDescent="0.25">
      <c r="A110" s="159"/>
      <c r="B110" s="159" t="str">
        <f t="shared" si="17"/>
        <v/>
      </c>
      <c r="C110" s="160" t="s">
        <v>538</v>
      </c>
      <c r="D110" s="160"/>
      <c r="E110" s="160"/>
      <c r="F110" s="163" t="s">
        <v>98</v>
      </c>
      <c r="G110" s="160"/>
      <c r="H110" s="160"/>
      <c r="I110" s="160"/>
      <c r="J110" s="160"/>
      <c r="K110" s="161">
        <f>SUMIF(F103:$F$109,$F$110,K103:K109)</f>
        <v>1088</v>
      </c>
      <c r="L110" s="161">
        <f ca="1">SUMIF($F103:G$109,$F$110,L103:L109)</f>
        <v>0</v>
      </c>
      <c r="M110" s="161">
        <f ca="1">SUMIF($F103:H$109,$F$110,M103:M109)</f>
        <v>352</v>
      </c>
      <c r="N110" s="161">
        <f ca="1">SUMIF($F103:I$109,$F$110,N103:N109)</f>
        <v>2090</v>
      </c>
      <c r="O110" s="161">
        <f ca="1">SUMIF($F103:J$109,$F$110,O103:O109)</f>
        <v>2090</v>
      </c>
      <c r="P110" s="161">
        <f ca="1">SUMIF($F103:K$109,$F$110,P103:P109)</f>
        <v>2090</v>
      </c>
      <c r="Q110" s="161"/>
      <c r="R110" s="161"/>
      <c r="S110" s="23"/>
      <c r="T110" s="26"/>
      <c r="U110" s="26"/>
      <c r="V110" s="97"/>
      <c r="W110" s="97"/>
      <c r="X110" s="99"/>
      <c r="Y110" s="26"/>
    </row>
    <row r="111" spans="1:30" s="36" customFormat="1" ht="18.75" customHeight="1" x14ac:dyDescent="0.25">
      <c r="A111" s="160"/>
      <c r="B111" s="160"/>
      <c r="C111" s="160" t="s">
        <v>538</v>
      </c>
      <c r="D111" s="164"/>
      <c r="E111" s="164" t="s">
        <v>108</v>
      </c>
      <c r="F111" s="162"/>
      <c r="G111" s="162"/>
      <c r="H111" s="162"/>
      <c r="I111" s="162"/>
      <c r="J111" s="162"/>
      <c r="K111" s="161">
        <f t="shared" ref="K111:P111" si="20">SUMIF($E$103:$E$109,$E$111,K103:K109)</f>
        <v>0</v>
      </c>
      <c r="L111" s="161">
        <f t="shared" si="20"/>
        <v>963</v>
      </c>
      <c r="M111" s="161">
        <f t="shared" si="20"/>
        <v>210</v>
      </c>
      <c r="N111" s="161">
        <f t="shared" si="20"/>
        <v>420</v>
      </c>
      <c r="O111" s="161">
        <f t="shared" si="20"/>
        <v>420</v>
      </c>
      <c r="P111" s="161">
        <f t="shared" si="20"/>
        <v>420</v>
      </c>
      <c r="Q111" s="161"/>
      <c r="R111" s="161"/>
      <c r="S111" s="23"/>
      <c r="T111" s="26"/>
      <c r="U111" s="26"/>
      <c r="V111" s="97"/>
      <c r="W111" s="97"/>
      <c r="X111" s="99"/>
      <c r="Y111" s="26"/>
    </row>
    <row r="112" spans="1:30" s="36" customFormat="1" ht="18.75" customHeight="1" x14ac:dyDescent="0.25">
      <c r="A112" s="41"/>
      <c r="B112" s="41" t="s">
        <v>152</v>
      </c>
      <c r="C112" s="3" t="s">
        <v>607</v>
      </c>
      <c r="D112" s="3"/>
      <c r="E112" s="50"/>
      <c r="F112" s="50"/>
      <c r="G112" s="7"/>
      <c r="H112" s="7">
        <f t="shared" ref="H112:P112" si="21">SUMIF($A:$A,"B/U",H:H)</f>
        <v>0</v>
      </c>
      <c r="I112" s="54">
        <f t="shared" si="21"/>
        <v>-1265</v>
      </c>
      <c r="J112" s="54">
        <f t="shared" si="21"/>
        <v>-3400</v>
      </c>
      <c r="K112" s="54">
        <f t="shared" si="21"/>
        <v>1088</v>
      </c>
      <c r="L112" s="54">
        <f t="shared" si="21"/>
        <v>972</v>
      </c>
      <c r="M112" s="54">
        <f t="shared" si="21"/>
        <v>587</v>
      </c>
      <c r="N112" s="54">
        <f t="shared" si="21"/>
        <v>2560</v>
      </c>
      <c r="O112" s="54">
        <f t="shared" si="21"/>
        <v>2560</v>
      </c>
      <c r="P112" s="54">
        <f t="shared" si="21"/>
        <v>2560</v>
      </c>
      <c r="Q112" s="54"/>
      <c r="R112" s="54"/>
      <c r="S112" s="23" t="str">
        <f t="shared" ref="S112:S118" si="22">IF(D112="INTERNHUSLEIE",K112,"0")</f>
        <v>0</v>
      </c>
      <c r="T112" s="26"/>
      <c r="U112" s="26"/>
      <c r="V112" s="97">
        <f t="shared" ref="V112:V117" si="23">IF(F112="VEDTATT","VEDTATT",0)</f>
        <v>0</v>
      </c>
      <c r="W112" s="97">
        <f t="shared" ref="W112:W117" si="24">IF(F112="MÅ","Nye tiltak",0)</f>
        <v>0</v>
      </c>
      <c r="X112" s="99"/>
      <c r="Y112" s="26"/>
    </row>
    <row r="113" spans="1:25" s="36" customFormat="1" ht="18.75" customHeight="1" x14ac:dyDescent="0.25">
      <c r="A113" s="46"/>
      <c r="B113" s="46"/>
      <c r="C113" s="11" t="s">
        <v>3</v>
      </c>
      <c r="D113" s="11"/>
      <c r="E113" s="48"/>
      <c r="F113" s="59"/>
      <c r="G113" s="22"/>
      <c r="H113" s="22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23" t="str">
        <f t="shared" si="22"/>
        <v>0</v>
      </c>
      <c r="T113" s="26"/>
      <c r="U113" s="26"/>
      <c r="V113" s="97">
        <f t="shared" si="23"/>
        <v>0</v>
      </c>
      <c r="W113" s="97">
        <f t="shared" si="24"/>
        <v>0</v>
      </c>
      <c r="X113" s="99"/>
      <c r="Y113" s="26"/>
    </row>
    <row r="114" spans="1:25" s="36" customFormat="1" ht="18.75" customHeight="1" x14ac:dyDescent="0.25">
      <c r="A114" s="42"/>
      <c r="B114" s="42"/>
      <c r="C114" s="14" t="s">
        <v>608</v>
      </c>
      <c r="D114" s="14"/>
      <c r="E114" s="48"/>
      <c r="F114" s="59"/>
      <c r="G114" s="29"/>
      <c r="H114" s="29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23" t="str">
        <f t="shared" si="22"/>
        <v>0</v>
      </c>
      <c r="T114" s="26"/>
      <c r="U114" s="26"/>
      <c r="V114" s="97">
        <f t="shared" si="23"/>
        <v>0</v>
      </c>
      <c r="W114" s="97">
        <f t="shared" si="24"/>
        <v>0</v>
      </c>
      <c r="X114" s="99"/>
      <c r="Y114" s="26"/>
    </row>
    <row r="115" spans="1:25" s="36" customFormat="1" ht="18.75" customHeight="1" x14ac:dyDescent="0.25">
      <c r="A115" s="43"/>
      <c r="B115" s="43" t="str">
        <f t="shared" ref="B115:B146" si="25">IF(U115,T115&amp;U115,"")</f>
        <v/>
      </c>
      <c r="C115" s="14" t="s">
        <v>609</v>
      </c>
      <c r="D115" s="77"/>
      <c r="E115" s="48"/>
      <c r="F115" s="59"/>
      <c r="G115" s="29"/>
      <c r="H115" s="29"/>
      <c r="I115" s="57"/>
      <c r="J115" s="57"/>
      <c r="K115" s="68"/>
      <c r="L115" s="68"/>
      <c r="M115" s="68"/>
      <c r="N115" s="68"/>
      <c r="O115" s="68"/>
      <c r="P115" s="68"/>
      <c r="Q115" s="68"/>
      <c r="R115" s="68"/>
      <c r="S115" s="23" t="str">
        <f t="shared" si="22"/>
        <v>0</v>
      </c>
      <c r="T115" s="26"/>
      <c r="U115" s="26"/>
      <c r="V115" s="97">
        <f t="shared" si="23"/>
        <v>0</v>
      </c>
      <c r="W115" s="97">
        <f t="shared" si="24"/>
        <v>0</v>
      </c>
      <c r="X115" s="99"/>
      <c r="Y115" s="26"/>
    </row>
    <row r="116" spans="1:25" s="36" customFormat="1" ht="25.5" x14ac:dyDescent="0.25">
      <c r="A116" s="43" t="s">
        <v>610</v>
      </c>
      <c r="B116" s="43" t="str">
        <f t="shared" si="25"/>
        <v>L1</v>
      </c>
      <c r="C116" s="274" t="s">
        <v>611</v>
      </c>
      <c r="D116" s="77" t="s">
        <v>577</v>
      </c>
      <c r="E116" s="70" t="s">
        <v>108</v>
      </c>
      <c r="F116" s="59"/>
      <c r="G116" s="38"/>
      <c r="H116" s="38"/>
      <c r="I116" s="57"/>
      <c r="J116" s="57"/>
      <c r="K116" s="67">
        <v>81</v>
      </c>
      <c r="L116" s="68"/>
      <c r="M116" s="221"/>
      <c r="N116" s="221"/>
      <c r="O116" s="221"/>
      <c r="P116" s="221">
        <v>529</v>
      </c>
      <c r="Q116" s="252"/>
      <c r="R116" s="252"/>
      <c r="S116" s="23">
        <f t="shared" si="22"/>
        <v>81</v>
      </c>
      <c r="T116" s="26" t="s">
        <v>612</v>
      </c>
      <c r="U116" s="26">
        <v>1</v>
      </c>
      <c r="V116" s="97">
        <f t="shared" si="23"/>
        <v>0</v>
      </c>
      <c r="W116" s="97">
        <f t="shared" si="24"/>
        <v>0</v>
      </c>
      <c r="X116" s="99"/>
      <c r="Y116" s="26"/>
    </row>
    <row r="117" spans="1:25" s="36" customFormat="1" ht="25.5" x14ac:dyDescent="0.25">
      <c r="A117" s="43" t="s">
        <v>610</v>
      </c>
      <c r="B117" s="43" t="str">
        <f t="shared" si="25"/>
        <v>L2</v>
      </c>
      <c r="C117" s="274" t="s">
        <v>611</v>
      </c>
      <c r="D117" s="77" t="s">
        <v>581</v>
      </c>
      <c r="E117" s="70" t="s">
        <v>108</v>
      </c>
      <c r="F117" s="59"/>
      <c r="G117" s="38"/>
      <c r="H117" s="38"/>
      <c r="I117" s="57"/>
      <c r="J117" s="57"/>
      <c r="K117" s="68">
        <v>5</v>
      </c>
      <c r="L117" s="68"/>
      <c r="M117" s="221"/>
      <c r="N117" s="221"/>
      <c r="O117" s="221"/>
      <c r="P117" s="221">
        <v>42</v>
      </c>
      <c r="Q117" s="252"/>
      <c r="R117" s="252"/>
      <c r="S117" s="23" t="str">
        <f t="shared" si="22"/>
        <v>0</v>
      </c>
      <c r="T117" s="26" t="s">
        <v>612</v>
      </c>
      <c r="U117" s="26">
        <f>U116+1</f>
        <v>2</v>
      </c>
      <c r="V117" s="97">
        <f t="shared" si="23"/>
        <v>0</v>
      </c>
      <c r="W117" s="97">
        <f t="shared" si="24"/>
        <v>0</v>
      </c>
      <c r="X117" s="99"/>
      <c r="Y117" s="26"/>
    </row>
    <row r="118" spans="1:25" s="36" customFormat="1" x14ac:dyDescent="0.2">
      <c r="A118" s="43" t="s">
        <v>610</v>
      </c>
      <c r="B118" s="43" t="str">
        <f t="shared" si="25"/>
        <v>L3</v>
      </c>
      <c r="C118" s="275" t="s">
        <v>613</v>
      </c>
      <c r="D118" s="77" t="s">
        <v>577</v>
      </c>
      <c r="E118" s="70" t="s">
        <v>614</v>
      </c>
      <c r="F118" s="59" t="s">
        <v>98</v>
      </c>
      <c r="G118" s="38"/>
      <c r="H118" s="38"/>
      <c r="I118" s="57"/>
      <c r="J118" s="57"/>
      <c r="K118" s="68"/>
      <c r="L118" s="68">
        <v>585</v>
      </c>
      <c r="M118" s="221"/>
      <c r="N118" s="221"/>
      <c r="O118" s="221"/>
      <c r="P118" s="221">
        <v>2883</v>
      </c>
      <c r="Q118" s="252"/>
      <c r="R118" s="252"/>
      <c r="S118" s="23">
        <f t="shared" si="22"/>
        <v>0</v>
      </c>
      <c r="T118" s="26" t="s">
        <v>612</v>
      </c>
      <c r="U118" s="26">
        <f t="shared" ref="U118:U122" si="26">U117+1</f>
        <v>3</v>
      </c>
      <c r="V118" s="97"/>
      <c r="W118" s="97"/>
      <c r="X118" s="99"/>
      <c r="Y118" s="26"/>
    </row>
    <row r="119" spans="1:25" s="36" customFormat="1" x14ac:dyDescent="0.2">
      <c r="A119" s="43" t="s">
        <v>610</v>
      </c>
      <c r="B119" s="43" t="str">
        <f t="shared" si="25"/>
        <v>L4</v>
      </c>
      <c r="C119" s="275" t="s">
        <v>613</v>
      </c>
      <c r="D119" s="77" t="s">
        <v>581</v>
      </c>
      <c r="E119" s="70" t="s">
        <v>614</v>
      </c>
      <c r="F119" s="59" t="s">
        <v>98</v>
      </c>
      <c r="G119" s="38"/>
      <c r="H119" s="38"/>
      <c r="I119" s="57"/>
      <c r="J119" s="57"/>
      <c r="K119" s="68"/>
      <c r="L119" s="189">
        <v>884</v>
      </c>
      <c r="M119" s="68"/>
      <c r="N119" s="68"/>
      <c r="O119" s="68"/>
      <c r="P119" s="68">
        <f>472</f>
        <v>472</v>
      </c>
      <c r="Q119" s="68"/>
      <c r="R119" s="68"/>
      <c r="S119" s="23" t="e">
        <f>IF(#REF!="INTERNHUSLEIE",#REF!,"0")</f>
        <v>#REF!</v>
      </c>
      <c r="T119" s="26" t="s">
        <v>612</v>
      </c>
      <c r="U119" s="26">
        <f t="shared" si="26"/>
        <v>4</v>
      </c>
      <c r="V119" s="97"/>
      <c r="W119" s="97"/>
      <c r="X119" s="99"/>
      <c r="Y119" s="26"/>
    </row>
    <row r="120" spans="1:25" s="36" customFormat="1" x14ac:dyDescent="0.25">
      <c r="A120" s="43" t="s">
        <v>610</v>
      </c>
      <c r="B120" s="43" t="str">
        <f t="shared" si="25"/>
        <v>L5</v>
      </c>
      <c r="C120" s="224"/>
      <c r="D120" s="77"/>
      <c r="E120" s="39"/>
      <c r="F120" s="59"/>
      <c r="G120" s="38"/>
      <c r="H120" s="38"/>
      <c r="I120" s="57"/>
      <c r="J120" s="57"/>
      <c r="K120" s="68"/>
      <c r="L120" s="68"/>
      <c r="M120" s="68"/>
      <c r="N120" s="68"/>
      <c r="O120" s="68"/>
      <c r="P120" s="68"/>
      <c r="Q120" s="68"/>
      <c r="R120" s="68"/>
      <c r="S120" s="23"/>
      <c r="T120" s="26" t="s">
        <v>612</v>
      </c>
      <c r="U120" s="26">
        <f t="shared" si="26"/>
        <v>5</v>
      </c>
      <c r="V120" s="97"/>
      <c r="W120" s="97"/>
      <c r="X120" s="99"/>
      <c r="Y120" s="26"/>
    </row>
    <row r="121" spans="1:25" s="36" customFormat="1" x14ac:dyDescent="0.25">
      <c r="A121" s="43" t="s">
        <v>610</v>
      </c>
      <c r="B121" s="43" t="str">
        <f t="shared" si="25"/>
        <v>L6</v>
      </c>
      <c r="C121" s="52"/>
      <c r="D121" s="77"/>
      <c r="E121" s="39"/>
      <c r="F121" s="59"/>
      <c r="G121" s="38"/>
      <c r="H121" s="38"/>
      <c r="I121" s="57"/>
      <c r="J121" s="57"/>
      <c r="K121" s="68"/>
      <c r="L121" s="68"/>
      <c r="M121" s="68"/>
      <c r="N121" s="68"/>
      <c r="O121" s="68"/>
      <c r="P121" s="68"/>
      <c r="Q121" s="68"/>
      <c r="R121" s="68"/>
      <c r="S121" s="23"/>
      <c r="T121" s="26" t="s">
        <v>612</v>
      </c>
      <c r="U121" s="26">
        <f t="shared" si="26"/>
        <v>6</v>
      </c>
      <c r="V121" s="97"/>
      <c r="W121" s="97"/>
      <c r="X121" s="99"/>
      <c r="Y121" s="26"/>
    </row>
    <row r="122" spans="1:25" s="36" customFormat="1" x14ac:dyDescent="0.25">
      <c r="A122" s="43" t="s">
        <v>610</v>
      </c>
      <c r="B122" s="43" t="str">
        <f t="shared" si="25"/>
        <v>L7</v>
      </c>
      <c r="C122" s="52"/>
      <c r="D122" s="77"/>
      <c r="E122" s="39"/>
      <c r="F122" s="59"/>
      <c r="G122" s="38"/>
      <c r="H122" s="38"/>
      <c r="I122" s="57"/>
      <c r="J122" s="57"/>
      <c r="K122" s="68"/>
      <c r="L122" s="68"/>
      <c r="M122" s="68"/>
      <c r="N122" s="68"/>
      <c r="O122" s="68"/>
      <c r="P122" s="68"/>
      <c r="Q122" s="68"/>
      <c r="R122" s="68"/>
      <c r="S122" s="23"/>
      <c r="T122" s="26" t="s">
        <v>612</v>
      </c>
      <c r="U122" s="26">
        <f t="shared" si="26"/>
        <v>7</v>
      </c>
      <c r="V122" s="97"/>
      <c r="W122" s="97"/>
      <c r="X122" s="99"/>
      <c r="Y122" s="26"/>
    </row>
    <row r="123" spans="1:25" s="36" customFormat="1" ht="18.75" customHeight="1" x14ac:dyDescent="0.25">
      <c r="A123" s="159"/>
      <c r="B123" s="159"/>
      <c r="C123" s="160" t="s">
        <v>540</v>
      </c>
      <c r="D123" s="160"/>
      <c r="E123" s="160"/>
      <c r="F123" s="163" t="s">
        <v>98</v>
      </c>
      <c r="G123" s="160"/>
      <c r="H123" s="160"/>
      <c r="I123" s="160"/>
      <c r="J123" s="160"/>
      <c r="K123" s="161">
        <f>SUMIF(F$116:$F122,$F$123,K116:K122)</f>
        <v>0</v>
      </c>
      <c r="L123" s="161">
        <f ca="1">SUMIF($F$116:G122,$F$123,L116:L122)</f>
        <v>1469</v>
      </c>
      <c r="M123" s="161">
        <f ca="1">SUMIF($F$116:H122,$F$123,M116:M122)</f>
        <v>0</v>
      </c>
      <c r="N123" s="161">
        <f ca="1">SUMIF($F$116:I122,$F$123,N116:N122)</f>
        <v>0</v>
      </c>
      <c r="O123" s="161">
        <f ca="1">SUMIF($F$116:J122,$F$123,O116:O122)</f>
        <v>0</v>
      </c>
      <c r="P123" s="161">
        <f ca="1">SUMIF($F$116:K122,$F$123,P116:P122)</f>
        <v>3355</v>
      </c>
      <c r="Q123" s="161"/>
      <c r="R123" s="161"/>
      <c r="S123" s="23"/>
      <c r="T123" s="26" t="s">
        <v>612</v>
      </c>
      <c r="U123" s="26"/>
      <c r="V123" s="97"/>
      <c r="W123" s="97"/>
      <c r="X123" s="99"/>
      <c r="Y123" s="26"/>
    </row>
    <row r="124" spans="1:25" s="36" customFormat="1" ht="18.75" customHeight="1" x14ac:dyDescent="0.25">
      <c r="A124" s="159"/>
      <c r="B124" s="159"/>
      <c r="C124" s="160" t="s">
        <v>540</v>
      </c>
      <c r="D124" s="160"/>
      <c r="E124" s="164" t="s">
        <v>108</v>
      </c>
      <c r="F124" s="162"/>
      <c r="G124" s="162"/>
      <c r="H124" s="162"/>
      <c r="I124" s="162"/>
      <c r="J124" s="162"/>
      <c r="K124" s="161">
        <f t="shared" ref="K124:P124" si="27">SUMIF($E$116:$E$122,$E$124,K116:K122)</f>
        <v>86</v>
      </c>
      <c r="L124" s="161">
        <f t="shared" si="27"/>
        <v>0</v>
      </c>
      <c r="M124" s="161">
        <f t="shared" si="27"/>
        <v>0</v>
      </c>
      <c r="N124" s="161">
        <f t="shared" si="27"/>
        <v>0</v>
      </c>
      <c r="O124" s="161">
        <f t="shared" si="27"/>
        <v>0</v>
      </c>
      <c r="P124" s="161">
        <f t="shared" si="27"/>
        <v>571</v>
      </c>
      <c r="Q124" s="161"/>
      <c r="R124" s="161"/>
      <c r="S124" s="23"/>
      <c r="T124" s="26" t="s">
        <v>612</v>
      </c>
      <c r="U124" s="26"/>
      <c r="V124" s="97"/>
      <c r="W124" s="97"/>
      <c r="X124" s="99"/>
      <c r="Y124" s="26"/>
    </row>
    <row r="125" spans="1:25" s="36" customFormat="1" ht="18.75" customHeight="1" x14ac:dyDescent="0.25">
      <c r="A125" s="43"/>
      <c r="B125" s="43"/>
      <c r="C125" s="14" t="s">
        <v>155</v>
      </c>
      <c r="D125" s="77"/>
      <c r="E125" s="39"/>
      <c r="F125" s="59"/>
      <c r="G125" s="38"/>
      <c r="H125" s="38"/>
      <c r="I125" s="57">
        <v>-4795</v>
      </c>
      <c r="J125" s="57"/>
      <c r="K125" s="68"/>
      <c r="L125" s="68"/>
      <c r="M125" s="73"/>
      <c r="N125" s="73"/>
      <c r="O125" s="73"/>
      <c r="P125" s="73"/>
      <c r="Q125" s="73"/>
      <c r="R125" s="73"/>
      <c r="S125" s="23" t="str">
        <f t="shared" ref="S125:S136" si="28">IF(D125="INTERNHUSLEIE",K125,"0")</f>
        <v>0</v>
      </c>
      <c r="T125" s="26" t="s">
        <v>612</v>
      </c>
      <c r="U125" s="26"/>
      <c r="V125" s="97">
        <f t="shared" ref="V125:V136" si="29">IF(F125="VEDTATT","VEDTATT",0)</f>
        <v>0</v>
      </c>
      <c r="W125" s="97">
        <f t="shared" ref="W125:W136" si="30">IF(F125="MÅ","Nye tiltak",0)</f>
        <v>0</v>
      </c>
      <c r="X125" s="99"/>
      <c r="Y125" s="26"/>
    </row>
    <row r="126" spans="1:25" s="36" customFormat="1" ht="18.75" customHeight="1" x14ac:dyDescent="0.25">
      <c r="A126" s="43" t="s">
        <v>610</v>
      </c>
      <c r="B126" s="43" t="str">
        <f t="shared" si="25"/>
        <v>L8</v>
      </c>
      <c r="C126" s="52" t="s">
        <v>615</v>
      </c>
      <c r="D126" s="77" t="s">
        <v>577</v>
      </c>
      <c r="E126" s="70" t="s">
        <v>578</v>
      </c>
      <c r="F126" s="59" t="s">
        <v>98</v>
      </c>
      <c r="G126" s="38"/>
      <c r="H126" s="38"/>
      <c r="I126" s="57"/>
      <c r="J126" s="57"/>
      <c r="K126" s="68">
        <v>242</v>
      </c>
      <c r="L126" s="68"/>
      <c r="M126" s="252"/>
      <c r="O126" s="252">
        <v>2066</v>
      </c>
      <c r="P126" s="252">
        <v>4131</v>
      </c>
      <c r="Q126" s="252"/>
      <c r="R126" s="252"/>
      <c r="S126" s="23">
        <f t="shared" si="28"/>
        <v>242</v>
      </c>
      <c r="T126" s="26" t="s">
        <v>612</v>
      </c>
      <c r="U126" s="26">
        <f>U122+1</f>
        <v>8</v>
      </c>
      <c r="V126" s="97" t="str">
        <f t="shared" si="29"/>
        <v>VEDTATT</v>
      </c>
      <c r="W126" s="97">
        <f t="shared" si="30"/>
        <v>0</v>
      </c>
      <c r="X126" s="99"/>
      <c r="Y126" s="26"/>
    </row>
    <row r="127" spans="1:25" s="36" customFormat="1" ht="18.75" customHeight="1" x14ac:dyDescent="0.25">
      <c r="A127" s="43" t="s">
        <v>610</v>
      </c>
      <c r="B127" s="43" t="str">
        <f t="shared" si="25"/>
        <v>L9</v>
      </c>
      <c r="C127" s="52" t="s">
        <v>615</v>
      </c>
      <c r="D127" s="77" t="s">
        <v>581</v>
      </c>
      <c r="E127" s="70" t="s">
        <v>578</v>
      </c>
      <c r="F127" s="69" t="s">
        <v>98</v>
      </c>
      <c r="G127" s="104"/>
      <c r="H127" s="104"/>
      <c r="I127" s="67">
        <v>-4794</v>
      </c>
      <c r="J127" s="67">
        <v>5500</v>
      </c>
      <c r="K127" s="67"/>
      <c r="L127" s="68"/>
      <c r="M127" s="252"/>
      <c r="O127" s="252">
        <v>152</v>
      </c>
      <c r="P127" s="252">
        <v>304</v>
      </c>
      <c r="Q127" s="252"/>
      <c r="R127" s="252"/>
      <c r="S127" s="23" t="str">
        <f t="shared" si="28"/>
        <v>0</v>
      </c>
      <c r="T127" s="26" t="s">
        <v>612</v>
      </c>
      <c r="U127" s="26">
        <f t="shared" ref="U127:U158" si="31">U126+1</f>
        <v>9</v>
      </c>
      <c r="V127" s="97" t="str">
        <f t="shared" si="29"/>
        <v>VEDTATT</v>
      </c>
      <c r="W127" s="97">
        <f t="shared" si="30"/>
        <v>0</v>
      </c>
      <c r="X127" s="99"/>
      <c r="Y127" s="26"/>
    </row>
    <row r="128" spans="1:25" s="452" customFormat="1" ht="25.5" x14ac:dyDescent="0.25">
      <c r="A128" s="462" t="s">
        <v>610</v>
      </c>
      <c r="B128" s="441" t="str">
        <f t="shared" si="25"/>
        <v>L10</v>
      </c>
      <c r="C128" s="463" t="s">
        <v>616</v>
      </c>
      <c r="D128" s="443" t="s">
        <v>577</v>
      </c>
      <c r="E128" s="444" t="s">
        <v>578</v>
      </c>
      <c r="F128" s="458" t="s">
        <v>98</v>
      </c>
      <c r="G128" s="459"/>
      <c r="H128" s="459"/>
      <c r="I128" s="447">
        <v>-4793</v>
      </c>
      <c r="J128" s="447">
        <v>11000</v>
      </c>
      <c r="K128" s="447"/>
      <c r="L128" s="447"/>
      <c r="M128" s="460"/>
      <c r="N128" s="460">
        <v>1175</v>
      </c>
      <c r="O128" s="460">
        <v>2351</v>
      </c>
      <c r="P128" s="460">
        <v>2351</v>
      </c>
      <c r="Q128" s="460"/>
      <c r="R128" s="460"/>
      <c r="S128" s="445">
        <f t="shared" si="28"/>
        <v>0</v>
      </c>
      <c r="T128" s="452" t="s">
        <v>612</v>
      </c>
      <c r="U128" s="452">
        <f t="shared" si="31"/>
        <v>10</v>
      </c>
      <c r="V128" s="453" t="str">
        <f t="shared" si="29"/>
        <v>VEDTATT</v>
      </c>
      <c r="W128" s="453">
        <f t="shared" si="30"/>
        <v>0</v>
      </c>
      <c r="X128" s="461"/>
    </row>
    <row r="129" spans="1:28" s="470" customFormat="1" ht="25.5" x14ac:dyDescent="0.25">
      <c r="A129" s="464" t="s">
        <v>610</v>
      </c>
      <c r="B129" s="465" t="str">
        <f t="shared" si="25"/>
        <v>L11</v>
      </c>
      <c r="C129" s="466" t="s">
        <v>616</v>
      </c>
      <c r="D129" s="467" t="s">
        <v>581</v>
      </c>
      <c r="E129" s="402" t="s">
        <v>578</v>
      </c>
      <c r="F129" s="403" t="s">
        <v>98</v>
      </c>
      <c r="G129" s="468"/>
      <c r="H129" s="468"/>
      <c r="I129" s="428">
        <v>-4792</v>
      </c>
      <c r="J129" s="428">
        <v>5000</v>
      </c>
      <c r="K129" s="428">
        <v>575</v>
      </c>
      <c r="L129" s="428"/>
      <c r="M129" s="371"/>
      <c r="N129" s="371">
        <v>82</v>
      </c>
      <c r="O129" s="371">
        <v>164</v>
      </c>
      <c r="P129" s="371">
        <v>164</v>
      </c>
      <c r="Q129" s="371"/>
      <c r="R129" s="371"/>
      <c r="S129" s="469" t="str">
        <f t="shared" si="28"/>
        <v>0</v>
      </c>
      <c r="T129" s="470" t="s">
        <v>612</v>
      </c>
      <c r="U129" s="470">
        <f t="shared" si="31"/>
        <v>11</v>
      </c>
      <c r="V129" s="471" t="str">
        <f t="shared" si="29"/>
        <v>VEDTATT</v>
      </c>
      <c r="W129" s="471">
        <f t="shared" si="30"/>
        <v>0</v>
      </c>
      <c r="X129" s="472"/>
    </row>
    <row r="130" spans="1:28" s="36" customFormat="1" ht="18.75" customHeight="1" x14ac:dyDescent="0.25">
      <c r="A130" s="66" t="s">
        <v>610</v>
      </c>
      <c r="B130" s="43" t="str">
        <f t="shared" si="25"/>
        <v>L12</v>
      </c>
      <c r="C130" s="52" t="s">
        <v>617</v>
      </c>
      <c r="D130" s="77" t="s">
        <v>577</v>
      </c>
      <c r="E130" s="70" t="s">
        <v>578</v>
      </c>
      <c r="F130" s="59" t="s">
        <v>98</v>
      </c>
      <c r="G130" s="38"/>
      <c r="H130" s="38"/>
      <c r="I130" s="57"/>
      <c r="J130" s="57"/>
      <c r="K130" s="68">
        <v>150</v>
      </c>
      <c r="L130" s="68"/>
      <c r="O130" s="252"/>
      <c r="P130" s="252"/>
      <c r="Q130" s="252"/>
      <c r="R130" s="252"/>
      <c r="S130" s="23">
        <f t="shared" si="28"/>
        <v>150</v>
      </c>
      <c r="T130" s="26" t="s">
        <v>612</v>
      </c>
      <c r="U130" s="26">
        <f>U129+1</f>
        <v>12</v>
      </c>
      <c r="V130" s="97" t="str">
        <f t="shared" si="29"/>
        <v>VEDTATT</v>
      </c>
      <c r="W130" s="97">
        <f t="shared" si="30"/>
        <v>0</v>
      </c>
      <c r="X130" s="99"/>
      <c r="Y130" s="26"/>
    </row>
    <row r="131" spans="1:28" s="36" customFormat="1" ht="18.75" customHeight="1" x14ac:dyDescent="0.25">
      <c r="A131" s="66" t="s">
        <v>610</v>
      </c>
      <c r="B131" s="43" t="str">
        <f t="shared" si="25"/>
        <v>L13</v>
      </c>
      <c r="C131" s="52" t="s">
        <v>617</v>
      </c>
      <c r="D131" s="77" t="s">
        <v>580</v>
      </c>
      <c r="E131" s="70" t="s">
        <v>578</v>
      </c>
      <c r="F131" s="59" t="s">
        <v>98</v>
      </c>
      <c r="G131" s="38"/>
      <c r="H131" s="38"/>
      <c r="I131" s="57"/>
      <c r="J131" s="57"/>
      <c r="K131" s="68">
        <f>260-173</f>
        <v>87</v>
      </c>
      <c r="L131" s="68"/>
      <c r="M131" s="252"/>
      <c r="N131" s="252"/>
      <c r="O131" s="252"/>
      <c r="P131" s="252"/>
      <c r="Q131" s="252"/>
      <c r="R131" s="252"/>
      <c r="S131" s="23" t="str">
        <f t="shared" si="28"/>
        <v>0</v>
      </c>
      <c r="T131" s="26" t="s">
        <v>612</v>
      </c>
      <c r="U131" s="26">
        <f t="shared" si="31"/>
        <v>13</v>
      </c>
      <c r="V131" s="97" t="str">
        <f t="shared" si="29"/>
        <v>VEDTATT</v>
      </c>
      <c r="W131" s="97">
        <f t="shared" si="30"/>
        <v>0</v>
      </c>
      <c r="X131" s="99"/>
      <c r="Y131" s="26"/>
    </row>
    <row r="132" spans="1:28" s="36" customFormat="1" ht="18.75" customHeight="1" x14ac:dyDescent="0.25">
      <c r="A132" s="66" t="s">
        <v>610</v>
      </c>
      <c r="B132" s="43" t="str">
        <f t="shared" si="25"/>
        <v>L14</v>
      </c>
      <c r="C132" s="52" t="s">
        <v>617</v>
      </c>
      <c r="D132" s="77" t="s">
        <v>581</v>
      </c>
      <c r="E132" s="70" t="s">
        <v>578</v>
      </c>
      <c r="F132" s="59" t="s">
        <v>98</v>
      </c>
      <c r="G132" s="38"/>
      <c r="H132" s="38"/>
      <c r="I132" s="57"/>
      <c r="J132" s="57"/>
      <c r="K132" s="68">
        <v>15</v>
      </c>
      <c r="L132" s="68"/>
      <c r="O132" s="252"/>
      <c r="P132" s="252"/>
      <c r="Q132" s="252"/>
      <c r="R132" s="252"/>
      <c r="S132" s="23" t="str">
        <f t="shared" si="28"/>
        <v>0</v>
      </c>
      <c r="T132" s="26" t="s">
        <v>612</v>
      </c>
      <c r="U132" s="26">
        <f t="shared" si="31"/>
        <v>14</v>
      </c>
      <c r="V132" s="97" t="str">
        <f t="shared" si="29"/>
        <v>VEDTATT</v>
      </c>
      <c r="W132" s="97">
        <f t="shared" si="30"/>
        <v>0</v>
      </c>
      <c r="X132" s="99"/>
      <c r="Y132" s="26"/>
    </row>
    <row r="133" spans="1:28" s="36" customFormat="1" ht="18.75" customHeight="1" x14ac:dyDescent="0.25">
      <c r="A133" s="66" t="s">
        <v>610</v>
      </c>
      <c r="B133" s="43" t="str">
        <f t="shared" si="25"/>
        <v>L15</v>
      </c>
      <c r="C133" s="224" t="s">
        <v>618</v>
      </c>
      <c r="D133" s="77" t="s">
        <v>577</v>
      </c>
      <c r="E133" s="70" t="s">
        <v>578</v>
      </c>
      <c r="F133" s="59" t="s">
        <v>98</v>
      </c>
      <c r="G133" s="38"/>
      <c r="H133" s="38"/>
      <c r="I133" s="57"/>
      <c r="J133" s="57"/>
      <c r="K133" s="68">
        <v>267</v>
      </c>
      <c r="L133" s="68"/>
      <c r="M133" s="252"/>
      <c r="N133" s="252"/>
      <c r="O133" s="252"/>
      <c r="P133" s="252"/>
      <c r="Q133" s="252"/>
      <c r="R133" s="252"/>
      <c r="S133" s="23">
        <f t="shared" si="28"/>
        <v>267</v>
      </c>
      <c r="T133" s="26" t="s">
        <v>612</v>
      </c>
      <c r="U133" s="26">
        <f t="shared" si="31"/>
        <v>15</v>
      </c>
      <c r="V133" s="97" t="str">
        <f t="shared" si="29"/>
        <v>VEDTATT</v>
      </c>
      <c r="W133" s="97">
        <f t="shared" si="30"/>
        <v>0</v>
      </c>
      <c r="X133" s="99"/>
      <c r="Y133" s="26"/>
    </row>
    <row r="134" spans="1:28" s="36" customFormat="1" ht="18.75" customHeight="1" x14ac:dyDescent="0.25">
      <c r="A134" s="66" t="s">
        <v>610</v>
      </c>
      <c r="B134" s="43" t="str">
        <f t="shared" si="25"/>
        <v>L16</v>
      </c>
      <c r="C134" s="224" t="s">
        <v>618</v>
      </c>
      <c r="D134" s="77" t="s">
        <v>580</v>
      </c>
      <c r="E134" s="70" t="s">
        <v>578</v>
      </c>
      <c r="F134" s="59" t="s">
        <v>98</v>
      </c>
      <c r="G134" s="38"/>
      <c r="H134" s="38"/>
      <c r="I134" s="57"/>
      <c r="J134" s="57"/>
      <c r="K134" s="68">
        <v>26</v>
      </c>
      <c r="L134" s="68"/>
      <c r="M134" s="252"/>
      <c r="N134" s="252"/>
      <c r="O134" s="252"/>
      <c r="P134" s="252"/>
      <c r="Q134" s="252"/>
      <c r="R134" s="252"/>
      <c r="S134" s="23" t="str">
        <f t="shared" si="28"/>
        <v>0</v>
      </c>
      <c r="T134" s="26" t="s">
        <v>612</v>
      </c>
      <c r="U134" s="26">
        <f t="shared" si="31"/>
        <v>16</v>
      </c>
      <c r="V134" s="97" t="str">
        <f t="shared" si="29"/>
        <v>VEDTATT</v>
      </c>
      <c r="W134" s="97">
        <f t="shared" si="30"/>
        <v>0</v>
      </c>
      <c r="X134" s="99"/>
      <c r="Y134" s="26"/>
    </row>
    <row r="135" spans="1:28" s="36" customFormat="1" x14ac:dyDescent="0.25">
      <c r="A135" s="66" t="s">
        <v>610</v>
      </c>
      <c r="B135" s="43" t="str">
        <f t="shared" si="25"/>
        <v>L17</v>
      </c>
      <c r="C135" s="224" t="s">
        <v>618</v>
      </c>
      <c r="D135" s="77" t="s">
        <v>581</v>
      </c>
      <c r="E135" s="70" t="s">
        <v>578</v>
      </c>
      <c r="F135" s="59" t="s">
        <v>98</v>
      </c>
      <c r="G135" s="38"/>
      <c r="H135" s="38"/>
      <c r="I135" s="57"/>
      <c r="J135" s="57"/>
      <c r="K135" s="68"/>
      <c r="L135" s="68"/>
      <c r="M135" s="252"/>
      <c r="N135" s="252"/>
      <c r="O135" s="252"/>
      <c r="P135" s="252"/>
      <c r="Q135" s="252"/>
      <c r="R135" s="252"/>
      <c r="S135" s="23" t="str">
        <f t="shared" si="28"/>
        <v>0</v>
      </c>
      <c r="T135" s="26" t="s">
        <v>612</v>
      </c>
      <c r="U135" s="26">
        <f t="shared" si="31"/>
        <v>17</v>
      </c>
      <c r="V135" s="97" t="str">
        <f t="shared" si="29"/>
        <v>VEDTATT</v>
      </c>
      <c r="W135" s="97">
        <f t="shared" si="30"/>
        <v>0</v>
      </c>
      <c r="X135" s="99"/>
      <c r="Y135" s="26"/>
    </row>
    <row r="136" spans="1:28" s="36" customFormat="1" ht="29.45" customHeight="1" x14ac:dyDescent="0.25">
      <c r="A136" s="66" t="s">
        <v>610</v>
      </c>
      <c r="B136" s="43" t="str">
        <f t="shared" si="25"/>
        <v>L18</v>
      </c>
      <c r="C136" s="52" t="s">
        <v>619</v>
      </c>
      <c r="D136" s="77" t="s">
        <v>577</v>
      </c>
      <c r="E136" s="70" t="s">
        <v>578</v>
      </c>
      <c r="F136" s="59" t="s">
        <v>98</v>
      </c>
      <c r="G136" s="38"/>
      <c r="H136" s="38"/>
      <c r="I136" s="57"/>
      <c r="J136" s="57"/>
      <c r="K136" s="68"/>
      <c r="L136" s="68"/>
      <c r="M136" s="252"/>
      <c r="N136" s="252"/>
      <c r="O136" s="252"/>
      <c r="P136" s="252"/>
      <c r="Q136" s="252"/>
      <c r="R136" s="252"/>
      <c r="S136" s="23">
        <f t="shared" si="28"/>
        <v>0</v>
      </c>
      <c r="T136" s="26" t="s">
        <v>612</v>
      </c>
      <c r="U136" s="26">
        <f t="shared" si="31"/>
        <v>18</v>
      </c>
      <c r="V136" s="97" t="str">
        <f t="shared" si="29"/>
        <v>VEDTATT</v>
      </c>
      <c r="W136" s="97">
        <f t="shared" si="30"/>
        <v>0</v>
      </c>
      <c r="X136" s="99"/>
      <c r="Y136" s="26"/>
    </row>
    <row r="137" spans="1:28" s="36" customFormat="1" x14ac:dyDescent="0.25">
      <c r="A137" s="66" t="s">
        <v>610</v>
      </c>
      <c r="B137" s="43" t="str">
        <f t="shared" si="25"/>
        <v>L19</v>
      </c>
      <c r="C137" s="205" t="s">
        <v>620</v>
      </c>
      <c r="D137" s="77" t="s">
        <v>577</v>
      </c>
      <c r="E137" s="70" t="s">
        <v>578</v>
      </c>
      <c r="F137" s="59" t="s">
        <v>98</v>
      </c>
      <c r="G137" s="38"/>
      <c r="H137" s="38"/>
      <c r="I137" s="57"/>
      <c r="J137" s="57"/>
      <c r="K137" s="68"/>
      <c r="L137" s="68">
        <v>248</v>
      </c>
      <c r="M137" s="252"/>
      <c r="N137" s="252"/>
      <c r="O137" s="252"/>
      <c r="P137" s="252"/>
      <c r="Q137" s="252"/>
      <c r="R137" s="252"/>
      <c r="S137" s="23"/>
      <c r="T137" s="26" t="s">
        <v>612</v>
      </c>
      <c r="U137" s="26">
        <f t="shared" si="31"/>
        <v>19</v>
      </c>
      <c r="V137" s="97"/>
      <c r="W137" s="97"/>
      <c r="X137" s="99"/>
      <c r="Y137" s="26"/>
    </row>
    <row r="138" spans="1:28" s="36" customFormat="1" x14ac:dyDescent="0.25">
      <c r="A138" s="66" t="s">
        <v>610</v>
      </c>
      <c r="B138" s="43" t="str">
        <f t="shared" si="25"/>
        <v>L20</v>
      </c>
      <c r="C138" s="52" t="s">
        <v>621</v>
      </c>
      <c r="D138" s="77" t="s">
        <v>577</v>
      </c>
      <c r="E138" s="70" t="s">
        <v>578</v>
      </c>
      <c r="F138" s="59" t="s">
        <v>98</v>
      </c>
      <c r="G138" s="38"/>
      <c r="H138" s="38"/>
      <c r="I138" s="57"/>
      <c r="J138" s="57"/>
      <c r="K138" s="68"/>
      <c r="L138" s="189">
        <v>344</v>
      </c>
      <c r="M138" s="252"/>
      <c r="N138" s="252"/>
      <c r="O138" s="252"/>
      <c r="P138" s="252"/>
      <c r="Q138" s="252"/>
      <c r="R138" s="252"/>
      <c r="S138" s="23">
        <f>IF(D138="INTERNHUSLEIE",K138,"0")</f>
        <v>0</v>
      </c>
      <c r="T138" s="26" t="s">
        <v>612</v>
      </c>
      <c r="U138" s="26">
        <f t="shared" si="31"/>
        <v>20</v>
      </c>
      <c r="V138" s="97"/>
      <c r="W138" s="97"/>
      <c r="X138" s="99"/>
      <c r="Y138" s="26"/>
    </row>
    <row r="139" spans="1:28" s="36" customFormat="1" x14ac:dyDescent="0.25">
      <c r="A139" s="66" t="s">
        <v>610</v>
      </c>
      <c r="B139" s="43" t="str">
        <f t="shared" si="25"/>
        <v>L21</v>
      </c>
      <c r="C139" s="52" t="s">
        <v>622</v>
      </c>
      <c r="D139" s="77" t="s">
        <v>577</v>
      </c>
      <c r="E139" s="70" t="s">
        <v>578</v>
      </c>
      <c r="F139" s="59" t="s">
        <v>98</v>
      </c>
      <c r="G139" s="38"/>
      <c r="H139" s="38"/>
      <c r="I139" s="57"/>
      <c r="J139" s="57"/>
      <c r="K139" s="68"/>
      <c r="L139" s="189"/>
      <c r="M139" s="252"/>
      <c r="P139" s="252">
        <v>779</v>
      </c>
      <c r="Q139" s="252"/>
      <c r="R139" s="252"/>
      <c r="S139" s="177"/>
      <c r="T139" s="26" t="s">
        <v>612</v>
      </c>
      <c r="U139" s="26">
        <f t="shared" si="31"/>
        <v>21</v>
      </c>
      <c r="V139" s="97" t="str">
        <f>IF(F139="VEDTATT","VEDTATT",0)</f>
        <v>VEDTATT</v>
      </c>
      <c r="W139" s="97">
        <f>IF(F139="MÅ","Nye tiltak",0)</f>
        <v>0</v>
      </c>
      <c r="X139" s="99"/>
      <c r="Y139" s="26"/>
    </row>
    <row r="140" spans="1:28" s="36" customFormat="1" x14ac:dyDescent="0.25">
      <c r="A140" s="66" t="s">
        <v>610</v>
      </c>
      <c r="B140" s="43" t="str">
        <f t="shared" si="25"/>
        <v>L22</v>
      </c>
      <c r="C140" s="52" t="s">
        <v>622</v>
      </c>
      <c r="D140" s="77" t="s">
        <v>581</v>
      </c>
      <c r="E140" s="70" t="s">
        <v>578</v>
      </c>
      <c r="F140" s="59" t="s">
        <v>98</v>
      </c>
      <c r="G140" s="38"/>
      <c r="H140" s="38"/>
      <c r="I140" s="57"/>
      <c r="J140" s="57"/>
      <c r="K140" s="68"/>
      <c r="L140" s="189"/>
      <c r="M140" s="252"/>
      <c r="P140" s="252">
        <v>15</v>
      </c>
      <c r="Q140" s="252"/>
      <c r="R140" s="252"/>
      <c r="S140" s="177"/>
      <c r="T140" s="26" t="s">
        <v>612</v>
      </c>
      <c r="U140" s="26">
        <f t="shared" si="31"/>
        <v>22</v>
      </c>
      <c r="V140" s="97" t="str">
        <f>IF(F140="VEDTATT","VEDTATT",0)</f>
        <v>VEDTATT</v>
      </c>
      <c r="W140" s="97">
        <f>IF(F140="MÅ","Nye tiltak",0)</f>
        <v>0</v>
      </c>
      <c r="X140" s="99"/>
      <c r="Y140" s="26"/>
    </row>
    <row r="141" spans="1:28" s="452" customFormat="1" ht="18.75" customHeight="1" x14ac:dyDescent="0.25">
      <c r="A141" s="462" t="s">
        <v>610</v>
      </c>
      <c r="B141" s="441" t="str">
        <f t="shared" si="25"/>
        <v>L23</v>
      </c>
      <c r="C141" s="447" t="s">
        <v>623</v>
      </c>
      <c r="D141" s="443" t="s">
        <v>577</v>
      </c>
      <c r="E141" s="444" t="s">
        <v>108</v>
      </c>
      <c r="F141" s="458"/>
      <c r="G141" s="459"/>
      <c r="H141" s="459"/>
      <c r="I141" s="447"/>
      <c r="J141" s="447"/>
      <c r="K141" s="447"/>
      <c r="L141" s="473"/>
      <c r="M141" s="474"/>
      <c r="N141" s="474"/>
      <c r="O141" s="474"/>
      <c r="P141" s="474"/>
      <c r="Q141" s="474"/>
      <c r="R141" s="474"/>
      <c r="S141" s="445">
        <f>IF(D141="INTERNHUSLEIE",K141,"0")</f>
        <v>0</v>
      </c>
      <c r="T141" s="452" t="s">
        <v>612</v>
      </c>
      <c r="U141" s="452">
        <f t="shared" si="31"/>
        <v>23</v>
      </c>
      <c r="V141" s="453">
        <f>IF(F141="VEDTATT","VEDTATT",0)</f>
        <v>0</v>
      </c>
      <c r="W141" s="453">
        <f>IF(F141="MÅ","Nye tiltak",0)</f>
        <v>0</v>
      </c>
      <c r="X141" s="461"/>
      <c r="Y141" s="475" t="s">
        <v>624</v>
      </c>
      <c r="Z141" s="452">
        <v>2370</v>
      </c>
      <c r="AA141" s="452">
        <v>4740</v>
      </c>
      <c r="AB141" s="452" t="s">
        <v>625</v>
      </c>
    </row>
    <row r="142" spans="1:28" s="36" customFormat="1" ht="18.75" customHeight="1" x14ac:dyDescent="0.25">
      <c r="A142" s="66" t="s">
        <v>610</v>
      </c>
      <c r="B142" s="43" t="str">
        <f t="shared" si="25"/>
        <v>L24</v>
      </c>
      <c r="C142" s="68" t="s">
        <v>623</v>
      </c>
      <c r="D142" s="77" t="s">
        <v>581</v>
      </c>
      <c r="E142" s="39" t="s">
        <v>108</v>
      </c>
      <c r="F142" s="59"/>
      <c r="G142" s="38"/>
      <c r="H142" s="38"/>
      <c r="I142" s="57"/>
      <c r="J142" s="57"/>
      <c r="K142" s="68"/>
      <c r="L142" s="189"/>
      <c r="M142" s="279"/>
      <c r="N142" s="279"/>
      <c r="O142" s="279"/>
      <c r="P142" s="279"/>
      <c r="Q142" s="279"/>
      <c r="R142" s="279"/>
      <c r="S142" s="23" t="str">
        <f>IF(D142="INTERNHUSLEIE",K142,"0")</f>
        <v>0</v>
      </c>
      <c r="T142" s="26" t="s">
        <v>612</v>
      </c>
      <c r="U142" s="26">
        <f t="shared" si="31"/>
        <v>24</v>
      </c>
      <c r="V142" s="97">
        <f>IF(F142="VEDTATT","VEDTATT",0)</f>
        <v>0</v>
      </c>
      <c r="W142" s="97">
        <f>IF(F142="MÅ","Nye tiltak",0)</f>
        <v>0</v>
      </c>
      <c r="X142" s="99"/>
      <c r="Y142" s="166" t="s">
        <v>626</v>
      </c>
      <c r="Z142" s="168">
        <v>297</v>
      </c>
      <c r="AA142" s="168">
        <v>593</v>
      </c>
    </row>
    <row r="143" spans="1:28" s="36" customFormat="1" ht="18.75" customHeight="1" x14ac:dyDescent="0.25">
      <c r="A143" s="66" t="s">
        <v>610</v>
      </c>
      <c r="B143" s="43" t="str">
        <f t="shared" si="25"/>
        <v>L25</v>
      </c>
      <c r="C143" s="215" t="s">
        <v>627</v>
      </c>
      <c r="D143" s="77" t="s">
        <v>577</v>
      </c>
      <c r="E143" s="39" t="s">
        <v>108</v>
      </c>
      <c r="F143" s="59"/>
      <c r="G143" s="38"/>
      <c r="H143" s="38"/>
      <c r="I143" s="57"/>
      <c r="J143" s="57"/>
      <c r="K143" s="68"/>
      <c r="L143" s="189"/>
      <c r="M143" s="189"/>
      <c r="N143" s="189"/>
      <c r="O143" s="189"/>
      <c r="P143" s="189"/>
      <c r="Q143" s="189"/>
      <c r="R143" s="189"/>
      <c r="S143" s="23"/>
      <c r="T143" s="26" t="s">
        <v>612</v>
      </c>
      <c r="U143" s="26">
        <f t="shared" si="31"/>
        <v>25</v>
      </c>
      <c r="V143" s="97"/>
      <c r="W143" s="97"/>
      <c r="X143" s="99"/>
      <c r="Y143" s="166"/>
      <c r="Z143" s="168"/>
      <c r="AA143" s="168"/>
    </row>
    <row r="144" spans="1:28" s="36" customFormat="1" ht="18.75" customHeight="1" x14ac:dyDescent="0.25">
      <c r="A144" s="66" t="s">
        <v>610</v>
      </c>
      <c r="B144" s="43" t="str">
        <f t="shared" si="25"/>
        <v>L26</v>
      </c>
      <c r="C144" s="204"/>
      <c r="D144" s="77" t="s">
        <v>577</v>
      </c>
      <c r="E144" s="39" t="s">
        <v>108</v>
      </c>
      <c r="F144" s="59"/>
      <c r="G144" s="38"/>
      <c r="H144" s="38"/>
      <c r="I144" s="57"/>
      <c r="J144" s="57"/>
      <c r="K144" s="68"/>
      <c r="L144" s="189"/>
      <c r="M144" s="68"/>
      <c r="N144" s="68"/>
      <c r="O144" s="68"/>
      <c r="P144" s="68"/>
      <c r="Q144" s="68"/>
      <c r="R144" s="68"/>
      <c r="S144" s="23">
        <f>IF(D144="INTERNHUSLEIE",K144,"0")</f>
        <v>0</v>
      </c>
      <c r="T144" s="26" t="s">
        <v>612</v>
      </c>
      <c r="U144" s="26">
        <f t="shared" si="31"/>
        <v>26</v>
      </c>
      <c r="V144" s="97">
        <f>IF(F144="VEDTATT","VEDTATT",0)</f>
        <v>0</v>
      </c>
      <c r="W144" s="97">
        <f>IF(F144="MÅ","Nye tiltak",0)</f>
        <v>0</v>
      </c>
      <c r="X144" s="99"/>
      <c r="Y144" s="26"/>
      <c r="Z144" s="168">
        <f>SUM(Z141:Z142)</f>
        <v>2667</v>
      </c>
      <c r="AA144" s="168">
        <f>SUM(AA141:AA142)</f>
        <v>5333</v>
      </c>
    </row>
    <row r="145" spans="1:28" s="36" customFormat="1" ht="18.75" customHeight="1" x14ac:dyDescent="0.25">
      <c r="A145" s="66" t="s">
        <v>610</v>
      </c>
      <c r="B145" s="43" t="str">
        <f t="shared" si="25"/>
        <v>L27</v>
      </c>
      <c r="C145" s="52"/>
      <c r="D145" s="77" t="s">
        <v>581</v>
      </c>
      <c r="E145" s="39" t="s">
        <v>108</v>
      </c>
      <c r="F145" s="59"/>
      <c r="G145" s="38"/>
      <c r="H145" s="38"/>
      <c r="I145" s="57"/>
      <c r="J145" s="57"/>
      <c r="K145" s="68"/>
      <c r="L145" s="189"/>
      <c r="M145" s="68"/>
      <c r="N145" s="68"/>
      <c r="O145" s="68"/>
      <c r="P145" s="68"/>
      <c r="Q145" s="68"/>
      <c r="R145" s="68"/>
      <c r="S145" s="23" t="str">
        <f>IF(D145="INTERNHUSLEIE",K145,"0")</f>
        <v>0</v>
      </c>
      <c r="T145" s="26" t="s">
        <v>612</v>
      </c>
      <c r="U145" s="26">
        <f t="shared" si="31"/>
        <v>27</v>
      </c>
      <c r="V145" s="97">
        <f>IF(F145="VEDTATT","VEDTATT",0)</f>
        <v>0</v>
      </c>
      <c r="W145" s="97">
        <f>IF(F145="MÅ","Nye tiltak",0)</f>
        <v>0</v>
      </c>
      <c r="X145" s="99"/>
      <c r="Y145" s="26"/>
      <c r="Z145" s="167">
        <v>890</v>
      </c>
      <c r="AA145" s="167">
        <v>1780</v>
      </c>
      <c r="AB145" s="36" t="s">
        <v>628</v>
      </c>
    </row>
    <row r="146" spans="1:28" s="36" customFormat="1" ht="18.75" customHeight="1" x14ac:dyDescent="0.25">
      <c r="A146" s="159"/>
      <c r="B146" s="159" t="str">
        <f t="shared" si="25"/>
        <v/>
      </c>
      <c r="C146" s="160" t="s">
        <v>541</v>
      </c>
      <c r="D146" s="160"/>
      <c r="E146" s="160"/>
      <c r="F146" s="163" t="s">
        <v>98</v>
      </c>
      <c r="G146" s="160"/>
      <c r="H146" s="160"/>
      <c r="I146" s="160"/>
      <c r="J146" s="160"/>
      <c r="K146" s="161">
        <f>SUMIF(F$126:$F145,$F$146,K126:K145)</f>
        <v>1362</v>
      </c>
      <c r="L146" s="161">
        <f ca="1">SUMIF($F$126:G145,$F$146,L126:L145)</f>
        <v>592</v>
      </c>
      <c r="M146" s="161">
        <f ca="1">SUMIF($F$126:H145,$F$146,M126:M145)</f>
        <v>0</v>
      </c>
      <c r="N146" s="161">
        <f ca="1">SUMIF($F$126:I145,$F$146,N126:N145)</f>
        <v>1257</v>
      </c>
      <c r="O146" s="161">
        <f ca="1">SUMIF($F$126:J145,$F$146,O126:O145)</f>
        <v>4733</v>
      </c>
      <c r="P146" s="161">
        <f ca="1">SUMIF($F$126:K145,$F$146,P126:P145)</f>
        <v>7744</v>
      </c>
      <c r="Q146" s="161"/>
      <c r="R146" s="161"/>
      <c r="S146" s="23"/>
      <c r="T146" s="26"/>
      <c r="U146" s="26"/>
      <c r="V146" s="97"/>
      <c r="W146" s="97"/>
      <c r="X146" s="99"/>
      <c r="Y146" s="26"/>
      <c r="Z146" s="167">
        <v>552</v>
      </c>
      <c r="AA146" s="167">
        <v>1105</v>
      </c>
    </row>
    <row r="147" spans="1:28" s="36" customFormat="1" ht="18.75" customHeight="1" x14ac:dyDescent="0.25">
      <c r="A147" s="165"/>
      <c r="B147" s="159"/>
      <c r="C147" s="160" t="s">
        <v>541</v>
      </c>
      <c r="D147" s="160"/>
      <c r="E147" s="164" t="s">
        <v>108</v>
      </c>
      <c r="F147" s="162"/>
      <c r="G147" s="162"/>
      <c r="H147" s="162"/>
      <c r="I147" s="162"/>
      <c r="J147" s="162"/>
      <c r="K147" s="161">
        <f t="shared" ref="K147:P147" si="32">SUMIF($E$126:$E$145,$E$147,K126:K145)</f>
        <v>0</v>
      </c>
      <c r="L147" s="161">
        <f t="shared" si="32"/>
        <v>0</v>
      </c>
      <c r="M147" s="161">
        <f t="shared" si="32"/>
        <v>0</v>
      </c>
      <c r="N147" s="161">
        <f t="shared" si="32"/>
        <v>0</v>
      </c>
      <c r="O147" s="161">
        <f>SUMIF($E$126:$E$145,$E$147,O126:O145)</f>
        <v>0</v>
      </c>
      <c r="P147" s="161">
        <f t="shared" si="32"/>
        <v>0</v>
      </c>
      <c r="Q147" s="161"/>
      <c r="R147" s="161"/>
      <c r="S147" s="23"/>
      <c r="T147" s="26"/>
      <c r="U147" s="26"/>
      <c r="V147" s="97"/>
      <c r="W147" s="97"/>
      <c r="X147" s="99"/>
      <c r="Y147" s="26"/>
      <c r="Z147" s="167">
        <v>297</v>
      </c>
      <c r="AA147" s="167">
        <v>593</v>
      </c>
    </row>
    <row r="148" spans="1:28" s="36" customFormat="1" ht="18.75" customHeight="1" x14ac:dyDescent="0.25">
      <c r="A148" s="78"/>
      <c r="B148" s="76"/>
      <c r="C148" s="80" t="s">
        <v>173</v>
      </c>
      <c r="D148" s="77"/>
      <c r="E148" s="70"/>
      <c r="F148" s="69"/>
      <c r="G148" s="38"/>
      <c r="H148" s="38"/>
      <c r="I148" s="57">
        <v>-4791</v>
      </c>
      <c r="J148" s="57">
        <v>0</v>
      </c>
      <c r="K148" s="68"/>
      <c r="L148" s="68"/>
      <c r="M148" s="68"/>
      <c r="N148" s="68"/>
      <c r="O148" s="68"/>
      <c r="P148" s="68"/>
      <c r="Q148" s="68"/>
      <c r="R148" s="68"/>
      <c r="S148" s="23" t="str">
        <f>IF(D148="INTERNHUSLEIE",K148,"0")</f>
        <v>0</v>
      </c>
      <c r="T148" s="26"/>
      <c r="U148" s="26"/>
      <c r="V148" s="97">
        <f>IF(F148="VEDTATT","VEDTATT",0)</f>
        <v>0</v>
      </c>
      <c r="W148" s="97">
        <f>IF(F148="MÅ","Nye tiltak",0)</f>
        <v>0</v>
      </c>
      <c r="X148" s="99"/>
      <c r="Y148" s="26"/>
      <c r="Z148" s="167">
        <f>SUM(Z145:Z147)</f>
        <v>1739</v>
      </c>
      <c r="AA148" s="167">
        <f>SUM(AA145:AA147)</f>
        <v>3478</v>
      </c>
    </row>
    <row r="149" spans="1:28" s="36" customFormat="1" x14ac:dyDescent="0.25">
      <c r="A149" s="78" t="s">
        <v>610</v>
      </c>
      <c r="B149" s="78" t="str">
        <f>IF(U149,T149&amp;U149,"")</f>
        <v>L28</v>
      </c>
      <c r="C149" s="68" t="s">
        <v>629</v>
      </c>
      <c r="D149" s="77" t="s">
        <v>577</v>
      </c>
      <c r="E149" s="70" t="s">
        <v>578</v>
      </c>
      <c r="F149" s="59" t="s">
        <v>98</v>
      </c>
      <c r="G149" s="38"/>
      <c r="H149" s="38"/>
      <c r="I149" s="57"/>
      <c r="J149" s="57"/>
      <c r="K149" s="68">
        <v>2072</v>
      </c>
      <c r="L149" s="68">
        <v>1036</v>
      </c>
      <c r="M149" s="68"/>
      <c r="N149" s="68"/>
      <c r="O149" s="68"/>
      <c r="P149" s="68"/>
      <c r="Q149" s="68"/>
      <c r="R149" s="68"/>
      <c r="S149" s="23">
        <f>IF(D149="INTERNHUSLEIE",K149,"0")</f>
        <v>2072</v>
      </c>
      <c r="T149" s="26" t="s">
        <v>612</v>
      </c>
      <c r="U149" s="26">
        <f>U145+1</f>
        <v>28</v>
      </c>
      <c r="V149" s="97" t="str">
        <f>IF(F149="VEDTATT","VEDTATT",0)</f>
        <v>VEDTATT</v>
      </c>
      <c r="W149" s="97">
        <f>IF(F149="MÅ","Nye tiltak",0)</f>
        <v>0</v>
      </c>
      <c r="X149" s="99"/>
      <c r="Y149" s="26"/>
    </row>
    <row r="150" spans="1:28" s="36" customFormat="1" ht="18.75" customHeight="1" x14ac:dyDescent="0.25">
      <c r="A150" s="76" t="s">
        <v>610</v>
      </c>
      <c r="B150" s="78" t="str">
        <f t="shared" ref="B150:B159" si="33">IF(U150,T150&amp;U150,"")</f>
        <v>L29</v>
      </c>
      <c r="C150" s="68" t="s">
        <v>630</v>
      </c>
      <c r="D150" s="77" t="s">
        <v>581</v>
      </c>
      <c r="E150" s="70" t="s">
        <v>578</v>
      </c>
      <c r="F150" s="59" t="s">
        <v>98</v>
      </c>
      <c r="G150" s="38"/>
      <c r="H150" s="38"/>
      <c r="I150" s="57"/>
      <c r="J150" s="57"/>
      <c r="K150" s="68">
        <v>362</v>
      </c>
      <c r="L150" s="68">
        <v>181</v>
      </c>
      <c r="M150" s="68"/>
      <c r="N150" s="68"/>
      <c r="O150" s="68"/>
      <c r="P150" s="68"/>
      <c r="Q150" s="68"/>
      <c r="R150" s="68"/>
      <c r="S150" s="23" t="str">
        <f>IF(D150="INTERNHUSLEIE",K150,"0")</f>
        <v>0</v>
      </c>
      <c r="T150" s="26" t="s">
        <v>612</v>
      </c>
      <c r="U150" s="26">
        <f t="shared" si="31"/>
        <v>29</v>
      </c>
      <c r="V150" s="97" t="str">
        <f>IF(F150="VEDTATT","VEDTATT",0)</f>
        <v>VEDTATT</v>
      </c>
      <c r="W150" s="97">
        <f>IF(F150="MÅ","Nye tiltak",0)</f>
        <v>0</v>
      </c>
      <c r="X150" s="99"/>
      <c r="Y150" s="26"/>
      <c r="Z150" s="36">
        <f>Z144-Z148</f>
        <v>928</v>
      </c>
      <c r="AA150" s="36">
        <f>AA144-AA148</f>
        <v>1855</v>
      </c>
    </row>
    <row r="151" spans="1:28" s="36" customFormat="1" ht="18.75" customHeight="1" x14ac:dyDescent="0.25">
      <c r="A151" s="43" t="s">
        <v>610</v>
      </c>
      <c r="B151" s="78" t="str">
        <f t="shared" si="33"/>
        <v>L30</v>
      </c>
      <c r="C151" s="68" t="s">
        <v>631</v>
      </c>
      <c r="D151" s="77" t="s">
        <v>577</v>
      </c>
      <c r="E151" s="70" t="s">
        <v>578</v>
      </c>
      <c r="F151" s="59" t="s">
        <v>98</v>
      </c>
      <c r="G151" s="38"/>
      <c r="H151" s="38"/>
      <c r="I151" s="57"/>
      <c r="J151" s="57"/>
      <c r="K151" s="68"/>
      <c r="L151" s="68"/>
      <c r="M151" s="68"/>
      <c r="N151" s="68">
        <v>1430</v>
      </c>
      <c r="O151" s="68">
        <v>1430</v>
      </c>
      <c r="P151" s="68">
        <v>1430</v>
      </c>
      <c r="Q151" s="68"/>
      <c r="R151" s="68"/>
      <c r="S151" s="23">
        <f>IF(D151="INTERNHUSLEIE",K151,"0")</f>
        <v>0</v>
      </c>
      <c r="T151" s="26" t="s">
        <v>612</v>
      </c>
      <c r="U151" s="26">
        <f t="shared" si="31"/>
        <v>30</v>
      </c>
      <c r="V151" s="97" t="str">
        <f>IF(F151="VEDTATT","VEDTATT",0)</f>
        <v>VEDTATT</v>
      </c>
      <c r="W151" s="97">
        <f>IF(F151="MÅ","Nye tiltak",0)</f>
        <v>0</v>
      </c>
      <c r="X151" s="99"/>
      <c r="Y151" s="26" t="s">
        <v>632</v>
      </c>
    </row>
    <row r="152" spans="1:28" s="36" customFormat="1" ht="18.75" customHeight="1" x14ac:dyDescent="0.25">
      <c r="A152" s="43" t="s">
        <v>610</v>
      </c>
      <c r="B152" s="78" t="str">
        <f t="shared" si="33"/>
        <v>L31</v>
      </c>
      <c r="C152" s="68" t="s">
        <v>631</v>
      </c>
      <c r="D152" s="77" t="s">
        <v>581</v>
      </c>
      <c r="E152" s="70" t="s">
        <v>578</v>
      </c>
      <c r="F152" s="59" t="s">
        <v>98</v>
      </c>
      <c r="G152" s="38"/>
      <c r="H152" s="38"/>
      <c r="I152" s="57"/>
      <c r="J152" s="57"/>
      <c r="K152" s="68"/>
      <c r="L152" s="68"/>
      <c r="M152" s="68"/>
      <c r="N152" s="68">
        <v>304</v>
      </c>
      <c r="O152" s="68">
        <v>304</v>
      </c>
      <c r="P152" s="68">
        <v>304</v>
      </c>
      <c r="Q152" s="68"/>
      <c r="R152" s="68"/>
      <c r="S152" s="23" t="str">
        <f>IF(D152="INTERNHUSLEIE",K152,"0")</f>
        <v>0</v>
      </c>
      <c r="T152" s="26" t="s">
        <v>612</v>
      </c>
      <c r="U152" s="26">
        <f t="shared" si="31"/>
        <v>31</v>
      </c>
      <c r="V152" s="97" t="str">
        <f>IF(F152="VEDTATT","VEDTATT",0)</f>
        <v>VEDTATT</v>
      </c>
      <c r="W152" s="97">
        <f>IF(F152="MÅ","Nye tiltak",0)</f>
        <v>0</v>
      </c>
      <c r="X152" s="99"/>
      <c r="Y152" s="26" t="s">
        <v>632</v>
      </c>
    </row>
    <row r="153" spans="1:28" s="36" customFormat="1" ht="18.75" customHeight="1" x14ac:dyDescent="0.25">
      <c r="A153" s="43" t="s">
        <v>610</v>
      </c>
      <c r="B153" s="78" t="str">
        <f t="shared" si="33"/>
        <v>L32</v>
      </c>
      <c r="C153" s="36" t="s">
        <v>633</v>
      </c>
      <c r="D153" s="77" t="s">
        <v>577</v>
      </c>
      <c r="E153" s="70" t="s">
        <v>634</v>
      </c>
      <c r="F153" s="59"/>
      <c r="G153" s="38"/>
      <c r="H153" s="38"/>
      <c r="I153" s="57"/>
      <c r="J153" s="57"/>
      <c r="K153" s="68"/>
      <c r="L153" s="68"/>
      <c r="M153" s="68"/>
      <c r="N153" s="68"/>
      <c r="O153" s="68"/>
      <c r="P153" s="68">
        <v>1578</v>
      </c>
      <c r="Q153" s="68"/>
      <c r="R153" s="68"/>
      <c r="S153" s="23"/>
      <c r="T153" s="26" t="s">
        <v>612</v>
      </c>
      <c r="U153" s="26">
        <f t="shared" si="31"/>
        <v>32</v>
      </c>
      <c r="V153" s="97"/>
      <c r="W153" s="97"/>
      <c r="X153" s="99"/>
      <c r="Y153" s="26"/>
    </row>
    <row r="154" spans="1:28" s="36" customFormat="1" ht="18.75" customHeight="1" x14ac:dyDescent="0.25">
      <c r="A154" s="43" t="s">
        <v>610</v>
      </c>
      <c r="B154" s="78" t="str">
        <f t="shared" si="33"/>
        <v>L33</v>
      </c>
      <c r="C154" s="36" t="s">
        <v>633</v>
      </c>
      <c r="D154" s="77" t="s">
        <v>581</v>
      </c>
      <c r="E154" s="70" t="s">
        <v>635</v>
      </c>
      <c r="F154" s="59"/>
      <c r="G154" s="38"/>
      <c r="H154" s="38"/>
      <c r="I154" s="57"/>
      <c r="J154" s="57"/>
      <c r="K154" s="68"/>
      <c r="P154" s="36">
        <v>120</v>
      </c>
      <c r="S154" s="23"/>
      <c r="T154" s="26" t="s">
        <v>612</v>
      </c>
      <c r="U154" s="26">
        <f t="shared" si="31"/>
        <v>33</v>
      </c>
      <c r="V154" s="97"/>
      <c r="W154" s="97"/>
      <c r="X154" s="99"/>
      <c r="Y154" s="26"/>
    </row>
    <row r="155" spans="1:28" s="36" customFormat="1" ht="18.75" customHeight="1" x14ac:dyDescent="0.25">
      <c r="A155" s="43" t="s">
        <v>610</v>
      </c>
      <c r="B155" s="78" t="str">
        <f t="shared" si="33"/>
        <v>L34</v>
      </c>
      <c r="C155" s="216" t="s">
        <v>636</v>
      </c>
      <c r="D155" s="77" t="s">
        <v>577</v>
      </c>
      <c r="E155" s="39" t="s">
        <v>108</v>
      </c>
      <c r="F155" s="59"/>
      <c r="G155" s="38"/>
      <c r="H155" s="38"/>
      <c r="I155" s="57"/>
      <c r="J155" s="57"/>
      <c r="K155" s="68"/>
      <c r="L155" s="68"/>
      <c r="M155" s="68"/>
      <c r="N155" s="68"/>
      <c r="O155" s="68"/>
      <c r="P155" s="68"/>
      <c r="Q155" s="68"/>
      <c r="R155" s="68"/>
      <c r="S155" s="23"/>
      <c r="T155" s="26" t="s">
        <v>612</v>
      </c>
      <c r="U155" s="26">
        <f t="shared" si="31"/>
        <v>34</v>
      </c>
      <c r="V155" s="97"/>
      <c r="W155" s="97"/>
      <c r="X155" s="99"/>
      <c r="Y155" s="26"/>
    </row>
    <row r="156" spans="1:28" s="36" customFormat="1" ht="18.75" customHeight="1" x14ac:dyDescent="0.25">
      <c r="A156" s="43" t="s">
        <v>610</v>
      </c>
      <c r="B156" s="78" t="str">
        <f t="shared" si="33"/>
        <v>L35</v>
      </c>
      <c r="C156" s="68" t="s">
        <v>637</v>
      </c>
      <c r="D156" s="77" t="s">
        <v>577</v>
      </c>
      <c r="E156" s="70" t="s">
        <v>578</v>
      </c>
      <c r="F156" s="59" t="s">
        <v>98</v>
      </c>
      <c r="G156" s="38"/>
      <c r="H156" s="38"/>
      <c r="I156" s="57"/>
      <c r="J156" s="57"/>
      <c r="K156" s="68"/>
      <c r="L156" s="68"/>
      <c r="M156" s="68">
        <v>187</v>
      </c>
      <c r="N156" s="68">
        <v>374</v>
      </c>
      <c r="O156" s="68">
        <v>374</v>
      </c>
      <c r="P156" s="68">
        <v>374</v>
      </c>
      <c r="Q156" s="68"/>
      <c r="R156" s="68"/>
      <c r="S156" s="23">
        <f>IF(D156="INTERNHUSLEIE",K156,"0")</f>
        <v>0</v>
      </c>
      <c r="T156" s="26" t="s">
        <v>612</v>
      </c>
      <c r="U156" s="26">
        <f t="shared" si="31"/>
        <v>35</v>
      </c>
      <c r="V156" s="97" t="str">
        <f>IF(F156="VEDTATT","VEDTATT",0)</f>
        <v>VEDTATT</v>
      </c>
      <c r="W156" s="97">
        <f>IF(F156="MÅ","Nye tiltak",0)</f>
        <v>0</v>
      </c>
      <c r="X156" s="99"/>
      <c r="Y156" s="26" t="s">
        <v>632</v>
      </c>
    </row>
    <row r="157" spans="1:28" s="36" customFormat="1" ht="18.75" customHeight="1" x14ac:dyDescent="0.25">
      <c r="A157" s="43" t="s">
        <v>610</v>
      </c>
      <c r="B157" s="78" t="str">
        <f t="shared" si="33"/>
        <v>L36</v>
      </c>
      <c r="C157" s="68" t="s">
        <v>638</v>
      </c>
      <c r="D157" s="77" t="s">
        <v>581</v>
      </c>
      <c r="E157" s="39" t="s">
        <v>108</v>
      </c>
      <c r="F157" s="59"/>
      <c r="G157" s="38"/>
      <c r="H157" s="38"/>
      <c r="I157" s="57"/>
      <c r="J157" s="57"/>
      <c r="K157" s="68"/>
      <c r="L157" s="68"/>
      <c r="M157" s="68"/>
      <c r="N157" s="68"/>
      <c r="O157" s="68"/>
      <c r="P157" s="68"/>
      <c r="Q157" s="68"/>
      <c r="R157" s="68"/>
      <c r="S157" s="23" t="str">
        <f>IF(D157="INTERNHUSLEIE",K157,"0")</f>
        <v>0</v>
      </c>
      <c r="T157" s="26" t="s">
        <v>612</v>
      </c>
      <c r="U157" s="26">
        <f t="shared" si="31"/>
        <v>36</v>
      </c>
      <c r="V157" s="97">
        <f>IF(F157="VEDTATT","VEDTATT",0)</f>
        <v>0</v>
      </c>
      <c r="W157" s="97">
        <f>IF(F157="MÅ","Nye tiltak",0)</f>
        <v>0</v>
      </c>
      <c r="X157" s="99"/>
      <c r="Y157" s="26" t="s">
        <v>632</v>
      </c>
    </row>
    <row r="158" spans="1:28" s="36" customFormat="1" ht="18.75" customHeight="1" x14ac:dyDescent="0.25">
      <c r="A158" s="43" t="s">
        <v>610</v>
      </c>
      <c r="B158" s="78" t="str">
        <f t="shared" si="33"/>
        <v>L37</v>
      </c>
      <c r="C158" s="68"/>
      <c r="D158" s="77" t="s">
        <v>577</v>
      </c>
      <c r="E158" s="39" t="s">
        <v>108</v>
      </c>
      <c r="F158" s="59"/>
      <c r="G158" s="38"/>
      <c r="H158" s="38"/>
      <c r="I158" s="57"/>
      <c r="J158" s="57">
        <v>280</v>
      </c>
      <c r="K158" s="68">
        <v>280</v>
      </c>
      <c r="L158" s="68"/>
      <c r="M158" s="68"/>
      <c r="N158" s="68"/>
      <c r="O158" s="68"/>
      <c r="P158" s="68"/>
      <c r="Q158" s="68"/>
      <c r="R158" s="68"/>
      <c r="S158" s="23"/>
      <c r="T158" s="26" t="s">
        <v>612</v>
      </c>
      <c r="U158" s="26">
        <f t="shared" si="31"/>
        <v>37</v>
      </c>
      <c r="V158" s="97"/>
      <c r="W158" s="97"/>
      <c r="X158" s="99"/>
      <c r="Y158" s="26"/>
    </row>
    <row r="159" spans="1:28" s="36" customFormat="1" ht="18.75" customHeight="1" x14ac:dyDescent="0.25">
      <c r="A159" s="159"/>
      <c r="B159" s="159" t="str">
        <f t="shared" si="33"/>
        <v/>
      </c>
      <c r="C159" s="160" t="s">
        <v>543</v>
      </c>
      <c r="D159" s="160"/>
      <c r="E159" s="160"/>
      <c r="F159" s="163" t="s">
        <v>98</v>
      </c>
      <c r="G159" s="160"/>
      <c r="H159" s="160"/>
      <c r="I159" s="160"/>
      <c r="J159" s="160"/>
      <c r="K159" s="161">
        <f>SUMIF(F$149:$F157,$F$159,K149:K157)</f>
        <v>2434</v>
      </c>
      <c r="L159" s="161">
        <f ca="1">SUMIF($F$149:G157,$F$159,L149:L157)</f>
        <v>1217</v>
      </c>
      <c r="M159" s="161">
        <f ca="1">SUMIF($F$149:H157,$F$159,M149:M157)</f>
        <v>187</v>
      </c>
      <c r="N159" s="161">
        <f ca="1">SUMIF($F$149:I157,$F$159,N149:N157)</f>
        <v>2108</v>
      </c>
      <c r="O159" s="161">
        <f ca="1">SUMIF($F$149:J157,$F$159,O149:O157)</f>
        <v>2108</v>
      </c>
      <c r="P159" s="161">
        <f ca="1">SUMIF($F$149:K157,$F$159,P149:P157)</f>
        <v>2108</v>
      </c>
      <c r="Q159" s="161"/>
      <c r="R159" s="161"/>
      <c r="S159" s="23"/>
      <c r="T159" s="26"/>
      <c r="U159" s="26"/>
      <c r="V159" s="97"/>
      <c r="W159" s="97"/>
      <c r="X159" s="99"/>
      <c r="Y159" s="26"/>
    </row>
    <row r="160" spans="1:28" s="36" customFormat="1" ht="18.75" customHeight="1" x14ac:dyDescent="0.25">
      <c r="A160" s="159"/>
      <c r="B160" s="159"/>
      <c r="C160" s="160" t="s">
        <v>543</v>
      </c>
      <c r="D160" s="160"/>
      <c r="E160" s="164" t="s">
        <v>108</v>
      </c>
      <c r="F160" s="162"/>
      <c r="G160" s="162"/>
      <c r="H160" s="162"/>
      <c r="I160" s="162"/>
      <c r="J160" s="162"/>
      <c r="K160" s="161">
        <f t="shared" ref="K160:P160" si="34">SUMIF($E$149:$E$158,$E$160,K149:K158)</f>
        <v>280</v>
      </c>
      <c r="L160" s="161">
        <f t="shared" si="34"/>
        <v>0</v>
      </c>
      <c r="M160" s="161">
        <f t="shared" si="34"/>
        <v>0</v>
      </c>
      <c r="N160" s="161">
        <f t="shared" si="34"/>
        <v>0</v>
      </c>
      <c r="O160" s="161">
        <f t="shared" si="34"/>
        <v>0</v>
      </c>
      <c r="P160" s="161">
        <f t="shared" si="34"/>
        <v>0</v>
      </c>
      <c r="Q160" s="161"/>
      <c r="R160" s="161"/>
      <c r="S160" s="23"/>
      <c r="T160" s="26"/>
      <c r="U160" s="26"/>
      <c r="V160" s="97"/>
      <c r="W160" s="97"/>
      <c r="X160" s="99"/>
      <c r="Y160" s="26"/>
    </row>
    <row r="161" spans="1:25" s="36" customFormat="1" ht="18.75" customHeight="1" x14ac:dyDescent="0.25">
      <c r="A161" s="43"/>
      <c r="B161" s="76"/>
      <c r="C161" s="14" t="s">
        <v>178</v>
      </c>
      <c r="D161" s="77"/>
      <c r="E161" s="48"/>
      <c r="F161" s="59"/>
      <c r="G161" s="29"/>
      <c r="H161" s="29"/>
      <c r="I161" s="57"/>
      <c r="J161" s="57"/>
      <c r="K161" s="68"/>
      <c r="L161" s="68"/>
      <c r="M161" s="68"/>
      <c r="N161" s="68"/>
      <c r="O161" s="68"/>
      <c r="P161" s="68"/>
      <c r="Q161" s="68"/>
      <c r="R161" s="68"/>
      <c r="S161" s="23" t="str">
        <f>IF(D161="INTERNHUSLEIE",K161,"0")</f>
        <v>0</v>
      </c>
      <c r="T161" s="26" t="s">
        <v>612</v>
      </c>
      <c r="U161" s="26"/>
      <c r="V161" s="97">
        <f>IF(F161="VEDTATT","VEDTATT",0)</f>
        <v>0</v>
      </c>
      <c r="W161" s="97">
        <f>IF(F161="MÅ","Nye tiltak",0)</f>
        <v>0</v>
      </c>
      <c r="X161" s="99"/>
      <c r="Y161" s="26"/>
    </row>
    <row r="162" spans="1:25" s="36" customFormat="1" ht="18.75" customHeight="1" x14ac:dyDescent="0.25">
      <c r="A162" s="43" t="s">
        <v>610</v>
      </c>
      <c r="B162" s="76" t="str">
        <f>IF(U162,T162&amp;U162,"")</f>
        <v>L38</v>
      </c>
      <c r="C162" s="68" t="s">
        <v>639</v>
      </c>
      <c r="D162" s="77" t="s">
        <v>577</v>
      </c>
      <c r="E162" s="70" t="s">
        <v>578</v>
      </c>
      <c r="F162" s="59" t="s">
        <v>98</v>
      </c>
      <c r="G162" s="38"/>
      <c r="H162" s="38"/>
      <c r="I162" s="57"/>
      <c r="J162" s="57"/>
      <c r="K162" s="67">
        <v>90</v>
      </c>
      <c r="L162" s="68">
        <v>91</v>
      </c>
      <c r="M162" s="73"/>
      <c r="N162" s="73"/>
      <c r="O162" s="73"/>
      <c r="P162" s="73"/>
      <c r="Q162" s="73"/>
      <c r="R162" s="73"/>
      <c r="S162" s="23">
        <f>IF(D162="INTERNHUSLEIE",K162,"0")</f>
        <v>90</v>
      </c>
      <c r="T162" s="26" t="s">
        <v>612</v>
      </c>
      <c r="U162" s="26">
        <f>U158+1</f>
        <v>38</v>
      </c>
      <c r="V162" s="97" t="str">
        <f>IF(F162="VEDTATT","VEDTATT",0)</f>
        <v>VEDTATT</v>
      </c>
      <c r="W162" s="97">
        <f>IF(F162="MÅ","Nye tiltak",0)</f>
        <v>0</v>
      </c>
      <c r="X162" s="99"/>
      <c r="Y162" s="26"/>
    </row>
    <row r="163" spans="1:25" s="36" customFormat="1" ht="18.75" customHeight="1" x14ac:dyDescent="0.25">
      <c r="A163" s="43" t="s">
        <v>610</v>
      </c>
      <c r="B163" s="76" t="str">
        <f t="shared" ref="B163:B186" si="35">IF(U163,T163&amp;U163,"")</f>
        <v>L39</v>
      </c>
      <c r="C163" s="68" t="s">
        <v>640</v>
      </c>
      <c r="D163" s="77" t="s">
        <v>577</v>
      </c>
      <c r="E163" s="70" t="s">
        <v>578</v>
      </c>
      <c r="F163" s="59" t="s">
        <v>98</v>
      </c>
      <c r="G163" s="38"/>
      <c r="H163" s="38"/>
      <c r="I163" s="57"/>
      <c r="J163" s="57"/>
      <c r="K163" s="67">
        <v>99</v>
      </c>
      <c r="L163" s="68">
        <v>99</v>
      </c>
      <c r="M163" s="252"/>
      <c r="N163" s="252"/>
      <c r="O163" s="252"/>
      <c r="P163" s="252"/>
      <c r="Q163" s="252"/>
      <c r="R163" s="252"/>
      <c r="S163" s="23">
        <f>IF(D163="INTERNHUSLEIE",K163,"0")</f>
        <v>99</v>
      </c>
      <c r="T163" s="26" t="s">
        <v>612</v>
      </c>
      <c r="U163" s="26">
        <f t="shared" ref="U163:U185" si="36">U162+1</f>
        <v>39</v>
      </c>
      <c r="V163" s="97" t="str">
        <f>IF(F163="VEDTATT","VEDTATT",0)</f>
        <v>VEDTATT</v>
      </c>
      <c r="W163" s="97">
        <f>IF(F163="MÅ","Nye tiltak",0)</f>
        <v>0</v>
      </c>
      <c r="X163" s="99"/>
      <c r="Y163" s="26"/>
    </row>
    <row r="164" spans="1:25" s="36" customFormat="1" ht="18.75" customHeight="1" x14ac:dyDescent="0.25">
      <c r="A164" s="43" t="s">
        <v>610</v>
      </c>
      <c r="B164" s="76" t="str">
        <f t="shared" si="35"/>
        <v>L40</v>
      </c>
      <c r="C164" s="68" t="s">
        <v>641</v>
      </c>
      <c r="D164" s="77" t="s">
        <v>577</v>
      </c>
      <c r="E164" s="70" t="s">
        <v>578</v>
      </c>
      <c r="F164" s="59" t="s">
        <v>98</v>
      </c>
      <c r="G164" s="38"/>
      <c r="H164" s="38"/>
      <c r="I164" s="57"/>
      <c r="J164" s="57"/>
      <c r="K164" s="67"/>
      <c r="L164" s="68">
        <v>142</v>
      </c>
      <c r="M164" s="252">
        <v>495</v>
      </c>
      <c r="N164" s="252">
        <v>495</v>
      </c>
      <c r="O164" s="252">
        <v>495</v>
      </c>
      <c r="P164" s="252">
        <v>495</v>
      </c>
      <c r="Q164" s="252"/>
      <c r="R164" s="252"/>
      <c r="S164" s="23"/>
      <c r="T164" s="26" t="s">
        <v>612</v>
      </c>
      <c r="U164" s="26">
        <f t="shared" si="36"/>
        <v>40</v>
      </c>
      <c r="V164" s="97"/>
      <c r="W164" s="97"/>
      <c r="X164" s="99"/>
      <c r="Y164" s="26"/>
    </row>
    <row r="165" spans="1:25" s="36" customFormat="1" ht="18.75" customHeight="1" x14ac:dyDescent="0.25">
      <c r="A165" s="43" t="s">
        <v>610</v>
      </c>
      <c r="B165" s="76" t="str">
        <f>IF(U165,T165&amp;U165,"")</f>
        <v>41</v>
      </c>
      <c r="C165" s="68" t="s">
        <v>685</v>
      </c>
      <c r="D165" s="77" t="s">
        <v>577</v>
      </c>
      <c r="E165" s="70" t="s">
        <v>578</v>
      </c>
      <c r="F165" s="59" t="s">
        <v>98</v>
      </c>
      <c r="G165" s="38"/>
      <c r="H165" s="38"/>
      <c r="I165" s="57"/>
      <c r="J165" s="57"/>
      <c r="K165" s="68"/>
      <c r="L165" s="68"/>
      <c r="M165" s="252">
        <v>142</v>
      </c>
      <c r="N165" s="252">
        <v>285</v>
      </c>
      <c r="O165" s="252">
        <v>285</v>
      </c>
      <c r="P165" s="252">
        <v>285</v>
      </c>
      <c r="Q165" s="252"/>
      <c r="R165" s="252"/>
      <c r="S165" s="23"/>
      <c r="T165" s="26"/>
      <c r="U165" s="26">
        <f t="shared" si="36"/>
        <v>41</v>
      </c>
      <c r="V165" s="97"/>
      <c r="W165" s="97"/>
      <c r="X165" s="99"/>
      <c r="Y165" s="26"/>
    </row>
    <row r="166" spans="1:25" s="36" customFormat="1" ht="18.75" customHeight="1" x14ac:dyDescent="0.25">
      <c r="A166" s="43" t="s">
        <v>610</v>
      </c>
      <c r="B166" s="76" t="str">
        <f>IF(U166,T166&amp;U166,"")</f>
        <v>L42</v>
      </c>
      <c r="C166" s="68" t="s">
        <v>685</v>
      </c>
      <c r="D166" s="77" t="s">
        <v>577</v>
      </c>
      <c r="E166" s="70" t="s">
        <v>578</v>
      </c>
      <c r="F166" s="59" t="s">
        <v>98</v>
      </c>
      <c r="G166" s="38"/>
      <c r="H166" s="38"/>
      <c r="I166" s="57"/>
      <c r="J166" s="57"/>
      <c r="K166" s="68"/>
      <c r="L166" s="68"/>
      <c r="M166" s="252">
        <v>142</v>
      </c>
      <c r="N166" s="252">
        <v>285</v>
      </c>
      <c r="O166" s="252">
        <v>285</v>
      </c>
      <c r="P166" s="252">
        <v>285</v>
      </c>
      <c r="Q166" s="252"/>
      <c r="R166" s="252"/>
      <c r="S166" s="23">
        <f>IF(D166="INTERNHUSLEIE",K166,"0")</f>
        <v>0</v>
      </c>
      <c r="T166" s="26" t="s">
        <v>612</v>
      </c>
      <c r="U166" s="26">
        <f t="shared" si="36"/>
        <v>42</v>
      </c>
      <c r="V166" s="97" t="str">
        <f>IF(F167="VEDTATT","VEDTATT",0)</f>
        <v>VEDTATT</v>
      </c>
      <c r="W166" s="97">
        <f>IF(F167="MÅ","Nye tiltak",0)</f>
        <v>0</v>
      </c>
      <c r="X166" s="99"/>
      <c r="Y166" s="26"/>
    </row>
    <row r="167" spans="1:25" s="36" customFormat="1" ht="18.75" customHeight="1" x14ac:dyDescent="0.25">
      <c r="A167" s="43" t="s">
        <v>610</v>
      </c>
      <c r="B167" s="76" t="str">
        <f>IF(U167,T167&amp;U167,"")</f>
        <v>L43</v>
      </c>
      <c r="C167" s="68" t="s">
        <v>686</v>
      </c>
      <c r="D167" s="77" t="s">
        <v>577</v>
      </c>
      <c r="E167" s="70" t="s">
        <v>578</v>
      </c>
      <c r="F167" s="59" t="s">
        <v>98</v>
      </c>
      <c r="G167" s="38"/>
      <c r="H167" s="38"/>
      <c r="I167" s="57"/>
      <c r="J167" s="57"/>
      <c r="K167" s="68"/>
      <c r="L167" s="68"/>
      <c r="M167" s="252"/>
      <c r="N167" s="252">
        <v>142</v>
      </c>
      <c r="O167" s="252">
        <v>285</v>
      </c>
      <c r="P167" s="252">
        <v>285</v>
      </c>
      <c r="Q167" s="252"/>
      <c r="R167" s="252"/>
      <c r="S167" s="23">
        <f>IF(D167="INTERNHUSLEIE",K167,"0")</f>
        <v>0</v>
      </c>
      <c r="T167" s="26" t="s">
        <v>612</v>
      </c>
      <c r="U167" s="26">
        <f t="shared" si="36"/>
        <v>43</v>
      </c>
      <c r="V167" s="97" t="e">
        <f>IF(#REF!="VEDTATT","VEDTATT",0)</f>
        <v>#REF!</v>
      </c>
      <c r="W167" s="97" t="e">
        <f>IF(#REF!="MÅ","Nye tiltak",0)</f>
        <v>#REF!</v>
      </c>
      <c r="X167" s="99"/>
      <c r="Y167" s="26"/>
    </row>
    <row r="168" spans="1:25" s="452" customFormat="1" ht="18.75" customHeight="1" x14ac:dyDescent="0.25">
      <c r="A168" s="441" t="s">
        <v>610</v>
      </c>
      <c r="B168" s="441" t="str">
        <f>IF(U168,T168&amp;U168,"")</f>
        <v>44</v>
      </c>
      <c r="C168" s="447" t="s">
        <v>642</v>
      </c>
      <c r="D168" s="443" t="s">
        <v>577</v>
      </c>
      <c r="E168" s="444" t="s">
        <v>578</v>
      </c>
      <c r="F168" s="458"/>
      <c r="G168" s="459"/>
      <c r="H168" s="459"/>
      <c r="I168" s="447"/>
      <c r="J168" s="447"/>
      <c r="K168" s="447"/>
      <c r="L168" s="447"/>
      <c r="M168" s="460"/>
      <c r="N168" s="460"/>
      <c r="O168" s="460">
        <v>142</v>
      </c>
      <c r="P168" s="460">
        <v>285</v>
      </c>
      <c r="Q168" s="460"/>
      <c r="R168" s="460"/>
      <c r="S168" s="445"/>
      <c r="U168" s="452">
        <f t="shared" si="36"/>
        <v>44</v>
      </c>
      <c r="V168" s="453"/>
      <c r="W168" s="453"/>
      <c r="X168" s="461"/>
    </row>
    <row r="169" spans="1:25" s="36" customFormat="1" ht="18.75" customHeight="1" x14ac:dyDescent="0.25">
      <c r="A169" s="43" t="s">
        <v>610</v>
      </c>
      <c r="B169" s="76" t="str">
        <f>IF(U169,T169&amp;U169,"")</f>
        <v>L45</v>
      </c>
      <c r="C169" s="68" t="s">
        <v>644</v>
      </c>
      <c r="D169" s="77" t="s">
        <v>577</v>
      </c>
      <c r="E169" s="70" t="s">
        <v>578</v>
      </c>
      <c r="F169" s="59" t="s">
        <v>98</v>
      </c>
      <c r="G169" s="38"/>
      <c r="H169" s="38"/>
      <c r="I169" s="57"/>
      <c r="J169" s="57"/>
      <c r="K169" s="68">
        <v>402</v>
      </c>
      <c r="L169" s="68">
        <v>402</v>
      </c>
      <c r="M169" s="252"/>
      <c r="N169" s="252"/>
      <c r="O169" s="252"/>
      <c r="P169" s="252"/>
      <c r="Q169" s="252"/>
      <c r="R169" s="252"/>
      <c r="S169" s="23">
        <f t="shared" ref="S169:S185" si="37">IF(D169="INTERNHUSLEIE",K169,"0")</f>
        <v>402</v>
      </c>
      <c r="T169" s="26" t="s">
        <v>612</v>
      </c>
      <c r="U169" s="26">
        <f t="shared" si="36"/>
        <v>45</v>
      </c>
      <c r="V169" s="97" t="str">
        <f t="shared" ref="V169:V185" si="38">IF(F169="VEDTATT","VEDTATT",0)</f>
        <v>VEDTATT</v>
      </c>
      <c r="W169" s="97">
        <f t="shared" ref="W169:W185" si="39">IF(F169="MÅ","Nye tiltak",0)</f>
        <v>0</v>
      </c>
      <c r="X169" s="99"/>
      <c r="Y169" s="26"/>
    </row>
    <row r="170" spans="1:25" s="452" customFormat="1" ht="18.75" customHeight="1" x14ac:dyDescent="0.25">
      <c r="A170" s="441" t="s">
        <v>610</v>
      </c>
      <c r="B170" s="441" t="str">
        <f t="shared" si="35"/>
        <v>L46</v>
      </c>
      <c r="C170" s="447" t="s">
        <v>687</v>
      </c>
      <c r="D170" s="443" t="s">
        <v>577</v>
      </c>
      <c r="E170" s="444" t="s">
        <v>578</v>
      </c>
      <c r="F170" s="458" t="s">
        <v>98</v>
      </c>
      <c r="G170" s="459"/>
      <c r="H170" s="459"/>
      <c r="I170" s="447"/>
      <c r="J170" s="447"/>
      <c r="K170" s="447"/>
      <c r="L170" s="447"/>
      <c r="N170" s="460">
        <v>254</v>
      </c>
      <c r="O170" s="460">
        <v>508</v>
      </c>
      <c r="P170" s="460">
        <v>508</v>
      </c>
      <c r="Q170" s="460"/>
      <c r="R170" s="460"/>
      <c r="S170" s="445">
        <f t="shared" si="37"/>
        <v>0</v>
      </c>
      <c r="T170" s="452" t="s">
        <v>612</v>
      </c>
      <c r="U170" s="452">
        <f t="shared" si="36"/>
        <v>46</v>
      </c>
      <c r="V170" s="453" t="str">
        <f t="shared" si="38"/>
        <v>VEDTATT</v>
      </c>
      <c r="W170" s="453">
        <f t="shared" si="39"/>
        <v>0</v>
      </c>
      <c r="X170" s="461"/>
    </row>
    <row r="171" spans="1:25" s="452" customFormat="1" ht="18.75" customHeight="1" x14ac:dyDescent="0.25">
      <c r="A171" s="441" t="s">
        <v>610</v>
      </c>
      <c r="B171" s="441" t="str">
        <f t="shared" si="35"/>
        <v>L47</v>
      </c>
      <c r="C171" s="447" t="s">
        <v>645</v>
      </c>
      <c r="D171" s="443" t="s">
        <v>577</v>
      </c>
      <c r="E171" s="444" t="s">
        <v>578</v>
      </c>
      <c r="F171" s="458" t="s">
        <v>98</v>
      </c>
      <c r="G171" s="459"/>
      <c r="H171" s="459"/>
      <c r="I171" s="447"/>
      <c r="J171" s="447"/>
      <c r="K171" s="447"/>
      <c r="L171" s="447"/>
      <c r="N171" s="460">
        <v>302</v>
      </c>
      <c r="O171" s="460">
        <v>557</v>
      </c>
      <c r="P171" s="460">
        <v>557</v>
      </c>
      <c r="Q171" s="460"/>
      <c r="R171" s="460"/>
      <c r="S171" s="445">
        <f t="shared" si="37"/>
        <v>0</v>
      </c>
      <c r="T171" s="452" t="s">
        <v>612</v>
      </c>
      <c r="U171" s="452">
        <f t="shared" si="36"/>
        <v>47</v>
      </c>
      <c r="V171" s="453" t="str">
        <f t="shared" si="38"/>
        <v>VEDTATT</v>
      </c>
      <c r="W171" s="453">
        <f t="shared" si="39"/>
        <v>0</v>
      </c>
      <c r="X171" s="461"/>
    </row>
    <row r="172" spans="1:25" s="36" customFormat="1" ht="18.75" customHeight="1" x14ac:dyDescent="0.25">
      <c r="A172" s="43" t="s">
        <v>610</v>
      </c>
      <c r="B172" s="76" t="str">
        <f t="shared" si="35"/>
        <v>L48</v>
      </c>
      <c r="C172" s="68" t="s">
        <v>646</v>
      </c>
      <c r="D172" s="77" t="s">
        <v>577</v>
      </c>
      <c r="E172" s="70" t="s">
        <v>578</v>
      </c>
      <c r="F172" s="59" t="s">
        <v>98</v>
      </c>
      <c r="G172" s="38"/>
      <c r="H172" s="38"/>
      <c r="I172" s="57"/>
      <c r="J172" s="57"/>
      <c r="K172" s="67">
        <v>424</v>
      </c>
      <c r="L172" s="68">
        <v>475</v>
      </c>
      <c r="M172" s="252">
        <v>475</v>
      </c>
      <c r="N172" s="252">
        <v>475</v>
      </c>
      <c r="O172" s="252">
        <v>475</v>
      </c>
      <c r="P172" s="252">
        <v>475</v>
      </c>
      <c r="Q172" s="252"/>
      <c r="R172" s="252"/>
      <c r="S172" s="23">
        <f t="shared" si="37"/>
        <v>424</v>
      </c>
      <c r="T172" s="26" t="s">
        <v>612</v>
      </c>
      <c r="U172" s="26">
        <f t="shared" si="36"/>
        <v>48</v>
      </c>
      <c r="V172" s="97" t="str">
        <f t="shared" si="38"/>
        <v>VEDTATT</v>
      </c>
      <c r="W172" s="97">
        <f t="shared" si="39"/>
        <v>0</v>
      </c>
      <c r="X172" s="99"/>
      <c r="Y172" s="26"/>
    </row>
    <row r="173" spans="1:25" s="36" customFormat="1" ht="18.75" customHeight="1" x14ac:dyDescent="0.25">
      <c r="A173" s="43" t="s">
        <v>610</v>
      </c>
      <c r="B173" s="76" t="str">
        <f t="shared" si="35"/>
        <v>L49</v>
      </c>
      <c r="C173" s="68" t="s">
        <v>647</v>
      </c>
      <c r="D173" s="77" t="s">
        <v>577</v>
      </c>
      <c r="E173" s="70" t="s">
        <v>578</v>
      </c>
      <c r="F173" s="59" t="s">
        <v>98</v>
      </c>
      <c r="G173" s="38"/>
      <c r="H173" s="38"/>
      <c r="I173" s="57"/>
      <c r="J173" s="57"/>
      <c r="K173" s="68">
        <v>322</v>
      </c>
      <c r="L173" s="68">
        <v>322</v>
      </c>
      <c r="M173" s="252"/>
      <c r="N173" s="252"/>
      <c r="O173" s="252"/>
      <c r="P173" s="252"/>
      <c r="Q173" s="252"/>
      <c r="R173" s="252"/>
      <c r="S173" s="23">
        <f t="shared" si="37"/>
        <v>322</v>
      </c>
      <c r="T173" s="26" t="s">
        <v>612</v>
      </c>
      <c r="U173" s="26">
        <f t="shared" si="36"/>
        <v>49</v>
      </c>
      <c r="V173" s="97" t="str">
        <f t="shared" si="38"/>
        <v>VEDTATT</v>
      </c>
      <c r="W173" s="97">
        <f t="shared" si="39"/>
        <v>0</v>
      </c>
      <c r="X173" s="99"/>
      <c r="Y173" s="26"/>
    </row>
    <row r="174" spans="1:25" s="36" customFormat="1" ht="18.75" customHeight="1" x14ac:dyDescent="0.25">
      <c r="A174" s="43" t="s">
        <v>610</v>
      </c>
      <c r="B174" s="76" t="str">
        <f t="shared" si="35"/>
        <v>L50</v>
      </c>
      <c r="C174" s="68" t="s">
        <v>647</v>
      </c>
      <c r="D174" s="77" t="s">
        <v>581</v>
      </c>
      <c r="E174" s="70" t="s">
        <v>578</v>
      </c>
      <c r="F174" s="59" t="s">
        <v>98</v>
      </c>
      <c r="G174" s="38"/>
      <c r="H174" s="38"/>
      <c r="I174" s="57"/>
      <c r="J174" s="57"/>
      <c r="K174" s="68">
        <v>49</v>
      </c>
      <c r="L174" s="68">
        <v>49</v>
      </c>
      <c r="M174" s="252"/>
      <c r="N174" s="252"/>
      <c r="O174" s="252"/>
      <c r="P174" s="252"/>
      <c r="Q174" s="252"/>
      <c r="R174" s="252"/>
      <c r="S174" s="23" t="str">
        <f t="shared" si="37"/>
        <v>0</v>
      </c>
      <c r="T174" s="26" t="s">
        <v>612</v>
      </c>
      <c r="U174" s="26">
        <f t="shared" si="36"/>
        <v>50</v>
      </c>
      <c r="V174" s="97" t="str">
        <f t="shared" si="38"/>
        <v>VEDTATT</v>
      </c>
      <c r="W174" s="97">
        <f t="shared" si="39"/>
        <v>0</v>
      </c>
      <c r="X174" s="99"/>
      <c r="Y174" s="26"/>
    </row>
    <row r="175" spans="1:25" s="36" customFormat="1" ht="18.75" customHeight="1" x14ac:dyDescent="0.25">
      <c r="A175" s="43" t="s">
        <v>610</v>
      </c>
      <c r="B175" s="76" t="str">
        <f>IF(U175,T175&amp;U175,"")</f>
        <v>51</v>
      </c>
      <c r="C175" s="68" t="s">
        <v>688</v>
      </c>
      <c r="D175" s="77" t="s">
        <v>577</v>
      </c>
      <c r="E175" s="70" t="s">
        <v>578</v>
      </c>
      <c r="F175" s="59" t="s">
        <v>98</v>
      </c>
      <c r="G175" s="38"/>
      <c r="H175" s="38"/>
      <c r="I175" s="57"/>
      <c r="J175" s="57"/>
      <c r="K175" s="68">
        <v>564</v>
      </c>
      <c r="L175" s="68">
        <v>1708</v>
      </c>
      <c r="M175" s="252">
        <v>1708</v>
      </c>
      <c r="N175" s="252">
        <v>3415</v>
      </c>
      <c r="O175" s="252">
        <v>3415</v>
      </c>
      <c r="P175" s="252">
        <v>3415</v>
      </c>
      <c r="Q175" s="252"/>
      <c r="R175" s="252"/>
      <c r="S175" s="23"/>
      <c r="T175" s="26"/>
      <c r="U175" s="26">
        <f t="shared" si="36"/>
        <v>51</v>
      </c>
      <c r="V175" s="97"/>
      <c r="W175" s="97"/>
      <c r="X175" s="99"/>
      <c r="Y175" s="26"/>
    </row>
    <row r="176" spans="1:25" s="36" customFormat="1" ht="18.75" customHeight="1" x14ac:dyDescent="0.25">
      <c r="A176" s="43" t="s">
        <v>610</v>
      </c>
      <c r="B176" s="76" t="str">
        <f t="shared" si="35"/>
        <v>L52</v>
      </c>
      <c r="C176" s="68" t="s">
        <v>688</v>
      </c>
      <c r="D176" s="77" t="s">
        <v>577</v>
      </c>
      <c r="E176" s="70" t="s">
        <v>578</v>
      </c>
      <c r="F176" s="59" t="s">
        <v>98</v>
      </c>
      <c r="G176" s="38"/>
      <c r="H176" s="38"/>
      <c r="I176" s="57"/>
      <c r="J176" s="57"/>
      <c r="K176" s="68">
        <v>564</v>
      </c>
      <c r="L176" s="68">
        <v>1708</v>
      </c>
      <c r="M176" s="252">
        <v>1708</v>
      </c>
      <c r="N176" s="252">
        <v>3415</v>
      </c>
      <c r="O176" s="252">
        <v>3415</v>
      </c>
      <c r="P176" s="252">
        <v>3415</v>
      </c>
      <c r="Q176" s="252"/>
      <c r="R176" s="252"/>
      <c r="S176" s="23">
        <f t="shared" si="37"/>
        <v>564</v>
      </c>
      <c r="T176" s="26" t="s">
        <v>612</v>
      </c>
      <c r="U176" s="26">
        <f t="shared" si="36"/>
        <v>52</v>
      </c>
      <c r="V176" s="97" t="str">
        <f t="shared" si="38"/>
        <v>VEDTATT</v>
      </c>
      <c r="W176" s="97">
        <f t="shared" si="39"/>
        <v>0</v>
      </c>
      <c r="X176" s="99"/>
      <c r="Y176" s="26"/>
    </row>
    <row r="177" spans="1:25" s="452" customFormat="1" ht="18.75" customHeight="1" x14ac:dyDescent="0.25">
      <c r="A177" s="441" t="s">
        <v>610</v>
      </c>
      <c r="B177" s="441" t="str">
        <f t="shared" si="35"/>
        <v>L53</v>
      </c>
      <c r="C177" s="447" t="s">
        <v>689</v>
      </c>
      <c r="D177" s="443" t="s">
        <v>577</v>
      </c>
      <c r="E177" s="444" t="s">
        <v>578</v>
      </c>
      <c r="F177" s="458" t="s">
        <v>98</v>
      </c>
      <c r="G177" s="459"/>
      <c r="H177" s="459"/>
      <c r="I177" s="447"/>
      <c r="J177" s="447"/>
      <c r="K177" s="447">
        <v>29</v>
      </c>
      <c r="L177" s="447"/>
      <c r="M177" s="460"/>
      <c r="N177" s="460">
        <v>1708</v>
      </c>
      <c r="O177" s="460">
        <v>3415</v>
      </c>
      <c r="P177" s="460">
        <v>3415</v>
      </c>
      <c r="Q177" s="460"/>
      <c r="R177" s="460"/>
      <c r="S177" s="445">
        <f t="shared" si="37"/>
        <v>29</v>
      </c>
      <c r="T177" s="452" t="s">
        <v>612</v>
      </c>
      <c r="U177" s="452">
        <f t="shared" si="36"/>
        <v>53</v>
      </c>
      <c r="V177" s="453" t="str">
        <f t="shared" si="38"/>
        <v>VEDTATT</v>
      </c>
      <c r="W177" s="453">
        <f t="shared" si="39"/>
        <v>0</v>
      </c>
      <c r="X177" s="461"/>
    </row>
    <row r="178" spans="1:25" s="36" customFormat="1" ht="18.75" customHeight="1" x14ac:dyDescent="0.25">
      <c r="A178" s="43" t="s">
        <v>610</v>
      </c>
      <c r="B178" s="76" t="str">
        <f>IF(U178,T178&amp;U178,"")</f>
        <v>L54</v>
      </c>
      <c r="C178" s="68" t="s">
        <v>648</v>
      </c>
      <c r="D178" s="77" t="s">
        <v>577</v>
      </c>
      <c r="E178" s="70" t="s">
        <v>578</v>
      </c>
      <c r="F178" s="59" t="s">
        <v>98</v>
      </c>
      <c r="G178" s="38"/>
      <c r="H178" s="38"/>
      <c r="I178" s="57"/>
      <c r="J178" s="57"/>
      <c r="K178" s="67">
        <v>1675</v>
      </c>
      <c r="L178" s="68"/>
      <c r="M178" s="252"/>
      <c r="N178" s="252"/>
      <c r="O178" s="252">
        <v>1708</v>
      </c>
      <c r="P178" s="252">
        <v>3415</v>
      </c>
      <c r="Q178" s="252"/>
      <c r="R178" s="252"/>
      <c r="S178" s="23">
        <f t="shared" si="37"/>
        <v>1675</v>
      </c>
      <c r="T178" s="26" t="s">
        <v>612</v>
      </c>
      <c r="U178" s="26">
        <f t="shared" si="36"/>
        <v>54</v>
      </c>
      <c r="V178" s="97" t="str">
        <f t="shared" si="38"/>
        <v>VEDTATT</v>
      </c>
      <c r="W178" s="97">
        <f t="shared" si="39"/>
        <v>0</v>
      </c>
      <c r="X178" s="99"/>
      <c r="Y178" s="26"/>
    </row>
    <row r="179" spans="1:25" s="36" customFormat="1" ht="18.75" customHeight="1" x14ac:dyDescent="0.25">
      <c r="A179" s="43" t="s">
        <v>610</v>
      </c>
      <c r="B179" s="76" t="str">
        <f t="shared" si="35"/>
        <v>L55</v>
      </c>
      <c r="C179" s="68" t="s">
        <v>643</v>
      </c>
      <c r="D179" s="208" t="s">
        <v>577</v>
      </c>
      <c r="E179" s="70" t="s">
        <v>108</v>
      </c>
      <c r="F179" s="39"/>
      <c r="G179" s="38"/>
      <c r="H179" s="38"/>
      <c r="I179" s="57"/>
      <c r="J179" s="57"/>
      <c r="K179" s="68"/>
      <c r="L179" s="68"/>
      <c r="M179" s="252"/>
      <c r="N179" s="252"/>
      <c r="O179" s="252"/>
      <c r="P179" s="252">
        <v>142</v>
      </c>
      <c r="Q179" s="252"/>
      <c r="R179" s="252"/>
      <c r="S179" s="23">
        <f t="shared" si="37"/>
        <v>0</v>
      </c>
      <c r="T179" s="26" t="s">
        <v>612</v>
      </c>
      <c r="U179" s="26">
        <f t="shared" si="36"/>
        <v>55</v>
      </c>
      <c r="V179" s="97">
        <f t="shared" si="38"/>
        <v>0</v>
      </c>
      <c r="W179" s="97">
        <f t="shared" si="39"/>
        <v>0</v>
      </c>
      <c r="X179" s="99"/>
      <c r="Y179" s="26"/>
    </row>
    <row r="180" spans="1:25" s="36" customFormat="1" ht="18.75" customHeight="1" x14ac:dyDescent="0.25">
      <c r="A180" s="43" t="s">
        <v>610</v>
      </c>
      <c r="B180" s="76" t="str">
        <f t="shared" si="35"/>
        <v>L56</v>
      </c>
      <c r="C180" s="68" t="s">
        <v>649</v>
      </c>
      <c r="D180" s="208" t="s">
        <v>577</v>
      </c>
      <c r="E180" s="70" t="s">
        <v>108</v>
      </c>
      <c r="F180" s="39"/>
      <c r="G180" s="38"/>
      <c r="H180" s="38"/>
      <c r="I180" s="57"/>
      <c r="J180" s="57"/>
      <c r="K180" s="68"/>
      <c r="L180" s="68"/>
      <c r="M180" s="269"/>
      <c r="N180" s="269"/>
      <c r="O180" s="269"/>
      <c r="P180" s="269">
        <v>1708</v>
      </c>
      <c r="Q180" s="269"/>
      <c r="R180" s="269"/>
      <c r="S180" s="23">
        <f t="shared" si="37"/>
        <v>0</v>
      </c>
      <c r="T180" s="26" t="s">
        <v>612</v>
      </c>
      <c r="U180" s="26">
        <f t="shared" si="36"/>
        <v>56</v>
      </c>
      <c r="V180" s="97">
        <f t="shared" si="38"/>
        <v>0</v>
      </c>
      <c r="W180" s="97">
        <f t="shared" si="39"/>
        <v>0</v>
      </c>
      <c r="X180" s="99"/>
      <c r="Y180" s="26"/>
    </row>
    <row r="181" spans="1:25" s="36" customFormat="1" ht="18.75" customHeight="1" x14ac:dyDescent="0.25">
      <c r="A181" s="43" t="s">
        <v>610</v>
      </c>
      <c r="B181" s="76" t="str">
        <f t="shared" si="35"/>
        <v>L57</v>
      </c>
      <c r="C181" s="68"/>
      <c r="D181" s="77" t="s">
        <v>577</v>
      </c>
      <c r="E181" s="39" t="s">
        <v>108</v>
      </c>
      <c r="F181" s="59"/>
      <c r="G181" s="38"/>
      <c r="H181" s="38"/>
      <c r="I181" s="57"/>
      <c r="J181" s="57"/>
      <c r="K181" s="68"/>
      <c r="L181" s="68"/>
      <c r="M181" s="68"/>
      <c r="N181" s="68"/>
      <c r="O181" s="68"/>
      <c r="P181" s="68"/>
      <c r="Q181" s="68"/>
      <c r="R181" s="68"/>
      <c r="S181" s="23">
        <f t="shared" si="37"/>
        <v>0</v>
      </c>
      <c r="T181" s="26" t="s">
        <v>612</v>
      </c>
      <c r="U181" s="26">
        <f t="shared" si="36"/>
        <v>57</v>
      </c>
      <c r="V181" s="97">
        <f t="shared" si="38"/>
        <v>0</v>
      </c>
      <c r="W181" s="97">
        <f t="shared" si="39"/>
        <v>0</v>
      </c>
      <c r="X181" s="99"/>
      <c r="Y181" s="26"/>
    </row>
    <row r="182" spans="1:25" s="36" customFormat="1" ht="18.75" customHeight="1" x14ac:dyDescent="0.25">
      <c r="A182" s="43" t="s">
        <v>610</v>
      </c>
      <c r="B182" s="76" t="str">
        <f t="shared" si="35"/>
        <v>L58</v>
      </c>
      <c r="C182" s="68"/>
      <c r="D182" s="77" t="s">
        <v>577</v>
      </c>
      <c r="E182" s="39" t="s">
        <v>108</v>
      </c>
      <c r="F182" s="59"/>
      <c r="G182" s="38"/>
      <c r="H182" s="38"/>
      <c r="I182" s="57"/>
      <c r="J182" s="57"/>
      <c r="K182" s="67"/>
      <c r="L182" s="68"/>
      <c r="M182" s="68"/>
      <c r="N182" s="68"/>
      <c r="O182" s="68"/>
      <c r="P182" s="68"/>
      <c r="Q182" s="68"/>
      <c r="R182" s="68"/>
      <c r="S182" s="23">
        <f t="shared" si="37"/>
        <v>0</v>
      </c>
      <c r="T182" s="26" t="s">
        <v>612</v>
      </c>
      <c r="U182" s="26">
        <f t="shared" si="36"/>
        <v>58</v>
      </c>
      <c r="V182" s="97">
        <f t="shared" si="38"/>
        <v>0</v>
      </c>
      <c r="W182" s="97">
        <f t="shared" si="39"/>
        <v>0</v>
      </c>
      <c r="X182" s="99"/>
      <c r="Y182" s="26"/>
    </row>
    <row r="183" spans="1:25" s="36" customFormat="1" ht="18.75" customHeight="1" x14ac:dyDescent="0.25">
      <c r="A183" s="43" t="s">
        <v>610</v>
      </c>
      <c r="B183" s="76" t="str">
        <f t="shared" si="35"/>
        <v>L59</v>
      </c>
      <c r="C183" s="68"/>
      <c r="D183" s="77" t="s">
        <v>577</v>
      </c>
      <c r="E183" s="39" t="s">
        <v>108</v>
      </c>
      <c r="F183" s="59"/>
      <c r="G183" s="38"/>
      <c r="H183" s="38"/>
      <c r="I183" s="57"/>
      <c r="J183" s="57"/>
      <c r="K183" s="68"/>
      <c r="L183" s="68"/>
      <c r="M183" s="68"/>
      <c r="N183" s="68"/>
      <c r="O183" s="68"/>
      <c r="P183" s="68"/>
      <c r="Q183" s="68"/>
      <c r="R183" s="68"/>
      <c r="S183" s="23">
        <f t="shared" si="37"/>
        <v>0</v>
      </c>
      <c r="T183" s="26" t="s">
        <v>612</v>
      </c>
      <c r="U183" s="26">
        <f t="shared" si="36"/>
        <v>59</v>
      </c>
      <c r="V183" s="97">
        <f t="shared" si="38"/>
        <v>0</v>
      </c>
      <c r="W183" s="97">
        <f t="shared" si="39"/>
        <v>0</v>
      </c>
      <c r="X183" s="99"/>
      <c r="Y183" s="26"/>
    </row>
    <row r="184" spans="1:25" s="36" customFormat="1" ht="18.75" customHeight="1" x14ac:dyDescent="0.25">
      <c r="A184" s="43" t="s">
        <v>610</v>
      </c>
      <c r="B184" s="76" t="str">
        <f t="shared" si="35"/>
        <v>L60</v>
      </c>
      <c r="C184" s="68"/>
      <c r="D184" s="77" t="s">
        <v>577</v>
      </c>
      <c r="E184" s="39" t="s">
        <v>108</v>
      </c>
      <c r="F184" s="59" t="s">
        <v>98</v>
      </c>
      <c r="G184" s="38"/>
      <c r="H184" s="38"/>
      <c r="I184" s="57"/>
      <c r="J184" s="57"/>
      <c r="K184" s="68"/>
      <c r="L184" s="68"/>
      <c r="M184" s="68"/>
      <c r="N184" s="68"/>
      <c r="O184" s="68"/>
      <c r="P184" s="68"/>
      <c r="Q184" s="68"/>
      <c r="R184" s="68"/>
      <c r="S184" s="23">
        <f t="shared" si="37"/>
        <v>0</v>
      </c>
      <c r="T184" s="26" t="s">
        <v>612</v>
      </c>
      <c r="U184" s="26">
        <f t="shared" si="36"/>
        <v>60</v>
      </c>
      <c r="V184" s="97" t="str">
        <f t="shared" si="38"/>
        <v>VEDTATT</v>
      </c>
      <c r="W184" s="97">
        <f t="shared" si="39"/>
        <v>0</v>
      </c>
      <c r="X184" s="99"/>
      <c r="Y184" s="26"/>
    </row>
    <row r="185" spans="1:25" s="36" customFormat="1" ht="18.75" customHeight="1" x14ac:dyDescent="0.25">
      <c r="A185" s="43" t="s">
        <v>610</v>
      </c>
      <c r="B185" s="76" t="str">
        <f t="shared" si="35"/>
        <v>L61</v>
      </c>
      <c r="C185" s="68"/>
      <c r="D185" s="77" t="s">
        <v>577</v>
      </c>
      <c r="E185" s="39" t="s">
        <v>108</v>
      </c>
      <c r="F185" s="39"/>
      <c r="G185" s="38"/>
      <c r="H185" s="38"/>
      <c r="I185" s="57"/>
      <c r="J185" s="105"/>
      <c r="K185" s="68"/>
      <c r="L185" s="68"/>
      <c r="M185" s="68"/>
      <c r="N185" s="68"/>
      <c r="O185" s="68"/>
      <c r="P185" s="68"/>
      <c r="Q185" s="68"/>
      <c r="R185" s="68"/>
      <c r="S185" s="23">
        <f t="shared" si="37"/>
        <v>0</v>
      </c>
      <c r="T185" s="26" t="s">
        <v>612</v>
      </c>
      <c r="U185" s="26">
        <f t="shared" si="36"/>
        <v>61</v>
      </c>
      <c r="V185" s="97">
        <f t="shared" si="38"/>
        <v>0</v>
      </c>
      <c r="W185" s="97">
        <f t="shared" si="39"/>
        <v>0</v>
      </c>
      <c r="X185" s="99"/>
      <c r="Y185" s="26"/>
    </row>
    <row r="186" spans="1:25" s="36" customFormat="1" ht="18.75" customHeight="1" x14ac:dyDescent="0.25">
      <c r="A186" s="159"/>
      <c r="B186" s="159" t="str">
        <f t="shared" si="35"/>
        <v/>
      </c>
      <c r="C186" s="160" t="s">
        <v>545</v>
      </c>
      <c r="D186" s="160"/>
      <c r="E186" s="160"/>
      <c r="F186" s="163" t="s">
        <v>98</v>
      </c>
      <c r="G186" s="160"/>
      <c r="H186" s="160"/>
      <c r="I186" s="160"/>
      <c r="J186" s="160"/>
      <c r="K186" s="161">
        <f ca="1">SUMIF($F$162:$J$185,$F$186,K162:K185)</f>
        <v>4218</v>
      </c>
      <c r="L186" s="161">
        <f>SUMIF($F$162:$F$185,$F$186,L162:L185)</f>
        <v>4996</v>
      </c>
      <c r="M186" s="161">
        <f>SUMIF($F$162:$F$185,$F$186,M162:M185)</f>
        <v>4670</v>
      </c>
      <c r="N186" s="161">
        <f>SUMIF($F$162:$F$185,$F$186,N162:N185)</f>
        <v>10776</v>
      </c>
      <c r="O186" s="161">
        <f>SUMIF($F$162:$F$185,$F$186,O162:O185)</f>
        <v>14843</v>
      </c>
      <c r="P186" s="161">
        <f>SUMIF($F$162:$F$185,$F$186,P162:P185)</f>
        <v>16550</v>
      </c>
      <c r="Q186" s="161"/>
      <c r="R186" s="161"/>
      <c r="S186" s="23"/>
      <c r="T186" s="26"/>
      <c r="U186" s="26"/>
      <c r="V186" s="97"/>
      <c r="W186" s="97"/>
      <c r="X186" s="99"/>
      <c r="Y186" s="26"/>
    </row>
    <row r="187" spans="1:25" s="36" customFormat="1" ht="18.75" customHeight="1" x14ac:dyDescent="0.25">
      <c r="A187" s="160"/>
      <c r="B187" s="160"/>
      <c r="C187" s="160" t="s">
        <v>545</v>
      </c>
      <c r="D187" s="160"/>
      <c r="E187" s="164" t="s">
        <v>108</v>
      </c>
      <c r="F187" s="162"/>
      <c r="G187" s="162"/>
      <c r="H187" s="162"/>
      <c r="I187" s="162"/>
      <c r="J187" s="162"/>
      <c r="K187" s="161">
        <f t="shared" ref="K187:P187" si="40">SUMIF($E$162:$E$185,$E$187,K162:K185)</f>
        <v>0</v>
      </c>
      <c r="L187" s="161">
        <f t="shared" si="40"/>
        <v>0</v>
      </c>
      <c r="M187" s="161">
        <f t="shared" si="40"/>
        <v>0</v>
      </c>
      <c r="N187" s="161">
        <f t="shared" si="40"/>
        <v>0</v>
      </c>
      <c r="O187" s="161">
        <f t="shared" si="40"/>
        <v>0</v>
      </c>
      <c r="P187" s="161">
        <f t="shared" si="40"/>
        <v>1850</v>
      </c>
      <c r="Q187" s="161"/>
      <c r="R187" s="161"/>
      <c r="S187" s="23"/>
      <c r="T187" s="26"/>
      <c r="U187" s="26"/>
      <c r="V187" s="97"/>
      <c r="W187" s="97"/>
      <c r="X187" s="99"/>
      <c r="Y187" s="26"/>
    </row>
    <row r="188" spans="1:25" s="36" customFormat="1" ht="18.75" customHeight="1" x14ac:dyDescent="0.25">
      <c r="A188" s="41"/>
      <c r="B188" s="41" t="s">
        <v>152</v>
      </c>
      <c r="C188" s="3" t="s">
        <v>651</v>
      </c>
      <c r="D188" s="3"/>
      <c r="E188" s="50"/>
      <c r="F188" s="50"/>
      <c r="G188" s="7"/>
      <c r="H188" s="7">
        <f t="shared" ref="H188:P188" si="41">SUMIF($A:$A,"LEVEKÅR",H:H)</f>
        <v>0</v>
      </c>
      <c r="I188" s="54">
        <f t="shared" si="41"/>
        <v>-14379</v>
      </c>
      <c r="J188" s="54">
        <f t="shared" si="41"/>
        <v>21780</v>
      </c>
      <c r="K188" s="54">
        <f t="shared" si="41"/>
        <v>8380</v>
      </c>
      <c r="L188" s="54">
        <f t="shared" si="41"/>
        <v>8274</v>
      </c>
      <c r="M188" s="54">
        <f t="shared" si="41"/>
        <v>4857</v>
      </c>
      <c r="N188" s="54">
        <f t="shared" si="41"/>
        <v>14141</v>
      </c>
      <c r="O188" s="54">
        <f t="shared" si="41"/>
        <v>21826</v>
      </c>
      <c r="P188" s="54">
        <f t="shared" si="41"/>
        <v>34161</v>
      </c>
      <c r="Q188" s="54"/>
      <c r="R188" s="54"/>
      <c r="S188" s="23" t="str">
        <f t="shared" ref="S188:S202" si="42">IF(D188="INTERNHUSLEIE",K188,"0")</f>
        <v>0</v>
      </c>
      <c r="T188" s="26"/>
      <c r="U188" s="26"/>
      <c r="V188" s="97">
        <f t="shared" ref="V188:V196" si="43">IF(F188="VEDTATT","VEDTATT",0)</f>
        <v>0</v>
      </c>
      <c r="W188" s="97">
        <f t="shared" ref="W188:W196" si="44">IF(F188="MÅ","Nye tiltak",0)</f>
        <v>0</v>
      </c>
      <c r="X188" s="99"/>
      <c r="Y188" s="26"/>
    </row>
    <row r="189" spans="1:25" s="36" customFormat="1" ht="18.75" customHeight="1" x14ac:dyDescent="0.25">
      <c r="A189" s="45"/>
      <c r="B189" s="45"/>
      <c r="C189" s="9"/>
      <c r="D189" s="9"/>
      <c r="E189" s="47"/>
      <c r="F189" s="47"/>
      <c r="G189" s="10"/>
      <c r="H189" s="10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23" t="str">
        <f t="shared" si="42"/>
        <v>0</v>
      </c>
      <c r="T189" s="26"/>
      <c r="U189" s="26"/>
      <c r="V189" s="97">
        <f t="shared" si="43"/>
        <v>0</v>
      </c>
      <c r="W189" s="97">
        <f t="shared" si="44"/>
        <v>0</v>
      </c>
      <c r="X189" s="99"/>
      <c r="Y189" s="26"/>
    </row>
    <row r="190" spans="1:25" s="36" customFormat="1" ht="18.75" customHeight="1" x14ac:dyDescent="0.25">
      <c r="A190" s="46"/>
      <c r="B190" s="46"/>
      <c r="C190" s="11" t="s">
        <v>317</v>
      </c>
      <c r="D190" s="11"/>
      <c r="E190" s="48"/>
      <c r="F190" s="59"/>
      <c r="G190" s="22"/>
      <c r="H190" s="22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23" t="str">
        <f t="shared" si="42"/>
        <v>0</v>
      </c>
      <c r="T190" s="26"/>
      <c r="U190" s="26"/>
      <c r="V190" s="97">
        <f t="shared" si="43"/>
        <v>0</v>
      </c>
      <c r="W190" s="97">
        <f t="shared" si="44"/>
        <v>0</v>
      </c>
      <c r="X190" s="99"/>
      <c r="Y190" s="26"/>
    </row>
    <row r="191" spans="1:25" s="36" customFormat="1" ht="18.75" customHeight="1" x14ac:dyDescent="0.25">
      <c r="A191" s="42"/>
      <c r="B191" s="42"/>
      <c r="C191" s="14" t="s">
        <v>652</v>
      </c>
      <c r="D191" s="14"/>
      <c r="E191" s="48"/>
      <c r="F191" s="59"/>
      <c r="G191" s="29"/>
      <c r="H191" s="29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23" t="str">
        <f t="shared" si="42"/>
        <v>0</v>
      </c>
      <c r="T191" s="26"/>
      <c r="U191" s="26"/>
      <c r="V191" s="97">
        <f t="shared" si="43"/>
        <v>0</v>
      </c>
      <c r="W191" s="97">
        <f t="shared" si="44"/>
        <v>0</v>
      </c>
      <c r="X191" s="99"/>
      <c r="Y191" s="26"/>
    </row>
    <row r="192" spans="1:25" s="36" customFormat="1" ht="18.75" customHeight="1" x14ac:dyDescent="0.25">
      <c r="A192" s="43"/>
      <c r="B192" s="43"/>
      <c r="C192" s="14" t="s">
        <v>653</v>
      </c>
      <c r="D192" s="77"/>
      <c r="E192" s="48"/>
      <c r="F192" s="59" t="s">
        <v>654</v>
      </c>
      <c r="G192" s="29"/>
      <c r="H192" s="29"/>
      <c r="I192" s="57"/>
      <c r="J192" s="57"/>
      <c r="K192" s="68"/>
      <c r="L192" s="68"/>
      <c r="M192" s="68"/>
      <c r="N192" s="68"/>
      <c r="O192" s="68"/>
      <c r="P192" s="68"/>
      <c r="Q192" s="68"/>
      <c r="R192" s="68"/>
      <c r="S192" s="23" t="str">
        <f t="shared" si="42"/>
        <v>0</v>
      </c>
      <c r="T192" s="26"/>
      <c r="U192" s="26"/>
      <c r="V192" s="97">
        <f t="shared" si="43"/>
        <v>0</v>
      </c>
      <c r="W192" s="97">
        <f t="shared" si="44"/>
        <v>0</v>
      </c>
      <c r="X192" s="99"/>
      <c r="Y192" s="26"/>
    </row>
    <row r="193" spans="1:25" s="36" customFormat="1" ht="18.75" customHeight="1" x14ac:dyDescent="0.25">
      <c r="A193" s="43"/>
      <c r="B193" s="43"/>
      <c r="C193" s="14" t="s">
        <v>198</v>
      </c>
      <c r="D193" s="77"/>
      <c r="E193" s="39"/>
      <c r="F193" s="59" t="s">
        <v>654</v>
      </c>
      <c r="G193" s="29"/>
      <c r="H193" s="29"/>
      <c r="I193" s="57"/>
      <c r="J193" s="57"/>
      <c r="K193" s="68"/>
      <c r="L193" s="68"/>
      <c r="M193" s="68"/>
      <c r="N193" s="68"/>
      <c r="O193" s="68"/>
      <c r="P193" s="68"/>
      <c r="Q193" s="68"/>
      <c r="R193" s="68"/>
      <c r="S193" s="23" t="str">
        <f t="shared" si="42"/>
        <v>0</v>
      </c>
      <c r="T193" s="26"/>
      <c r="U193" s="26"/>
      <c r="V193" s="97">
        <f t="shared" si="43"/>
        <v>0</v>
      </c>
      <c r="W193" s="97">
        <f t="shared" si="44"/>
        <v>0</v>
      </c>
      <c r="X193" s="99"/>
      <c r="Y193" s="26"/>
    </row>
    <row r="194" spans="1:25" s="36" customFormat="1" ht="18.75" customHeight="1" x14ac:dyDescent="0.25">
      <c r="A194" s="43" t="s">
        <v>4</v>
      </c>
      <c r="B194" s="43" t="str">
        <f>IF(U194,T194&amp;U194,"")</f>
        <v>K1</v>
      </c>
      <c r="C194" s="60" t="s">
        <v>655</v>
      </c>
      <c r="D194" s="77" t="s">
        <v>577</v>
      </c>
      <c r="E194" s="39" t="s">
        <v>108</v>
      </c>
      <c r="F194" s="59"/>
      <c r="G194" s="38"/>
      <c r="H194" s="38"/>
      <c r="I194" s="57"/>
      <c r="J194" s="57"/>
      <c r="K194" s="68"/>
      <c r="L194" s="68"/>
      <c r="M194" s="68"/>
      <c r="N194" s="68"/>
      <c r="O194" s="68"/>
      <c r="P194" s="68"/>
      <c r="Q194" s="68"/>
      <c r="R194" s="68"/>
      <c r="S194" s="23">
        <f t="shared" si="42"/>
        <v>0</v>
      </c>
      <c r="T194" s="26" t="s">
        <v>194</v>
      </c>
      <c r="U194" s="26">
        <v>1</v>
      </c>
      <c r="V194" s="97">
        <f t="shared" si="43"/>
        <v>0</v>
      </c>
      <c r="W194" s="97">
        <f t="shared" si="44"/>
        <v>0</v>
      </c>
      <c r="X194" s="103"/>
      <c r="Y194" s="26"/>
    </row>
    <row r="195" spans="1:25" s="36" customFormat="1" ht="26.25" customHeight="1" x14ac:dyDescent="0.25">
      <c r="A195" s="43" t="s">
        <v>4</v>
      </c>
      <c r="B195" s="43" t="str">
        <f t="shared" ref="B195:B203" si="45">IF(U195,T195&amp;U195,"")</f>
        <v>K2</v>
      </c>
      <c r="C195" s="60" t="s">
        <v>655</v>
      </c>
      <c r="D195" s="77" t="s">
        <v>580</v>
      </c>
      <c r="E195" s="39" t="s">
        <v>108</v>
      </c>
      <c r="F195" s="59"/>
      <c r="G195" s="38"/>
      <c r="H195" s="38"/>
      <c r="I195" s="57"/>
      <c r="J195" s="57"/>
      <c r="K195" s="68"/>
      <c r="L195" s="68"/>
      <c r="M195" s="68"/>
      <c r="N195" s="68"/>
      <c r="O195" s="68"/>
      <c r="P195" s="68"/>
      <c r="Q195" s="68"/>
      <c r="R195" s="68"/>
      <c r="S195" s="23" t="str">
        <f t="shared" si="42"/>
        <v>0</v>
      </c>
      <c r="T195" s="26" t="s">
        <v>194</v>
      </c>
      <c r="U195" s="26">
        <f>U194+1</f>
        <v>2</v>
      </c>
      <c r="V195" s="97">
        <f t="shared" si="43"/>
        <v>0</v>
      </c>
      <c r="W195" s="97">
        <f t="shared" si="44"/>
        <v>0</v>
      </c>
      <c r="X195" s="103"/>
      <c r="Y195" s="26"/>
    </row>
    <row r="196" spans="1:25" s="36" customFormat="1" ht="18.75" customHeight="1" x14ac:dyDescent="0.25">
      <c r="A196" s="43" t="s">
        <v>4</v>
      </c>
      <c r="B196" s="43" t="str">
        <f t="shared" si="45"/>
        <v>K3</v>
      </c>
      <c r="C196" s="60" t="s">
        <v>655</v>
      </c>
      <c r="D196" s="77" t="s">
        <v>581</v>
      </c>
      <c r="E196" s="39" t="s">
        <v>108</v>
      </c>
      <c r="F196" s="59"/>
      <c r="G196" s="38"/>
      <c r="H196" s="38"/>
      <c r="I196" s="57"/>
      <c r="J196" s="57"/>
      <c r="K196" s="68"/>
      <c r="L196" s="68"/>
      <c r="M196" s="68"/>
      <c r="N196" s="68"/>
      <c r="O196" s="68"/>
      <c r="P196" s="68"/>
      <c r="Q196" s="68"/>
      <c r="R196" s="68"/>
      <c r="S196" s="23" t="str">
        <f t="shared" si="42"/>
        <v>0</v>
      </c>
      <c r="T196" s="26" t="s">
        <v>194</v>
      </c>
      <c r="U196" s="26">
        <f>U195+1</f>
        <v>3</v>
      </c>
      <c r="V196" s="97">
        <f t="shared" si="43"/>
        <v>0</v>
      </c>
      <c r="W196" s="97">
        <f t="shared" si="44"/>
        <v>0</v>
      </c>
      <c r="X196" s="103"/>
      <c r="Y196" s="26"/>
    </row>
    <row r="197" spans="1:25" s="36" customFormat="1" ht="18.75" customHeight="1" x14ac:dyDescent="0.25">
      <c r="A197" s="43" t="s">
        <v>4</v>
      </c>
      <c r="B197" s="43" t="str">
        <f>IF(U197,T197&amp;U197,"")</f>
        <v>K4</v>
      </c>
      <c r="C197" s="60" t="s">
        <v>656</v>
      </c>
      <c r="D197" s="77" t="s">
        <v>577</v>
      </c>
      <c r="E197" s="70" t="s">
        <v>657</v>
      </c>
      <c r="F197" s="59" t="s">
        <v>98</v>
      </c>
      <c r="G197" s="38"/>
      <c r="H197" s="38"/>
      <c r="I197" s="57"/>
      <c r="J197" s="57"/>
      <c r="K197" s="68">
        <v>325</v>
      </c>
      <c r="L197" s="222"/>
      <c r="M197" s="222">
        <v>276</v>
      </c>
      <c r="N197" s="222">
        <v>552</v>
      </c>
      <c r="O197" s="222">
        <v>552</v>
      </c>
      <c r="P197" s="222">
        <v>552</v>
      </c>
      <c r="Q197" s="440"/>
      <c r="R197" s="440"/>
      <c r="S197" s="23">
        <f t="shared" si="42"/>
        <v>325</v>
      </c>
      <c r="T197" s="26" t="s">
        <v>194</v>
      </c>
      <c r="U197" s="26">
        <f t="shared" ref="U197:U202" si="46">U196+1</f>
        <v>4</v>
      </c>
      <c r="V197" s="97"/>
      <c r="W197" s="97"/>
      <c r="X197" s="103"/>
      <c r="Y197" s="216" t="s">
        <v>658</v>
      </c>
    </row>
    <row r="198" spans="1:25" s="36" customFormat="1" ht="18.75" customHeight="1" x14ac:dyDescent="0.25">
      <c r="A198" s="43" t="s">
        <v>4</v>
      </c>
      <c r="B198" s="43" t="str">
        <f>IF(U198,T198&amp;U198,"")</f>
        <v>K5</v>
      </c>
      <c r="C198" s="60" t="s">
        <v>656</v>
      </c>
      <c r="D198" s="77" t="s">
        <v>580</v>
      </c>
      <c r="E198" s="70" t="s">
        <v>657</v>
      </c>
      <c r="F198" s="59" t="s">
        <v>98</v>
      </c>
      <c r="G198" s="38"/>
      <c r="H198" s="38"/>
      <c r="I198" s="57"/>
      <c r="J198" s="57"/>
      <c r="K198" s="68">
        <v>54</v>
      </c>
      <c r="L198" s="221"/>
      <c r="M198" s="221">
        <v>24</v>
      </c>
      <c r="N198" s="221">
        <v>47</v>
      </c>
      <c r="O198" s="221">
        <v>47</v>
      </c>
      <c r="P198" s="221">
        <v>47</v>
      </c>
      <c r="Q198" s="252"/>
      <c r="R198" s="252"/>
      <c r="S198" s="23" t="str">
        <f t="shared" si="42"/>
        <v>0</v>
      </c>
      <c r="T198" s="26" t="s">
        <v>194</v>
      </c>
      <c r="U198" s="26">
        <f t="shared" si="46"/>
        <v>5</v>
      </c>
      <c r="V198" s="97"/>
      <c r="W198" s="97"/>
      <c r="X198" s="103"/>
      <c r="Y198" s="26"/>
    </row>
    <row r="199" spans="1:25" s="36" customFormat="1" ht="18.75" customHeight="1" x14ac:dyDescent="0.25">
      <c r="A199" s="43" t="s">
        <v>4</v>
      </c>
      <c r="B199" s="43" t="str">
        <f>IF(U199,T199&amp;U199,"")</f>
        <v>K6</v>
      </c>
      <c r="C199" s="60" t="s">
        <v>656</v>
      </c>
      <c r="D199" s="77" t="s">
        <v>581</v>
      </c>
      <c r="E199" s="70" t="s">
        <v>657</v>
      </c>
      <c r="F199" s="59" t="s">
        <v>98</v>
      </c>
      <c r="G199" s="38"/>
      <c r="H199" s="38"/>
      <c r="I199" s="57"/>
      <c r="J199" s="57"/>
      <c r="K199" s="68">
        <v>17</v>
      </c>
      <c r="L199" s="221"/>
      <c r="M199" s="221">
        <v>24</v>
      </c>
      <c r="N199" s="221">
        <v>56</v>
      </c>
      <c r="O199" s="221">
        <v>56</v>
      </c>
      <c r="P199" s="221">
        <v>56</v>
      </c>
      <c r="Q199" s="252"/>
      <c r="R199" s="252"/>
      <c r="S199" s="23" t="str">
        <f t="shared" si="42"/>
        <v>0</v>
      </c>
      <c r="T199" s="26" t="s">
        <v>194</v>
      </c>
      <c r="U199" s="26">
        <f t="shared" si="46"/>
        <v>6</v>
      </c>
      <c r="V199" s="97"/>
      <c r="W199" s="97"/>
      <c r="X199" s="103"/>
      <c r="Y199" s="26"/>
    </row>
    <row r="200" spans="1:25" s="36" customFormat="1" ht="18.75" customHeight="1" x14ac:dyDescent="0.25">
      <c r="A200" s="43" t="s">
        <v>4</v>
      </c>
      <c r="B200" s="43" t="str">
        <f t="shared" ref="B200:B202" si="47">IF(U200,T200&amp;U200,"")</f>
        <v>K7</v>
      </c>
      <c r="C200" s="60" t="s">
        <v>690</v>
      </c>
      <c r="D200" s="77" t="s">
        <v>580</v>
      </c>
      <c r="E200" s="39" t="s">
        <v>108</v>
      </c>
      <c r="F200" s="179"/>
      <c r="G200" s="38"/>
      <c r="H200" s="38"/>
      <c r="I200" s="57"/>
      <c r="J200" s="57"/>
      <c r="K200" s="68"/>
      <c r="L200" s="68"/>
      <c r="M200" s="221">
        <v>863</v>
      </c>
      <c r="N200" s="221">
        <v>863</v>
      </c>
      <c r="O200" s="182">
        <v>863</v>
      </c>
      <c r="P200" s="221">
        <v>863</v>
      </c>
      <c r="Q200" s="252"/>
      <c r="R200" s="252"/>
      <c r="S200" s="23" t="str">
        <f t="shared" si="42"/>
        <v>0</v>
      </c>
      <c r="T200" s="26" t="s">
        <v>194</v>
      </c>
      <c r="U200" s="26">
        <f t="shared" si="46"/>
        <v>7</v>
      </c>
      <c r="V200" s="97"/>
      <c r="W200" s="97"/>
      <c r="X200" s="103"/>
      <c r="Y200" s="26"/>
    </row>
    <row r="201" spans="1:25" s="36" customFormat="1" ht="18.75" customHeight="1" x14ac:dyDescent="0.25">
      <c r="A201" s="43" t="s">
        <v>4</v>
      </c>
      <c r="B201" s="43" t="str">
        <f t="shared" si="47"/>
        <v>K8</v>
      </c>
      <c r="C201" s="60" t="s">
        <v>691</v>
      </c>
      <c r="D201" s="77" t="s">
        <v>581</v>
      </c>
      <c r="E201" s="39" t="s">
        <v>108</v>
      </c>
      <c r="F201" s="179"/>
      <c r="G201" s="38"/>
      <c r="H201" s="38"/>
      <c r="I201" s="57"/>
      <c r="J201" s="57"/>
      <c r="K201" s="68"/>
      <c r="L201" s="68"/>
      <c r="M201" s="221">
        <v>278</v>
      </c>
      <c r="N201" s="221">
        <v>278</v>
      </c>
      <c r="O201" s="182">
        <v>278</v>
      </c>
      <c r="P201" s="221">
        <v>278</v>
      </c>
      <c r="Q201" s="252"/>
      <c r="R201" s="252"/>
      <c r="S201" s="23" t="str">
        <f t="shared" si="42"/>
        <v>0</v>
      </c>
      <c r="T201" s="26" t="s">
        <v>194</v>
      </c>
      <c r="U201" s="26">
        <f t="shared" si="46"/>
        <v>8</v>
      </c>
      <c r="V201" s="97"/>
      <c r="W201" s="97"/>
      <c r="X201" s="103"/>
      <c r="Y201" s="26"/>
    </row>
    <row r="202" spans="1:25" s="36" customFormat="1" ht="18.75" customHeight="1" x14ac:dyDescent="0.25">
      <c r="A202" s="43" t="s">
        <v>4</v>
      </c>
      <c r="B202" s="43" t="str">
        <f t="shared" si="47"/>
        <v>K9</v>
      </c>
      <c r="C202" s="60" t="s">
        <v>692</v>
      </c>
      <c r="D202" s="77" t="s">
        <v>577</v>
      </c>
      <c r="E202" s="70" t="s">
        <v>108</v>
      </c>
      <c r="F202" s="59"/>
      <c r="G202" s="38"/>
      <c r="H202" s="38"/>
      <c r="I202" s="57"/>
      <c r="J202" s="57"/>
      <c r="K202" s="68"/>
      <c r="L202" s="68">
        <v>43</v>
      </c>
      <c r="M202" s="221">
        <v>139</v>
      </c>
      <c r="N202" s="221">
        <v>139</v>
      </c>
      <c r="O202" s="182">
        <v>139</v>
      </c>
      <c r="P202" s="221">
        <v>139</v>
      </c>
      <c r="Q202" s="252"/>
      <c r="R202" s="252"/>
      <c r="S202" s="23">
        <f t="shared" si="42"/>
        <v>0</v>
      </c>
      <c r="T202" s="26" t="s">
        <v>194</v>
      </c>
      <c r="U202" s="26">
        <f t="shared" si="46"/>
        <v>9</v>
      </c>
      <c r="V202" s="97"/>
      <c r="W202" s="97"/>
      <c r="X202" s="103"/>
      <c r="Y202" s="26"/>
    </row>
    <row r="203" spans="1:25" s="36" customFormat="1" ht="18.75" customHeight="1" x14ac:dyDescent="0.25">
      <c r="A203" s="159"/>
      <c r="B203" s="159" t="str">
        <f t="shared" si="45"/>
        <v/>
      </c>
      <c r="C203" s="160" t="s">
        <v>547</v>
      </c>
      <c r="D203" s="160"/>
      <c r="E203" s="160"/>
      <c r="F203" s="163" t="s">
        <v>98</v>
      </c>
      <c r="G203" s="160"/>
      <c r="H203" s="160"/>
      <c r="I203" s="160"/>
      <c r="J203" s="160"/>
      <c r="K203" s="161">
        <f t="shared" ref="K203:P203" si="48">SUMIF($F$194:$F$202,$F$203,K194:K202)</f>
        <v>396</v>
      </c>
      <c r="L203" s="161">
        <f t="shared" si="48"/>
        <v>0</v>
      </c>
      <c r="M203" s="161">
        <f t="shared" si="48"/>
        <v>324</v>
      </c>
      <c r="N203" s="161">
        <f t="shared" si="48"/>
        <v>655</v>
      </c>
      <c r="O203" s="161">
        <f t="shared" si="48"/>
        <v>655</v>
      </c>
      <c r="P203" s="161">
        <f t="shared" si="48"/>
        <v>655</v>
      </c>
      <c r="Q203" s="161"/>
      <c r="R203" s="161"/>
      <c r="S203" s="23"/>
      <c r="T203" s="26"/>
      <c r="U203" s="26"/>
      <c r="V203" s="97"/>
      <c r="W203" s="97"/>
      <c r="X203" s="103"/>
      <c r="Y203" s="26"/>
    </row>
    <row r="204" spans="1:25" s="36" customFormat="1" ht="18.75" customHeight="1" x14ac:dyDescent="0.25">
      <c r="A204" s="160"/>
      <c r="B204" s="160"/>
      <c r="C204" s="160" t="s">
        <v>547</v>
      </c>
      <c r="D204" s="160"/>
      <c r="E204" s="164" t="s">
        <v>108</v>
      </c>
      <c r="F204" s="162"/>
      <c r="G204" s="162"/>
      <c r="H204" s="162"/>
      <c r="I204" s="162"/>
      <c r="J204" s="162"/>
      <c r="K204" s="161">
        <f t="shared" ref="K204:P204" si="49">SUMIF($E$194:$E$202,$E$204,K194:K202)</f>
        <v>0</v>
      </c>
      <c r="L204" s="161">
        <f t="shared" si="49"/>
        <v>43</v>
      </c>
      <c r="M204" s="161">
        <f t="shared" si="49"/>
        <v>1280</v>
      </c>
      <c r="N204" s="161">
        <f t="shared" si="49"/>
        <v>1280</v>
      </c>
      <c r="O204" s="161">
        <f t="shared" si="49"/>
        <v>1280</v>
      </c>
      <c r="P204" s="161">
        <f t="shared" si="49"/>
        <v>1280</v>
      </c>
      <c r="Q204" s="161"/>
      <c r="R204" s="161"/>
      <c r="S204" s="23"/>
      <c r="T204" s="26"/>
      <c r="U204" s="26"/>
      <c r="V204" s="97"/>
      <c r="W204" s="97"/>
      <c r="X204" s="103"/>
      <c r="Y204" s="26"/>
    </row>
    <row r="205" spans="1:25" s="36" customFormat="1" ht="18.75" customHeight="1" x14ac:dyDescent="0.25">
      <c r="A205" s="41"/>
      <c r="B205" s="41" t="s">
        <v>152</v>
      </c>
      <c r="C205" s="3" t="s">
        <v>659</v>
      </c>
      <c r="D205" s="3"/>
      <c r="E205" s="50"/>
      <c r="F205" s="50"/>
      <c r="G205" s="7"/>
      <c r="H205" s="7">
        <f t="shared" ref="H205:P205" si="50">SUMIF($A:$A,"KUBY",H:H)</f>
        <v>0</v>
      </c>
      <c r="I205" s="54">
        <f t="shared" si="50"/>
        <v>0</v>
      </c>
      <c r="J205" s="54">
        <f t="shared" si="50"/>
        <v>0</v>
      </c>
      <c r="K205" s="54">
        <f t="shared" si="50"/>
        <v>396</v>
      </c>
      <c r="L205" s="54">
        <f t="shared" si="50"/>
        <v>43</v>
      </c>
      <c r="M205" s="54">
        <f t="shared" si="50"/>
        <v>1604</v>
      </c>
      <c r="N205" s="54">
        <f t="shared" si="50"/>
        <v>1935</v>
      </c>
      <c r="O205" s="54">
        <f t="shared" si="50"/>
        <v>1935</v>
      </c>
      <c r="P205" s="54">
        <f t="shared" si="50"/>
        <v>1935</v>
      </c>
      <c r="Q205" s="54"/>
      <c r="R205" s="54"/>
      <c r="S205" s="23" t="str">
        <f t="shared" ref="S205:S215" si="51">IF(D205="INTERNHUSLEIE",K205,"0")</f>
        <v>0</v>
      </c>
      <c r="T205" s="26"/>
      <c r="U205" s="26"/>
      <c r="V205" s="97">
        <f t="shared" ref="V205:V215" si="52">IF(F205="VEDTATT","VEDTATT",0)</f>
        <v>0</v>
      </c>
      <c r="W205" s="97">
        <f t="shared" ref="W205:W215" si="53">IF(F205="MÅ","Nye tiltak",0)</f>
        <v>0</v>
      </c>
      <c r="X205" s="99"/>
      <c r="Y205" s="26"/>
    </row>
    <row r="206" spans="1:25" s="36" customFormat="1" ht="18.75" customHeight="1" x14ac:dyDescent="0.25">
      <c r="A206" s="46"/>
      <c r="B206" s="46"/>
      <c r="C206" s="11" t="s">
        <v>11</v>
      </c>
      <c r="D206" s="11"/>
      <c r="E206" s="48"/>
      <c r="F206" s="59"/>
      <c r="G206" s="22"/>
      <c r="H206" s="22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23" t="str">
        <f t="shared" si="51"/>
        <v>0</v>
      </c>
      <c r="T206" s="26"/>
      <c r="U206" s="26"/>
      <c r="V206" s="97">
        <f t="shared" si="52"/>
        <v>0</v>
      </c>
      <c r="W206" s="97">
        <f t="shared" si="53"/>
        <v>0</v>
      </c>
      <c r="X206" s="99"/>
      <c r="Y206" s="26"/>
    </row>
    <row r="207" spans="1:25" s="36" customFormat="1" ht="19.5" customHeight="1" x14ac:dyDescent="0.25">
      <c r="A207" s="43" t="s">
        <v>5</v>
      </c>
      <c r="B207" s="43" t="str">
        <f>IF(U207,T207&amp;U207,"")</f>
        <v>T1</v>
      </c>
      <c r="C207" s="68" t="s">
        <v>660</v>
      </c>
      <c r="D207" s="77" t="s">
        <v>577</v>
      </c>
      <c r="E207" s="70" t="s">
        <v>657</v>
      </c>
      <c r="F207" s="59" t="s">
        <v>98</v>
      </c>
      <c r="G207" s="38"/>
      <c r="H207" s="38"/>
      <c r="I207" s="57"/>
      <c r="J207" s="57"/>
      <c r="K207" s="68"/>
      <c r="L207" s="68">
        <v>7183</v>
      </c>
      <c r="M207" s="221">
        <v>4770</v>
      </c>
      <c r="N207" s="221">
        <v>11448</v>
      </c>
      <c r="O207" s="221">
        <v>11448</v>
      </c>
      <c r="P207" s="221">
        <v>11448</v>
      </c>
      <c r="Q207" s="252"/>
      <c r="R207" s="252"/>
      <c r="S207" s="23">
        <f t="shared" si="51"/>
        <v>0</v>
      </c>
      <c r="T207" s="26" t="s">
        <v>208</v>
      </c>
      <c r="U207" s="26">
        <v>1</v>
      </c>
      <c r="V207" s="97" t="str">
        <f t="shared" si="52"/>
        <v>VEDTATT</v>
      </c>
      <c r="W207" s="97">
        <f t="shared" si="53"/>
        <v>0</v>
      </c>
      <c r="X207" s="99"/>
      <c r="Y207" s="26"/>
    </row>
    <row r="208" spans="1:25" s="36" customFormat="1" ht="19.5" customHeight="1" x14ac:dyDescent="0.25">
      <c r="A208" s="43" t="s">
        <v>5</v>
      </c>
      <c r="B208" s="43" t="str">
        <f t="shared" ref="B208:B216" si="54">IF(U208,T208&amp;U208,"")</f>
        <v>T2</v>
      </c>
      <c r="C208" s="68" t="s">
        <v>660</v>
      </c>
      <c r="D208" s="77" t="s">
        <v>580</v>
      </c>
      <c r="E208" s="70" t="s">
        <v>657</v>
      </c>
      <c r="F208" s="59" t="s">
        <v>98</v>
      </c>
      <c r="G208" s="38"/>
      <c r="H208" s="38"/>
      <c r="I208" s="57"/>
      <c r="J208" s="57"/>
      <c r="K208" s="68"/>
      <c r="L208" s="68">
        <v>670</v>
      </c>
      <c r="M208" s="221">
        <v>670</v>
      </c>
      <c r="N208" s="221">
        <v>1004</v>
      </c>
      <c r="O208" s="221">
        <v>1004</v>
      </c>
      <c r="P208" s="221">
        <v>1004</v>
      </c>
      <c r="Q208" s="252"/>
      <c r="R208" s="252"/>
      <c r="S208" s="23" t="str">
        <f t="shared" si="51"/>
        <v>0</v>
      </c>
      <c r="T208" s="26" t="s">
        <v>208</v>
      </c>
      <c r="U208" s="26">
        <f>U207+1</f>
        <v>2</v>
      </c>
      <c r="V208" s="97" t="str">
        <f t="shared" si="52"/>
        <v>VEDTATT</v>
      </c>
      <c r="W208" s="97">
        <f t="shared" si="53"/>
        <v>0</v>
      </c>
      <c r="X208" s="99"/>
      <c r="Y208" s="26"/>
    </row>
    <row r="209" spans="1:25" s="36" customFormat="1" ht="19.5" customHeight="1" x14ac:dyDescent="0.25">
      <c r="A209" s="43" t="s">
        <v>5</v>
      </c>
      <c r="B209" s="43" t="str">
        <f t="shared" si="54"/>
        <v>T3</v>
      </c>
      <c r="C209" s="68" t="s">
        <v>660</v>
      </c>
      <c r="D209" s="77" t="s">
        <v>581</v>
      </c>
      <c r="E209" s="70" t="s">
        <v>657</v>
      </c>
      <c r="F209" s="59" t="s">
        <v>98</v>
      </c>
      <c r="G209" s="38"/>
      <c r="H209" s="38"/>
      <c r="I209" s="57"/>
      <c r="J209" s="57"/>
      <c r="K209" s="68"/>
      <c r="L209" s="68">
        <v>880</v>
      </c>
      <c r="M209" s="221">
        <v>880</v>
      </c>
      <c r="N209" s="221">
        <v>1321</v>
      </c>
      <c r="O209" s="221">
        <v>1321</v>
      </c>
      <c r="P209" s="221">
        <v>1321</v>
      </c>
      <c r="Q209" s="252"/>
      <c r="R209" s="252"/>
      <c r="S209" s="23" t="str">
        <f t="shared" si="51"/>
        <v>0</v>
      </c>
      <c r="T209" s="26" t="s">
        <v>208</v>
      </c>
      <c r="U209" s="26">
        <f>U208+1</f>
        <v>3</v>
      </c>
      <c r="V209" s="97" t="str">
        <f t="shared" si="52"/>
        <v>VEDTATT</v>
      </c>
      <c r="W209" s="97">
        <f t="shared" si="53"/>
        <v>0</v>
      </c>
      <c r="X209" s="99"/>
      <c r="Y209" s="26"/>
    </row>
    <row r="210" spans="1:25" s="452" customFormat="1" ht="19.5" customHeight="1" x14ac:dyDescent="0.25">
      <c r="A210" s="441" t="s">
        <v>5</v>
      </c>
      <c r="B210" s="441" t="str">
        <f t="shared" si="54"/>
        <v>T4</v>
      </c>
      <c r="C210" s="447" t="s">
        <v>661</v>
      </c>
      <c r="D210" s="443" t="s">
        <v>577</v>
      </c>
      <c r="E210" s="444" t="s">
        <v>662</v>
      </c>
      <c r="F210" s="458" t="s">
        <v>98</v>
      </c>
      <c r="G210" s="459"/>
      <c r="H210" s="459"/>
      <c r="I210" s="447"/>
      <c r="J210" s="447"/>
      <c r="K210" s="447">
        <v>527</v>
      </c>
      <c r="L210" s="447"/>
      <c r="M210" s="456"/>
      <c r="N210" s="449">
        <v>1453</v>
      </c>
      <c r="O210" s="449">
        <v>5812</v>
      </c>
      <c r="P210" s="449">
        <v>5812</v>
      </c>
      <c r="Q210" s="460"/>
      <c r="R210" s="460"/>
      <c r="S210" s="445">
        <f t="shared" si="51"/>
        <v>527</v>
      </c>
      <c r="T210" s="452" t="s">
        <v>208</v>
      </c>
      <c r="U210" s="452">
        <f>U209+1</f>
        <v>4</v>
      </c>
      <c r="V210" s="453" t="str">
        <f t="shared" si="52"/>
        <v>VEDTATT</v>
      </c>
      <c r="W210" s="453">
        <f t="shared" si="53"/>
        <v>0</v>
      </c>
      <c r="X210" s="461"/>
    </row>
    <row r="211" spans="1:25" s="36" customFormat="1" ht="19.5" customHeight="1" x14ac:dyDescent="0.25">
      <c r="A211" s="43" t="s">
        <v>5</v>
      </c>
      <c r="B211" s="43" t="str">
        <f t="shared" si="54"/>
        <v>T5</v>
      </c>
      <c r="C211" s="68"/>
      <c r="D211" s="77" t="s">
        <v>580</v>
      </c>
      <c r="E211" s="70" t="s">
        <v>662</v>
      </c>
      <c r="F211" s="59" t="s">
        <v>98</v>
      </c>
      <c r="G211" s="38"/>
      <c r="H211" s="38"/>
      <c r="I211" s="57"/>
      <c r="J211" s="57"/>
      <c r="K211" s="68">
        <f>205-154</f>
        <v>51</v>
      </c>
      <c r="L211" s="68"/>
      <c r="M211" s="68"/>
      <c r="N211" s="68"/>
      <c r="O211" s="68"/>
      <c r="P211" s="68"/>
      <c r="Q211" s="68"/>
      <c r="R211" s="68"/>
      <c r="S211" s="23" t="str">
        <f t="shared" si="51"/>
        <v>0</v>
      </c>
      <c r="T211" s="26" t="s">
        <v>208</v>
      </c>
      <c r="U211" s="26">
        <f>U210+1</f>
        <v>5</v>
      </c>
      <c r="V211" s="97" t="str">
        <f t="shared" si="52"/>
        <v>VEDTATT</v>
      </c>
      <c r="W211" s="97">
        <f t="shared" si="53"/>
        <v>0</v>
      </c>
      <c r="X211" s="99"/>
      <c r="Y211" s="26"/>
    </row>
    <row r="212" spans="1:25" s="36" customFormat="1" ht="19.5" customHeight="1" x14ac:dyDescent="0.25">
      <c r="A212" s="43" t="s">
        <v>5</v>
      </c>
      <c r="B212" s="43" t="str">
        <f t="shared" si="54"/>
        <v>T6</v>
      </c>
      <c r="C212" s="68"/>
      <c r="D212" s="77" t="s">
        <v>581</v>
      </c>
      <c r="E212" s="70" t="s">
        <v>662</v>
      </c>
      <c r="F212" s="59" t="s">
        <v>98</v>
      </c>
      <c r="G212" s="38"/>
      <c r="H212" s="38"/>
      <c r="I212" s="57"/>
      <c r="J212" s="57"/>
      <c r="K212" s="68">
        <f>235-177</f>
        <v>58</v>
      </c>
      <c r="L212" s="68"/>
      <c r="M212" s="68"/>
      <c r="N212" s="68"/>
      <c r="O212" s="68"/>
      <c r="P212" s="68"/>
      <c r="Q212" s="68"/>
      <c r="R212" s="68"/>
      <c r="S212" s="23" t="str">
        <f t="shared" si="51"/>
        <v>0</v>
      </c>
      <c r="T212" s="26" t="s">
        <v>208</v>
      </c>
      <c r="U212" s="26">
        <f t="shared" ref="U212:U215" si="55">U211+1</f>
        <v>6</v>
      </c>
      <c r="V212" s="97" t="str">
        <f t="shared" si="52"/>
        <v>VEDTATT</v>
      </c>
      <c r="W212" s="97">
        <f t="shared" si="53"/>
        <v>0</v>
      </c>
      <c r="X212" s="99"/>
      <c r="Y212" s="26"/>
    </row>
    <row r="213" spans="1:25" s="36" customFormat="1" ht="18.75" customHeight="1" x14ac:dyDescent="0.25">
      <c r="A213" s="43" t="s">
        <v>5</v>
      </c>
      <c r="B213" s="43" t="str">
        <f t="shared" si="54"/>
        <v>T7</v>
      </c>
      <c r="C213" s="68" t="s">
        <v>663</v>
      </c>
      <c r="D213" s="77" t="s">
        <v>577</v>
      </c>
      <c r="E213" s="39" t="s">
        <v>108</v>
      </c>
      <c r="F213" s="59"/>
      <c r="G213" s="38"/>
      <c r="H213" s="38"/>
      <c r="I213" s="57"/>
      <c r="J213" s="57"/>
      <c r="K213" s="68"/>
      <c r="L213" s="68"/>
      <c r="M213" s="68"/>
      <c r="N213" s="68"/>
      <c r="O213" s="68"/>
      <c r="P213" s="68"/>
      <c r="Q213" s="68"/>
      <c r="R213" s="68"/>
      <c r="S213" s="23">
        <f t="shared" si="51"/>
        <v>0</v>
      </c>
      <c r="T213" s="26" t="s">
        <v>208</v>
      </c>
      <c r="U213" s="26">
        <f t="shared" si="55"/>
        <v>7</v>
      </c>
      <c r="V213" s="97">
        <f t="shared" si="52"/>
        <v>0</v>
      </c>
      <c r="W213" s="97">
        <f t="shared" si="53"/>
        <v>0</v>
      </c>
      <c r="X213" s="99"/>
      <c r="Y213" s="26"/>
    </row>
    <row r="214" spans="1:25" s="36" customFormat="1" ht="18.75" customHeight="1" x14ac:dyDescent="0.25">
      <c r="A214" s="43" t="s">
        <v>5</v>
      </c>
      <c r="B214" s="43" t="str">
        <f t="shared" si="54"/>
        <v>T8</v>
      </c>
      <c r="C214" s="68"/>
      <c r="D214" s="77" t="s">
        <v>580</v>
      </c>
      <c r="E214" s="39" t="s">
        <v>664</v>
      </c>
      <c r="F214" s="59" t="s">
        <v>98</v>
      </c>
      <c r="G214" s="38"/>
      <c r="H214" s="38"/>
      <c r="I214" s="57"/>
      <c r="J214" s="57"/>
      <c r="K214" s="68"/>
      <c r="L214" s="68"/>
      <c r="M214" s="68"/>
      <c r="N214" s="68"/>
      <c r="O214" s="68"/>
      <c r="P214" s="68"/>
      <c r="Q214" s="68"/>
      <c r="R214" s="68"/>
      <c r="S214" s="23" t="str">
        <f t="shared" si="51"/>
        <v>0</v>
      </c>
      <c r="T214" s="26" t="s">
        <v>208</v>
      </c>
      <c r="U214" s="26">
        <f t="shared" si="55"/>
        <v>8</v>
      </c>
      <c r="V214" s="97" t="str">
        <f t="shared" si="52"/>
        <v>VEDTATT</v>
      </c>
      <c r="W214" s="97">
        <f t="shared" si="53"/>
        <v>0</v>
      </c>
      <c r="X214" s="99"/>
      <c r="Y214" s="26" t="s">
        <v>665</v>
      </c>
    </row>
    <row r="215" spans="1:25" s="36" customFormat="1" ht="18.75" customHeight="1" x14ac:dyDescent="0.25">
      <c r="A215" s="43" t="s">
        <v>5</v>
      </c>
      <c r="B215" s="43" t="str">
        <f t="shared" si="54"/>
        <v>T9</v>
      </c>
      <c r="C215" s="68"/>
      <c r="D215" s="77" t="s">
        <v>581</v>
      </c>
      <c r="E215" s="39" t="s">
        <v>664</v>
      </c>
      <c r="F215" s="59" t="s">
        <v>98</v>
      </c>
      <c r="G215" s="38"/>
      <c r="H215" s="38"/>
      <c r="I215" s="57"/>
      <c r="J215" s="57"/>
      <c r="K215" s="68"/>
      <c r="L215" s="68"/>
      <c r="M215" s="68"/>
      <c r="N215" s="68"/>
      <c r="O215" s="68"/>
      <c r="P215" s="68"/>
      <c r="Q215" s="68"/>
      <c r="R215" s="68"/>
      <c r="S215" s="23" t="str">
        <f t="shared" si="51"/>
        <v>0</v>
      </c>
      <c r="T215" s="26" t="s">
        <v>208</v>
      </c>
      <c r="U215" s="26">
        <f t="shared" si="55"/>
        <v>9</v>
      </c>
      <c r="V215" s="97" t="str">
        <f t="shared" si="52"/>
        <v>VEDTATT</v>
      </c>
      <c r="W215" s="97">
        <f t="shared" si="53"/>
        <v>0</v>
      </c>
      <c r="X215" s="99"/>
      <c r="Y215" s="26" t="s">
        <v>665</v>
      </c>
    </row>
    <row r="216" spans="1:25" s="36" customFormat="1" ht="18.75" customHeight="1" x14ac:dyDescent="0.25">
      <c r="A216" s="159"/>
      <c r="B216" s="159" t="str">
        <f t="shared" si="54"/>
        <v/>
      </c>
      <c r="C216" s="160" t="s">
        <v>549</v>
      </c>
      <c r="D216" s="160"/>
      <c r="E216" s="160"/>
      <c r="F216" s="163" t="s">
        <v>98</v>
      </c>
      <c r="G216" s="160"/>
      <c r="H216" s="160"/>
      <c r="I216" s="160"/>
      <c r="J216" s="160"/>
      <c r="K216" s="161">
        <f t="shared" ref="K216:P216" si="56">SUMIF($F$207:$F$215,$F$216,K207:K215)</f>
        <v>636</v>
      </c>
      <c r="L216" s="161">
        <f t="shared" si="56"/>
        <v>8733</v>
      </c>
      <c r="M216" s="161">
        <f t="shared" si="56"/>
        <v>6320</v>
      </c>
      <c r="N216" s="161">
        <f t="shared" si="56"/>
        <v>15226</v>
      </c>
      <c r="O216" s="161">
        <f t="shared" si="56"/>
        <v>19585</v>
      </c>
      <c r="P216" s="161">
        <f t="shared" si="56"/>
        <v>19585</v>
      </c>
      <c r="Q216" s="161"/>
      <c r="R216" s="161"/>
      <c r="S216" s="23"/>
      <c r="T216" s="26"/>
      <c r="U216" s="26"/>
      <c r="V216" s="97"/>
      <c r="W216" s="97"/>
      <c r="X216" s="99"/>
      <c r="Y216" s="26"/>
    </row>
    <row r="217" spans="1:25" s="36" customFormat="1" ht="18.75" customHeight="1" x14ac:dyDescent="0.25">
      <c r="A217" s="159"/>
      <c r="B217" s="159"/>
      <c r="C217" s="160" t="s">
        <v>549</v>
      </c>
      <c r="D217" s="160"/>
      <c r="E217" s="164" t="s">
        <v>108</v>
      </c>
      <c r="F217" s="162"/>
      <c r="G217" s="162"/>
      <c r="H217" s="162"/>
      <c r="I217" s="162"/>
      <c r="J217" s="162"/>
      <c r="K217" s="161">
        <f t="shared" ref="K217:P217" si="57">SUMIF($E$207:$E$215,$E$217,K207:K215)</f>
        <v>0</v>
      </c>
      <c r="L217" s="161">
        <f t="shared" si="57"/>
        <v>0</v>
      </c>
      <c r="M217" s="161">
        <f t="shared" si="57"/>
        <v>0</v>
      </c>
      <c r="N217" s="161">
        <f t="shared" si="57"/>
        <v>0</v>
      </c>
      <c r="O217" s="161">
        <f t="shared" si="57"/>
        <v>0</v>
      </c>
      <c r="P217" s="161">
        <f t="shared" si="57"/>
        <v>0</v>
      </c>
      <c r="Q217" s="161"/>
      <c r="R217" s="161"/>
      <c r="S217" s="23"/>
      <c r="T217" s="26"/>
      <c r="U217" s="26"/>
      <c r="V217" s="97"/>
      <c r="W217" s="97"/>
      <c r="X217" s="99"/>
      <c r="Y217" s="26"/>
    </row>
    <row r="218" spans="1:25" s="36" customFormat="1" ht="18.75" customHeight="1" x14ac:dyDescent="0.25">
      <c r="A218" s="43"/>
      <c r="B218" s="43"/>
      <c r="C218" s="14" t="s">
        <v>666</v>
      </c>
      <c r="D218" s="77"/>
      <c r="E218" s="48"/>
      <c r="F218" s="70"/>
      <c r="G218" s="38"/>
      <c r="H218" s="29"/>
      <c r="I218" s="57"/>
      <c r="J218" s="57"/>
      <c r="K218" s="68"/>
      <c r="L218" s="68"/>
      <c r="M218" s="68"/>
      <c r="N218" s="68"/>
      <c r="O218" s="68"/>
      <c r="P218" s="68"/>
      <c r="Q218" s="68"/>
      <c r="R218" s="68"/>
      <c r="S218" s="23" t="str">
        <f>IF(D218="INTERNHUSLEIE",K218,"0")</f>
        <v>0</v>
      </c>
      <c r="T218" s="26"/>
      <c r="U218" s="26"/>
      <c r="V218" s="97">
        <f>IF(F218="VEDTATT","VEDTATT",0)</f>
        <v>0</v>
      </c>
      <c r="W218" s="97">
        <f>IF(F218="MÅ","Nye tiltak",0)</f>
        <v>0</v>
      </c>
      <c r="X218" s="99"/>
      <c r="Y218" s="26"/>
    </row>
    <row r="219" spans="1:25" s="36" customFormat="1" ht="18.75" customHeight="1" x14ac:dyDescent="0.25">
      <c r="A219" s="41"/>
      <c r="B219" s="41" t="s">
        <v>152</v>
      </c>
      <c r="C219" s="3" t="s">
        <v>667</v>
      </c>
      <c r="D219" s="3"/>
      <c r="E219" s="50"/>
      <c r="F219" s="50"/>
      <c r="G219" s="50"/>
      <c r="H219" s="50"/>
      <c r="I219" s="54">
        <f t="shared" ref="I219:O219" si="58">SUMIF($A:$A,"TEKNISK",I:I)</f>
        <v>0</v>
      </c>
      <c r="J219" s="54">
        <f t="shared" si="58"/>
        <v>0</v>
      </c>
      <c r="K219" s="54">
        <f t="shared" si="58"/>
        <v>636</v>
      </c>
      <c r="L219" s="54">
        <f t="shared" si="58"/>
        <v>8733</v>
      </c>
      <c r="M219" s="54">
        <f t="shared" si="58"/>
        <v>6320</v>
      </c>
      <c r="N219" s="54">
        <f t="shared" si="58"/>
        <v>15226</v>
      </c>
      <c r="O219" s="54">
        <f t="shared" si="58"/>
        <v>19585</v>
      </c>
      <c r="P219" s="54"/>
      <c r="Q219" s="54"/>
      <c r="R219" s="54"/>
      <c r="S219" s="23" t="str">
        <f>IF(D219="INTERNHUSLEIE",K219,"0")</f>
        <v>0</v>
      </c>
      <c r="T219" s="26"/>
      <c r="U219" s="26"/>
      <c r="V219" s="97">
        <f>IF(F219="VEDTATT","VEDTATT",0)</f>
        <v>0</v>
      </c>
      <c r="W219" s="97">
        <f>IF(F219="MÅ","Nye tiltak",0)</f>
        <v>0</v>
      </c>
      <c r="X219" s="99"/>
      <c r="Y219" s="26"/>
    </row>
    <row r="220" spans="1:25" s="36" customFormat="1" ht="18.75" customHeight="1" x14ac:dyDescent="0.25">
      <c r="A220" s="46"/>
      <c r="B220" s="46"/>
      <c r="C220" s="11" t="s">
        <v>12</v>
      </c>
      <c r="D220" s="11"/>
      <c r="E220" s="48"/>
      <c r="F220" s="70"/>
      <c r="G220" s="22"/>
      <c r="H220" s="22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23" t="str">
        <f>IF(D220="INTERNHUSLEIE",K220,"0")</f>
        <v>0</v>
      </c>
      <c r="T220" s="26" t="s">
        <v>240</v>
      </c>
      <c r="U220" s="26"/>
      <c r="V220" s="97">
        <f>IF(F220="VEDTATT","VEDTATT",0)</f>
        <v>0</v>
      </c>
      <c r="W220" s="97">
        <f>IF(F220="MÅ","Nye tiltak",0)</f>
        <v>0</v>
      </c>
      <c r="X220" s="99"/>
      <c r="Y220" s="26"/>
    </row>
    <row r="221" spans="1:25" s="36" customFormat="1" ht="18.75" customHeight="1" x14ac:dyDescent="0.25">
      <c r="A221" s="43" t="s">
        <v>6</v>
      </c>
      <c r="B221" s="217"/>
      <c r="C221" s="105" t="s">
        <v>668</v>
      </c>
      <c r="D221" s="77" t="s">
        <v>577</v>
      </c>
      <c r="E221" s="39" t="s">
        <v>108</v>
      </c>
      <c r="F221" s="220"/>
      <c r="G221" s="218"/>
      <c r="H221" s="218"/>
      <c r="I221" s="219"/>
      <c r="J221" s="219"/>
      <c r="K221" s="219"/>
      <c r="L221" s="55">
        <v>350</v>
      </c>
      <c r="M221" s="55"/>
      <c r="N221" s="55"/>
      <c r="O221" s="55"/>
      <c r="P221" s="55"/>
      <c r="Q221" s="55"/>
      <c r="R221" s="55"/>
      <c r="S221" s="23"/>
      <c r="T221" s="26"/>
      <c r="U221" s="26"/>
      <c r="V221" s="97"/>
      <c r="W221" s="97"/>
      <c r="X221" s="99"/>
      <c r="Y221" s="26"/>
    </row>
    <row r="222" spans="1:25" s="36" customFormat="1" ht="18.75" customHeight="1" x14ac:dyDescent="0.25">
      <c r="A222" s="43" t="s">
        <v>6</v>
      </c>
      <c r="B222" s="217"/>
      <c r="C222" s="105" t="s">
        <v>669</v>
      </c>
      <c r="D222" s="77" t="s">
        <v>577</v>
      </c>
      <c r="E222" s="39" t="s">
        <v>108</v>
      </c>
      <c r="F222" s="59" t="s">
        <v>98</v>
      </c>
      <c r="G222" s="218"/>
      <c r="H222" s="218"/>
      <c r="I222" s="219"/>
      <c r="J222" s="219"/>
      <c r="K222" s="219"/>
      <c r="L222" s="55">
        <v>918</v>
      </c>
      <c r="M222" s="55"/>
      <c r="N222" s="55"/>
      <c r="O222" s="55"/>
      <c r="P222" s="55"/>
      <c r="Q222" s="55"/>
      <c r="R222" s="55"/>
      <c r="S222" s="23"/>
      <c r="T222" s="26" t="s">
        <v>240</v>
      </c>
      <c r="U222" s="26"/>
      <c r="V222" s="97"/>
      <c r="W222" s="97"/>
      <c r="X222" s="99"/>
      <c r="Y222" s="26"/>
    </row>
    <row r="223" spans="1:25" s="36" customFormat="1" ht="18.75" customHeight="1" x14ac:dyDescent="0.25">
      <c r="A223" s="41"/>
      <c r="B223" s="41" t="s">
        <v>152</v>
      </c>
      <c r="C223" s="3" t="s">
        <v>246</v>
      </c>
      <c r="D223" s="3"/>
      <c r="E223" s="50"/>
      <c r="F223" s="50"/>
      <c r="G223" s="50"/>
      <c r="H223" s="50">
        <f t="shared" ref="H223:O223" si="59">SUMIF($A:$A,"ORG",H:H)</f>
        <v>0</v>
      </c>
      <c r="I223" s="54">
        <f t="shared" si="59"/>
        <v>0</v>
      </c>
      <c r="J223" s="54">
        <f t="shared" si="59"/>
        <v>0</v>
      </c>
      <c r="K223" s="54">
        <f t="shared" si="59"/>
        <v>0</v>
      </c>
      <c r="L223" s="54">
        <f t="shared" si="59"/>
        <v>1268</v>
      </c>
      <c r="M223" s="54">
        <f t="shared" si="59"/>
        <v>0</v>
      </c>
      <c r="N223" s="54">
        <f t="shared" si="59"/>
        <v>0</v>
      </c>
      <c r="O223" s="54">
        <f t="shared" si="59"/>
        <v>0</v>
      </c>
      <c r="P223" s="54"/>
      <c r="Q223" s="54"/>
      <c r="R223" s="54"/>
      <c r="S223" s="23" t="str">
        <f t="shared" ref="S223:S235" si="60">IF(D223="INTERNHUSLEIE",K223,"0")</f>
        <v>0</v>
      </c>
      <c r="T223" s="26"/>
      <c r="U223" s="26"/>
      <c r="V223" s="97">
        <f t="shared" ref="V223:V231" si="61">IF(F223="VEDTATT","VEDTATT",0)</f>
        <v>0</v>
      </c>
      <c r="W223" s="97">
        <f t="shared" ref="W223:W231" si="62">IF(F223="MÅ","Nye tiltak",0)</f>
        <v>0</v>
      </c>
      <c r="X223" s="99"/>
      <c r="Y223" s="26"/>
    </row>
    <row r="224" spans="1:25" s="36" customFormat="1" ht="18.75" customHeight="1" x14ac:dyDescent="0.25">
      <c r="A224" s="46"/>
      <c r="B224" s="46"/>
      <c r="C224" s="11" t="s">
        <v>13</v>
      </c>
      <c r="D224" s="11"/>
      <c r="E224" s="48"/>
      <c r="F224" s="70"/>
      <c r="G224" s="22"/>
      <c r="H224" s="22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23" t="str">
        <f t="shared" si="60"/>
        <v>0</v>
      </c>
      <c r="T224" s="26"/>
      <c r="U224" s="26"/>
      <c r="V224" s="97">
        <f t="shared" si="61"/>
        <v>0</v>
      </c>
      <c r="W224" s="97">
        <f t="shared" si="62"/>
        <v>0</v>
      </c>
      <c r="X224" s="99"/>
      <c r="Y224" s="26"/>
    </row>
    <row r="225" spans="1:30" s="36" customFormat="1" ht="18.75" customHeight="1" x14ac:dyDescent="0.25">
      <c r="A225" s="41"/>
      <c r="B225" s="41" t="s">
        <v>152</v>
      </c>
      <c r="C225" s="3" t="s">
        <v>254</v>
      </c>
      <c r="D225" s="3"/>
      <c r="E225" s="50"/>
      <c r="F225" s="50"/>
      <c r="G225" s="50"/>
      <c r="H225" s="50"/>
      <c r="I225" s="54">
        <f t="shared" ref="I225:O225" si="63">SUMIF($A:$A,"ØK",I:I)</f>
        <v>0</v>
      </c>
      <c r="J225" s="54">
        <f t="shared" si="63"/>
        <v>0</v>
      </c>
      <c r="K225" s="54">
        <f t="shared" si="63"/>
        <v>0</v>
      </c>
      <c r="L225" s="54">
        <f t="shared" si="63"/>
        <v>0</v>
      </c>
      <c r="M225" s="54">
        <f t="shared" si="63"/>
        <v>0</v>
      </c>
      <c r="N225" s="54">
        <f t="shared" si="63"/>
        <v>0</v>
      </c>
      <c r="O225" s="54">
        <f t="shared" si="63"/>
        <v>0</v>
      </c>
      <c r="P225" s="54"/>
      <c r="Q225" s="54"/>
      <c r="R225" s="54"/>
      <c r="S225" s="23" t="str">
        <f t="shared" si="60"/>
        <v>0</v>
      </c>
      <c r="T225" s="26"/>
      <c r="U225" s="26"/>
      <c r="V225" s="97">
        <f t="shared" si="61"/>
        <v>0</v>
      </c>
      <c r="W225" s="97">
        <f t="shared" si="62"/>
        <v>0</v>
      </c>
      <c r="X225" s="99"/>
      <c r="Y225" s="26"/>
    </row>
    <row r="226" spans="1:30" s="36" customFormat="1" ht="18.75" customHeight="1" x14ac:dyDescent="0.25">
      <c r="A226" s="46"/>
      <c r="B226" s="46"/>
      <c r="C226" s="11" t="s">
        <v>255</v>
      </c>
      <c r="D226" s="11"/>
      <c r="E226" s="48"/>
      <c r="F226" s="59"/>
      <c r="G226" s="22"/>
      <c r="H226" s="22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23" t="str">
        <f t="shared" si="60"/>
        <v>0</v>
      </c>
      <c r="T226" s="26"/>
      <c r="U226" s="26"/>
      <c r="V226" s="97">
        <f t="shared" si="61"/>
        <v>0</v>
      </c>
      <c r="W226" s="97">
        <f t="shared" si="62"/>
        <v>0</v>
      </c>
      <c r="X226" s="99"/>
      <c r="Y226" s="26"/>
    </row>
    <row r="227" spans="1:30" s="36" customFormat="1" ht="18.75" customHeight="1" x14ac:dyDescent="0.25">
      <c r="A227" s="46"/>
      <c r="B227" s="46"/>
      <c r="C227" s="14" t="s">
        <v>670</v>
      </c>
      <c r="D227" s="14"/>
      <c r="E227" s="48"/>
      <c r="F227" s="59"/>
      <c r="G227" s="22"/>
      <c r="H227" s="22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23" t="str">
        <f t="shared" si="60"/>
        <v>0</v>
      </c>
      <c r="T227" s="26"/>
      <c r="U227" s="26"/>
      <c r="V227" s="97">
        <f t="shared" si="61"/>
        <v>0</v>
      </c>
      <c r="W227" s="97">
        <f t="shared" si="62"/>
        <v>0</v>
      </c>
      <c r="X227" s="99"/>
      <c r="Y227" s="26"/>
    </row>
    <row r="228" spans="1:30" s="36" customFormat="1" ht="18.75" customHeight="1" x14ac:dyDescent="0.25">
      <c r="A228" s="39"/>
      <c r="B228" s="43" t="str">
        <f t="shared" ref="B228:B248" si="64">IF(U228,T228&amp;U228,"")</f>
        <v/>
      </c>
      <c r="C228" s="14" t="s">
        <v>258</v>
      </c>
      <c r="D228" s="77"/>
      <c r="E228" s="48"/>
      <c r="F228" s="59"/>
      <c r="G228" s="29"/>
      <c r="H228" s="29"/>
      <c r="I228" s="57"/>
      <c r="J228" s="57"/>
      <c r="K228" s="68"/>
      <c r="L228" s="68"/>
      <c r="M228" s="68"/>
      <c r="N228" s="68"/>
      <c r="O228" s="68"/>
      <c r="P228" s="68"/>
      <c r="Q228" s="68"/>
      <c r="R228" s="68"/>
      <c r="S228" s="23" t="str">
        <f t="shared" si="60"/>
        <v>0</v>
      </c>
      <c r="T228" s="26"/>
      <c r="U228" s="26"/>
      <c r="V228" s="97">
        <f t="shared" si="61"/>
        <v>0</v>
      </c>
      <c r="W228" s="97">
        <f t="shared" si="62"/>
        <v>0</v>
      </c>
      <c r="X228" s="99"/>
      <c r="Y228" s="26"/>
    </row>
    <row r="229" spans="1:30" s="36" customFormat="1" ht="18.75" customHeight="1" x14ac:dyDescent="0.25">
      <c r="A229" s="39" t="s">
        <v>8</v>
      </c>
      <c r="B229" s="43" t="str">
        <f t="shared" si="64"/>
        <v>F1</v>
      </c>
      <c r="C229" s="68" t="s">
        <v>671</v>
      </c>
      <c r="D229" s="77" t="s">
        <v>577</v>
      </c>
      <c r="E229" s="70" t="s">
        <v>657</v>
      </c>
      <c r="F229" s="59" t="s">
        <v>98</v>
      </c>
      <c r="G229" s="29"/>
      <c r="H229" s="29"/>
      <c r="I229" s="67">
        <v>39000</v>
      </c>
      <c r="J229" s="105">
        <v>55000</v>
      </c>
      <c r="K229" s="67">
        <v>5584</v>
      </c>
      <c r="L229" s="68">
        <v>22858</v>
      </c>
      <c r="M229" s="68"/>
      <c r="N229" s="68"/>
      <c r="O229" s="68"/>
      <c r="P229" s="68"/>
      <c r="Q229" s="68"/>
      <c r="R229" s="68"/>
      <c r="S229" s="23">
        <f t="shared" si="60"/>
        <v>5584</v>
      </c>
      <c r="T229" s="26" t="s">
        <v>257</v>
      </c>
      <c r="U229" s="26">
        <v>1</v>
      </c>
      <c r="V229" s="97" t="str">
        <f t="shared" si="61"/>
        <v>VEDTATT</v>
      </c>
      <c r="W229" s="97">
        <f t="shared" si="62"/>
        <v>0</v>
      </c>
      <c r="X229" s="99"/>
      <c r="Y229" s="26" t="s">
        <v>672</v>
      </c>
    </row>
    <row r="230" spans="1:30" s="36" customFormat="1" ht="18.75" customHeight="1" x14ac:dyDescent="0.25">
      <c r="A230" s="39" t="s">
        <v>8</v>
      </c>
      <c r="B230" s="43" t="str">
        <f t="shared" si="64"/>
        <v>F2</v>
      </c>
      <c r="C230" s="68" t="s">
        <v>671</v>
      </c>
      <c r="D230" s="77" t="s">
        <v>580</v>
      </c>
      <c r="E230" s="70" t="s">
        <v>657</v>
      </c>
      <c r="F230" s="59" t="s">
        <v>98</v>
      </c>
      <c r="G230" s="29"/>
      <c r="H230" s="29"/>
      <c r="I230" s="67"/>
      <c r="J230" s="105"/>
      <c r="K230" s="67">
        <v>143</v>
      </c>
      <c r="L230" s="68">
        <v>1679</v>
      </c>
      <c r="M230" s="68"/>
      <c r="N230" s="68"/>
      <c r="O230" s="68"/>
      <c r="P230" s="68"/>
      <c r="Q230" s="68"/>
      <c r="R230" s="68"/>
      <c r="S230" s="23" t="str">
        <f t="shared" si="60"/>
        <v>0</v>
      </c>
      <c r="T230" s="26" t="s">
        <v>257</v>
      </c>
      <c r="U230" s="26">
        <f>U229+1</f>
        <v>2</v>
      </c>
      <c r="V230" s="97" t="str">
        <f t="shared" si="61"/>
        <v>VEDTATT</v>
      </c>
      <c r="W230" s="97">
        <f t="shared" si="62"/>
        <v>0</v>
      </c>
      <c r="X230" s="99"/>
      <c r="Y230" s="26"/>
    </row>
    <row r="231" spans="1:30" s="36" customFormat="1" ht="18.75" customHeight="1" x14ac:dyDescent="0.25">
      <c r="A231" s="39" t="s">
        <v>8</v>
      </c>
      <c r="B231" s="43" t="str">
        <f t="shared" si="64"/>
        <v>F3</v>
      </c>
      <c r="C231" s="68" t="s">
        <v>671</v>
      </c>
      <c r="D231" s="77" t="s">
        <v>581</v>
      </c>
      <c r="E231" s="70" t="s">
        <v>657</v>
      </c>
      <c r="F231" s="59" t="s">
        <v>98</v>
      </c>
      <c r="G231" s="29"/>
      <c r="H231" s="29"/>
      <c r="I231" s="67"/>
      <c r="J231" s="105"/>
      <c r="K231" s="67">
        <v>95</v>
      </c>
      <c r="L231" s="68">
        <v>1114</v>
      </c>
      <c r="M231" s="68"/>
      <c r="N231" s="68"/>
      <c r="O231" s="68"/>
      <c r="P231" s="68"/>
      <c r="Q231" s="68"/>
      <c r="R231" s="68"/>
      <c r="S231" s="23" t="str">
        <f t="shared" si="60"/>
        <v>0</v>
      </c>
      <c r="T231" s="26" t="s">
        <v>257</v>
      </c>
      <c r="U231" s="26">
        <f t="shared" ref="U231:U236" si="65">U230+1</f>
        <v>3</v>
      </c>
      <c r="V231" s="97" t="str">
        <f t="shared" si="61"/>
        <v>VEDTATT</v>
      </c>
      <c r="W231" s="97">
        <f t="shared" si="62"/>
        <v>0</v>
      </c>
      <c r="X231" s="99"/>
      <c r="Y231" s="26"/>
    </row>
    <row r="232" spans="1:30" s="36" customFormat="1" ht="18.75" customHeight="1" x14ac:dyDescent="0.25">
      <c r="A232" s="39" t="s">
        <v>8</v>
      </c>
      <c r="B232" s="43" t="str">
        <f t="shared" si="64"/>
        <v>F4</v>
      </c>
      <c r="C232" s="68" t="s">
        <v>673</v>
      </c>
      <c r="D232" s="77" t="s">
        <v>577</v>
      </c>
      <c r="E232" s="39" t="s">
        <v>662</v>
      </c>
      <c r="F232" s="59" t="s">
        <v>98</v>
      </c>
      <c r="G232" s="29"/>
      <c r="H232" s="29"/>
      <c r="I232" s="67"/>
      <c r="J232" s="105"/>
      <c r="K232" s="68">
        <v>511</v>
      </c>
      <c r="L232" s="68">
        <v>-1867</v>
      </c>
      <c r="M232" s="221">
        <f>-2802-L232</f>
        <v>-935</v>
      </c>
      <c r="N232" s="221">
        <v>-935</v>
      </c>
      <c r="O232" s="221">
        <v>-935</v>
      </c>
      <c r="P232" s="221">
        <v>-935</v>
      </c>
      <c r="Q232" s="252"/>
      <c r="R232" s="252"/>
      <c r="S232" s="23">
        <f t="shared" si="60"/>
        <v>511</v>
      </c>
      <c r="T232" s="26" t="s">
        <v>257</v>
      </c>
      <c r="U232" s="26">
        <f t="shared" si="65"/>
        <v>4</v>
      </c>
      <c r="V232" s="97"/>
      <c r="W232" s="97"/>
      <c r="X232" s="99"/>
      <c r="Y232" s="26"/>
    </row>
    <row r="233" spans="1:30" s="36" customFormat="1" ht="18.75" customHeight="1" x14ac:dyDescent="0.25">
      <c r="A233" s="39" t="s">
        <v>8</v>
      </c>
      <c r="B233" s="43" t="str">
        <f t="shared" si="64"/>
        <v>F5</v>
      </c>
      <c r="C233" s="68" t="s">
        <v>673</v>
      </c>
      <c r="D233" s="77" t="s">
        <v>580</v>
      </c>
      <c r="E233" s="39" t="s">
        <v>662</v>
      </c>
      <c r="F233" s="59" t="s">
        <v>98</v>
      </c>
      <c r="G233" s="29"/>
      <c r="H233" s="29"/>
      <c r="I233" s="67">
        <v>39000</v>
      </c>
      <c r="J233" s="68">
        <v>-200</v>
      </c>
      <c r="K233" s="67">
        <v>871</v>
      </c>
      <c r="L233" s="68">
        <v>-1111</v>
      </c>
      <c r="M233" s="221">
        <f>-1667-L233</f>
        <v>-556</v>
      </c>
      <c r="N233" s="221">
        <v>-556</v>
      </c>
      <c r="O233" s="221">
        <v>-556</v>
      </c>
      <c r="P233" s="276">
        <v>-556</v>
      </c>
      <c r="Q233" s="252"/>
      <c r="R233" s="252"/>
      <c r="S233" s="23" t="str">
        <f t="shared" si="60"/>
        <v>0</v>
      </c>
      <c r="T233" s="26" t="s">
        <v>257</v>
      </c>
      <c r="U233" s="26">
        <f t="shared" si="65"/>
        <v>5</v>
      </c>
      <c r="V233" s="97"/>
      <c r="W233" s="97"/>
      <c r="X233" s="99"/>
      <c r="Y233" s="26"/>
    </row>
    <row r="234" spans="1:30" s="36" customFormat="1" ht="18.75" customHeight="1" x14ac:dyDescent="0.25">
      <c r="A234" s="39" t="s">
        <v>8</v>
      </c>
      <c r="B234" s="43" t="str">
        <f t="shared" si="64"/>
        <v>F6</v>
      </c>
      <c r="C234" s="68" t="s">
        <v>673</v>
      </c>
      <c r="D234" s="77" t="s">
        <v>581</v>
      </c>
      <c r="E234" s="39" t="s">
        <v>662</v>
      </c>
      <c r="F234" s="59" t="s">
        <v>98</v>
      </c>
      <c r="G234" s="29"/>
      <c r="H234" s="29"/>
      <c r="I234" s="57">
        <f>-900+252</f>
        <v>-648</v>
      </c>
      <c r="J234" s="57">
        <v>-203</v>
      </c>
      <c r="K234" s="67">
        <v>51</v>
      </c>
      <c r="L234" s="68">
        <v>-1406</v>
      </c>
      <c r="M234" s="221">
        <v>-703</v>
      </c>
      <c r="N234" s="221">
        <v>-703</v>
      </c>
      <c r="O234" s="221">
        <v>-703</v>
      </c>
      <c r="P234" s="221">
        <v>-703</v>
      </c>
      <c r="Q234" s="252"/>
      <c r="R234" s="252"/>
      <c r="S234" s="23" t="str">
        <f t="shared" si="60"/>
        <v>0</v>
      </c>
      <c r="T234" s="26" t="s">
        <v>257</v>
      </c>
      <c r="U234" s="26">
        <f t="shared" si="65"/>
        <v>6</v>
      </c>
      <c r="V234" s="97" t="str">
        <f>IF(F234="VEDTATT","VEDTATT",0)</f>
        <v>VEDTATT</v>
      </c>
      <c r="W234" s="97">
        <f>IF(F234="MÅ","Nye tiltak",0)</f>
        <v>0</v>
      </c>
      <c r="X234" s="99"/>
      <c r="Y234" s="26"/>
    </row>
    <row r="235" spans="1:30" s="36" customFormat="1" ht="18.75" customHeight="1" x14ac:dyDescent="0.25">
      <c r="A235" s="226" t="s">
        <v>8</v>
      </c>
      <c r="B235" s="227" t="str">
        <f t="shared" si="64"/>
        <v>F7</v>
      </c>
      <c r="C235" s="67" t="s">
        <v>674</v>
      </c>
      <c r="D235" s="228" t="s">
        <v>577</v>
      </c>
      <c r="E235" s="39" t="s">
        <v>108</v>
      </c>
      <c r="F235" s="229"/>
      <c r="G235" s="230"/>
      <c r="H235" s="230"/>
      <c r="I235" s="67">
        <f>-900+252</f>
        <v>-648</v>
      </c>
      <c r="J235" s="67">
        <v>-203</v>
      </c>
      <c r="K235" s="67">
        <v>156</v>
      </c>
      <c r="L235" s="67"/>
      <c r="M235" s="222"/>
      <c r="N235" s="222">
        <f>4986-270</f>
        <v>4716</v>
      </c>
      <c r="O235" s="222">
        <f>7478-405</f>
        <v>7073</v>
      </c>
      <c r="P235" s="222">
        <f>7478-405</f>
        <v>7073</v>
      </c>
      <c r="Q235" s="440"/>
      <c r="R235" s="440"/>
      <c r="S235" s="23">
        <f t="shared" si="60"/>
        <v>156</v>
      </c>
      <c r="T235" s="26" t="s">
        <v>257</v>
      </c>
      <c r="U235" s="26">
        <f t="shared" si="65"/>
        <v>7</v>
      </c>
      <c r="V235" s="97"/>
      <c r="W235" s="97"/>
      <c r="X235" s="99"/>
      <c r="Y235" s="216" t="s">
        <v>675</v>
      </c>
      <c r="Z235" s="216"/>
      <c r="AA235" s="216"/>
      <c r="AB235" s="216"/>
      <c r="AC235" s="216"/>
      <c r="AD235" s="216"/>
    </row>
    <row r="236" spans="1:30" s="36" customFormat="1" ht="18.75" customHeight="1" x14ac:dyDescent="0.25">
      <c r="A236" s="39" t="s">
        <v>8</v>
      </c>
      <c r="B236" s="43" t="str">
        <f t="shared" si="64"/>
        <v>F8</v>
      </c>
      <c r="D236" s="77" t="s">
        <v>577</v>
      </c>
      <c r="E236" s="39" t="s">
        <v>108</v>
      </c>
      <c r="F236" s="59"/>
      <c r="G236" s="29"/>
      <c r="H236" s="29"/>
      <c r="I236" s="57"/>
      <c r="J236" s="57"/>
      <c r="K236" s="67"/>
      <c r="L236" s="68"/>
      <c r="M236" s="68"/>
      <c r="N236" s="68"/>
      <c r="O236" s="68"/>
      <c r="P236" s="68"/>
      <c r="Q236" s="68"/>
      <c r="R236" s="68"/>
      <c r="S236" s="23">
        <f>IF(D235="INTERNHUSLEIE",K235,"0")</f>
        <v>156</v>
      </c>
      <c r="T236" s="26" t="s">
        <v>257</v>
      </c>
      <c r="U236" s="26">
        <f t="shared" si="65"/>
        <v>8</v>
      </c>
      <c r="V236" s="97">
        <f>IF(F235="VEDTATT","VEDTATT",0)</f>
        <v>0</v>
      </c>
      <c r="W236" s="97">
        <f>IF(F235="MÅ","Nye tiltak",0)</f>
        <v>0</v>
      </c>
      <c r="X236" s="103"/>
      <c r="Y236" s="26"/>
    </row>
    <row r="237" spans="1:30" s="36" customFormat="1" ht="18.75" customHeight="1" x14ac:dyDescent="0.25">
      <c r="A237" s="159"/>
      <c r="B237" s="159" t="str">
        <f t="shared" si="64"/>
        <v/>
      </c>
      <c r="C237" s="160" t="s">
        <v>551</v>
      </c>
      <c r="D237" s="160"/>
      <c r="E237" s="160"/>
      <c r="F237" s="163" t="s">
        <v>98</v>
      </c>
      <c r="G237" s="160"/>
      <c r="H237" s="160"/>
      <c r="I237" s="160"/>
      <c r="J237" s="160"/>
      <c r="K237" s="161">
        <f t="shared" ref="K237:P237" si="66">SUMIF($F$229:$F$235,$F$237,K229:K235)</f>
        <v>7255</v>
      </c>
      <c r="L237" s="161">
        <f t="shared" si="66"/>
        <v>21267</v>
      </c>
      <c r="M237" s="161">
        <f t="shared" si="66"/>
        <v>-2194</v>
      </c>
      <c r="N237" s="161">
        <f t="shared" si="66"/>
        <v>-2194</v>
      </c>
      <c r="O237" s="161">
        <f t="shared" si="66"/>
        <v>-2194</v>
      </c>
      <c r="P237" s="161">
        <f t="shared" si="66"/>
        <v>-2194</v>
      </c>
      <c r="Q237" s="161"/>
      <c r="R237" s="161"/>
      <c r="S237" s="23"/>
      <c r="T237" s="26"/>
      <c r="U237" s="26"/>
      <c r="V237" s="97"/>
      <c r="W237" s="97"/>
      <c r="X237" s="103"/>
      <c r="Y237" s="26"/>
    </row>
    <row r="238" spans="1:30" s="36" customFormat="1" ht="18.75" customHeight="1" x14ac:dyDescent="0.25">
      <c r="A238" s="159"/>
      <c r="B238" s="159"/>
      <c r="C238" s="160" t="s">
        <v>551</v>
      </c>
      <c r="D238" s="160"/>
      <c r="E238" s="164" t="s">
        <v>108</v>
      </c>
      <c r="F238" s="162"/>
      <c r="G238" s="162"/>
      <c r="H238" s="162"/>
      <c r="I238" s="162"/>
      <c r="J238" s="162"/>
      <c r="K238" s="161">
        <f>SUMIF($E$229:$E$235,$E$238,K229:K235)</f>
        <v>156</v>
      </c>
      <c r="L238" s="161">
        <f>SUMIF($E$229:$E$235,$E$238,L229:L235)</f>
        <v>0</v>
      </c>
      <c r="M238" s="161">
        <f>SUMIF($E$229:$E$236,$E$238,M229:M236)</f>
        <v>0</v>
      </c>
      <c r="N238" s="161">
        <f>SUMIF($E$229:$E$236,$E$238,N229:N236)</f>
        <v>4716</v>
      </c>
      <c r="O238" s="161">
        <f>SUMIF($E$229:$E$236,$E$238,O229:O236)</f>
        <v>7073</v>
      </c>
      <c r="P238" s="161">
        <f>SUMIF($E$229:$E$236,$E$238,P229:P236)</f>
        <v>7073</v>
      </c>
      <c r="Q238" s="161"/>
      <c r="R238" s="161"/>
      <c r="S238" s="23"/>
      <c r="T238" s="26"/>
      <c r="U238" s="26"/>
      <c r="V238" s="97"/>
      <c r="W238" s="97"/>
      <c r="X238" s="103"/>
      <c r="Y238" s="26"/>
    </row>
    <row r="239" spans="1:30" s="36" customFormat="1" ht="18.75" customHeight="1" x14ac:dyDescent="0.25">
      <c r="A239" s="39"/>
      <c r="B239" s="43" t="str">
        <f t="shared" si="64"/>
        <v/>
      </c>
      <c r="C239" s="80" t="s">
        <v>287</v>
      </c>
      <c r="D239" s="77"/>
      <c r="E239" s="81"/>
      <c r="F239" s="69"/>
      <c r="G239" s="29"/>
      <c r="H239" s="29"/>
      <c r="I239" s="57"/>
      <c r="J239" s="57"/>
      <c r="K239" s="68"/>
      <c r="L239" s="68"/>
      <c r="M239" s="68"/>
      <c r="N239" s="68"/>
      <c r="O239" s="68"/>
      <c r="P239" s="68"/>
      <c r="Q239" s="68"/>
      <c r="R239" s="68"/>
      <c r="S239" s="23" t="str">
        <f t="shared" ref="S239:S245" si="67">IF(D239="INTERNHUSLEIE",K239,"0")</f>
        <v>0</v>
      </c>
      <c r="T239" s="26"/>
      <c r="U239" s="26"/>
      <c r="V239" s="97">
        <f>IF(F239="VEDTATT","VEDTATT",0)</f>
        <v>0</v>
      </c>
      <c r="W239" s="97">
        <f>IF(F239="MÅ","Nye tiltak",0)</f>
        <v>0</v>
      </c>
      <c r="X239" s="99"/>
      <c r="Y239" s="26"/>
    </row>
    <row r="240" spans="1:30" s="36" customFormat="1" x14ac:dyDescent="0.25">
      <c r="A240" s="70"/>
      <c r="B240" s="43" t="str">
        <f t="shared" si="64"/>
        <v/>
      </c>
      <c r="C240" s="80" t="s">
        <v>298</v>
      </c>
      <c r="D240" s="77"/>
      <c r="E240" s="81"/>
      <c r="F240" s="69"/>
      <c r="G240" s="79"/>
      <c r="H240" s="79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23" t="str">
        <f t="shared" si="67"/>
        <v>0</v>
      </c>
      <c r="T240" s="26"/>
      <c r="U240" s="26"/>
      <c r="V240" s="97">
        <f>IF(F240="VEDTATT","VEDTATT",0)</f>
        <v>0</v>
      </c>
      <c r="W240" s="97">
        <f>IF(F240="MÅ","Nye tiltak",0)</f>
        <v>0</v>
      </c>
      <c r="X240" s="99"/>
      <c r="Y240" s="26"/>
    </row>
    <row r="241" spans="1:25" s="36" customFormat="1" ht="18.75" customHeight="1" x14ac:dyDescent="0.25">
      <c r="A241" s="169" t="s">
        <v>8</v>
      </c>
      <c r="B241" s="170" t="str">
        <f t="shared" si="64"/>
        <v>F9</v>
      </c>
      <c r="C241" s="171" t="s">
        <v>676</v>
      </c>
      <c r="D241" s="172" t="s">
        <v>556</v>
      </c>
      <c r="E241" s="169" t="s">
        <v>108</v>
      </c>
      <c r="F241" s="173"/>
      <c r="G241" s="174"/>
      <c r="H241" s="174"/>
      <c r="I241" s="175">
        <v>23617</v>
      </c>
      <c r="J241" s="176">
        <v>44566</v>
      </c>
      <c r="K241" s="176">
        <v>6838</v>
      </c>
      <c r="L241" s="176">
        <v>7910</v>
      </c>
      <c r="M241" s="72">
        <v>10012</v>
      </c>
      <c r="N241" s="72">
        <v>10012</v>
      </c>
      <c r="O241" s="72">
        <v>10012</v>
      </c>
      <c r="P241" s="72">
        <v>10012</v>
      </c>
      <c r="Q241" s="72"/>
      <c r="R241" s="72"/>
      <c r="S241" s="23" t="str">
        <f t="shared" si="67"/>
        <v>0</v>
      </c>
      <c r="T241" s="26" t="s">
        <v>257</v>
      </c>
      <c r="U241" s="26">
        <f>U236+1</f>
        <v>9</v>
      </c>
      <c r="V241" s="97">
        <f>IF(F241="VEDTATT","VEDTATT",0)</f>
        <v>0</v>
      </c>
      <c r="W241" s="97">
        <f>IF(F241="MÅ","Nye tiltak",0)</f>
        <v>0</v>
      </c>
      <c r="X241" s="99"/>
      <c r="Y241" s="26" t="s">
        <v>677</v>
      </c>
    </row>
    <row r="242" spans="1:25" s="36" customFormat="1" x14ac:dyDescent="0.25">
      <c r="A242" s="169" t="s">
        <v>8</v>
      </c>
      <c r="B242" s="170" t="str">
        <f t="shared" si="64"/>
        <v>F10</v>
      </c>
      <c r="C242" s="171" t="s">
        <v>678</v>
      </c>
      <c r="D242" s="172" t="s">
        <v>556</v>
      </c>
      <c r="E242" s="169" t="s">
        <v>108</v>
      </c>
      <c r="F242" s="173"/>
      <c r="G242" s="171"/>
      <c r="H242" s="171"/>
      <c r="I242" s="171"/>
      <c r="J242" s="171"/>
      <c r="K242" s="176">
        <v>1313</v>
      </c>
      <c r="L242" s="176">
        <v>2102</v>
      </c>
      <c r="M242" s="72">
        <v>7142</v>
      </c>
      <c r="N242" s="72">
        <v>7142</v>
      </c>
      <c r="O242" s="72">
        <v>7142</v>
      </c>
      <c r="P242" s="72">
        <v>7142</v>
      </c>
      <c r="Q242" s="72"/>
      <c r="R242" s="72"/>
      <c r="S242" s="23" t="str">
        <f t="shared" si="67"/>
        <v>0</v>
      </c>
      <c r="T242" s="26" t="s">
        <v>257</v>
      </c>
      <c r="U242" s="26">
        <f>U241+1</f>
        <v>10</v>
      </c>
      <c r="V242" s="97">
        <f>IF(F243="VEDTATT","VEDTATT",0)</f>
        <v>0</v>
      </c>
      <c r="W242" s="97">
        <f>IF(F243="MÅ","Nye tiltak",0)</f>
        <v>0</v>
      </c>
      <c r="X242" s="99"/>
      <c r="Y242" s="26" t="s">
        <v>677</v>
      </c>
    </row>
    <row r="243" spans="1:25" s="36" customFormat="1" x14ac:dyDescent="0.25">
      <c r="A243" s="169" t="s">
        <v>8</v>
      </c>
      <c r="B243" s="170" t="str">
        <f t="shared" si="64"/>
        <v>F11</v>
      </c>
      <c r="C243" s="171" t="s">
        <v>679</v>
      </c>
      <c r="D243" s="170" t="s">
        <v>556</v>
      </c>
      <c r="E243" s="170" t="s">
        <v>108</v>
      </c>
      <c r="F243" s="173"/>
      <c r="G243" s="171"/>
      <c r="H243" s="171"/>
      <c r="I243" s="171">
        <f>(39980+11200-945-878)*1.02</f>
        <v>50344.14</v>
      </c>
      <c r="J243" s="171">
        <v>-3765</v>
      </c>
      <c r="K243" s="176">
        <v>2159</v>
      </c>
      <c r="L243" s="176">
        <v>1913</v>
      </c>
      <c r="M243" s="176">
        <v>1352</v>
      </c>
      <c r="N243" s="176">
        <v>1352</v>
      </c>
      <c r="O243" s="176">
        <v>1352</v>
      </c>
      <c r="P243" s="176">
        <v>1352</v>
      </c>
      <c r="Q243" s="176"/>
      <c r="R243" s="176"/>
      <c r="S243" s="23" t="str">
        <f t="shared" si="67"/>
        <v>0</v>
      </c>
      <c r="T243" s="26" t="s">
        <v>257</v>
      </c>
      <c r="U243" s="26">
        <f t="shared" ref="U243:U247" si="68">U242+1</f>
        <v>11</v>
      </c>
      <c r="V243" s="97">
        <f>IF(F244="VEDTATT","VEDTATT",0)</f>
        <v>0</v>
      </c>
      <c r="W243" s="97">
        <f>IF(F244="MÅ","Nye tiltak",0)</f>
        <v>0</v>
      </c>
      <c r="X243" s="99"/>
      <c r="Y243" s="26" t="s">
        <v>677</v>
      </c>
    </row>
    <row r="244" spans="1:25" s="36" customFormat="1" x14ac:dyDescent="0.25">
      <c r="A244" s="70" t="s">
        <v>8</v>
      </c>
      <c r="B244" s="170" t="str">
        <f t="shared" si="64"/>
        <v>F12</v>
      </c>
      <c r="C244" s="51" t="s">
        <v>680</v>
      </c>
      <c r="D244" s="77" t="s">
        <v>577</v>
      </c>
      <c r="E244" s="70" t="s">
        <v>108</v>
      </c>
      <c r="F244" s="69"/>
      <c r="G244" s="79"/>
      <c r="H244" s="79"/>
      <c r="I244" s="68"/>
      <c r="J244" s="72"/>
      <c r="K244" s="72">
        <f>176376-176576</f>
        <v>-200</v>
      </c>
      <c r="L244" s="72">
        <v>-2236</v>
      </c>
      <c r="M244" s="72">
        <v>-2236</v>
      </c>
      <c r="N244" s="72">
        <v>-2236</v>
      </c>
      <c r="O244" s="72">
        <v>-2236</v>
      </c>
      <c r="P244" s="72">
        <v>-2236</v>
      </c>
      <c r="Q244" s="72"/>
      <c r="R244" s="72"/>
      <c r="S244" s="23">
        <f t="shared" si="67"/>
        <v>-200</v>
      </c>
      <c r="T244" s="26" t="s">
        <v>257</v>
      </c>
      <c r="U244" s="26">
        <f t="shared" si="68"/>
        <v>12</v>
      </c>
      <c r="V244" s="97" t="str">
        <f>IF(F245="VEDTATT","VEDTATT",0)</f>
        <v>VEDTATT</v>
      </c>
      <c r="W244" s="97">
        <f>IF(F245="MÅ","Nye tiltak",0)</f>
        <v>0</v>
      </c>
      <c r="X244" s="99"/>
      <c r="Y244" s="26"/>
    </row>
    <row r="245" spans="1:25" s="36" customFormat="1" x14ac:dyDescent="0.25">
      <c r="A245" s="70" t="s">
        <v>8</v>
      </c>
      <c r="B245" s="170" t="str">
        <f t="shared" si="64"/>
        <v>F13</v>
      </c>
      <c r="C245" s="51" t="s">
        <v>681</v>
      </c>
      <c r="D245" s="77" t="s">
        <v>577</v>
      </c>
      <c r="E245" s="70" t="s">
        <v>657</v>
      </c>
      <c r="F245" s="69" t="s">
        <v>98</v>
      </c>
      <c r="K245" s="72">
        <v>3808</v>
      </c>
      <c r="L245" s="72">
        <v>5870</v>
      </c>
      <c r="M245" s="72">
        <v>12495</v>
      </c>
      <c r="N245" s="72">
        <v>14957</v>
      </c>
      <c r="O245" s="72">
        <v>17804</v>
      </c>
      <c r="P245" s="72">
        <v>19511</v>
      </c>
      <c r="Q245" s="72"/>
      <c r="R245" s="72"/>
      <c r="S245" s="23">
        <f t="shared" si="67"/>
        <v>3808</v>
      </c>
      <c r="T245" s="26" t="s">
        <v>257</v>
      </c>
      <c r="U245" s="26">
        <f t="shared" si="68"/>
        <v>13</v>
      </c>
      <c r="V245" s="97">
        <f>IF(F246="VEDTATT","VEDTATT",0)</f>
        <v>0</v>
      </c>
      <c r="W245" s="97">
        <f>IF(F246="MÅ","Nye tiltak",0)</f>
        <v>0</v>
      </c>
      <c r="X245" s="99"/>
      <c r="Y245" s="26" t="s">
        <v>677</v>
      </c>
    </row>
    <row r="246" spans="1:25" s="36" customFormat="1" x14ac:dyDescent="0.25">
      <c r="A246" s="70" t="s">
        <v>8</v>
      </c>
      <c r="B246" s="170" t="str">
        <f t="shared" si="64"/>
        <v>F14</v>
      </c>
      <c r="C246" s="51" t="s">
        <v>682</v>
      </c>
      <c r="D246" s="77"/>
      <c r="E246" s="70" t="s">
        <v>108</v>
      </c>
      <c r="F246" s="69"/>
      <c r="K246" s="72"/>
      <c r="L246" s="72">
        <v>30245</v>
      </c>
      <c r="M246" s="72"/>
      <c r="N246" s="72"/>
      <c r="O246" s="72"/>
      <c r="P246" s="72"/>
      <c r="Q246" s="72"/>
      <c r="R246" s="72"/>
      <c r="S246" s="23"/>
      <c r="T246" s="26" t="s">
        <v>257</v>
      </c>
      <c r="U246" s="26">
        <f t="shared" si="68"/>
        <v>14</v>
      </c>
      <c r="V246" s="97"/>
      <c r="W246" s="97"/>
      <c r="X246" s="99"/>
      <c r="Y246" s="26"/>
    </row>
    <row r="247" spans="1:25" s="36" customFormat="1" x14ac:dyDescent="0.25">
      <c r="A247" s="70" t="s">
        <v>8</v>
      </c>
      <c r="B247" s="170" t="str">
        <f t="shared" si="64"/>
        <v>F15</v>
      </c>
      <c r="C247" s="51" t="s">
        <v>683</v>
      </c>
      <c r="D247" s="77" t="s">
        <v>684</v>
      </c>
      <c r="E247" s="70" t="s">
        <v>108</v>
      </c>
      <c r="F247" s="70"/>
      <c r="G247" s="95"/>
      <c r="H247" s="95"/>
      <c r="I247" s="73"/>
      <c r="J247" s="72"/>
      <c r="K247" s="72">
        <v>-5014</v>
      </c>
      <c r="L247" s="72">
        <v>-1484</v>
      </c>
      <c r="M247" s="72">
        <v>-792</v>
      </c>
      <c r="N247" s="72">
        <v>-792</v>
      </c>
      <c r="O247" s="72">
        <v>-792</v>
      </c>
      <c r="P247" s="72">
        <v>-792</v>
      </c>
      <c r="Q247" s="72"/>
      <c r="R247" s="72"/>
      <c r="S247" s="23" t="str">
        <f>IF(D247="INTERNHUSLEIE",K247,"0")</f>
        <v>0</v>
      </c>
      <c r="T247" s="26" t="s">
        <v>257</v>
      </c>
      <c r="U247" s="26">
        <f t="shared" si="68"/>
        <v>15</v>
      </c>
      <c r="V247" s="97">
        <f>IF(F247="VEDTATT","VEDTATT",0)</f>
        <v>0</v>
      </c>
      <c r="W247" s="97">
        <f>IF(F247="MÅ","Nye tiltak",0)</f>
        <v>0</v>
      </c>
      <c r="X247" s="99"/>
      <c r="Y247" s="26" t="s">
        <v>677</v>
      </c>
    </row>
    <row r="248" spans="1:25" s="36" customFormat="1" x14ac:dyDescent="0.25">
      <c r="A248" s="159"/>
      <c r="B248" s="159" t="str">
        <f t="shared" si="64"/>
        <v/>
      </c>
      <c r="C248" s="160" t="s">
        <v>554</v>
      </c>
      <c r="D248" s="160"/>
      <c r="E248" s="160"/>
      <c r="F248" s="163" t="s">
        <v>98</v>
      </c>
      <c r="G248" s="160"/>
      <c r="H248" s="160"/>
      <c r="I248" s="160"/>
      <c r="J248" s="160"/>
      <c r="K248" s="161">
        <f t="shared" ref="K248:P248" si="69">SUMIF($F$244:$F$247,$F$248,K244:K247)</f>
        <v>3808</v>
      </c>
      <c r="L248" s="161">
        <f t="shared" si="69"/>
        <v>5870</v>
      </c>
      <c r="M248" s="161">
        <f t="shared" si="69"/>
        <v>12495</v>
      </c>
      <c r="N248" s="161">
        <f t="shared" si="69"/>
        <v>14957</v>
      </c>
      <c r="O248" s="161">
        <f t="shared" si="69"/>
        <v>17804</v>
      </c>
      <c r="P248" s="161">
        <f t="shared" si="69"/>
        <v>19511</v>
      </c>
      <c r="Q248" s="161"/>
      <c r="R248" s="161"/>
      <c r="S248" s="23"/>
      <c r="T248" s="26"/>
      <c r="U248" s="26"/>
      <c r="V248" s="97"/>
      <c r="W248" s="97"/>
      <c r="X248" s="99"/>
      <c r="Y248" s="26"/>
    </row>
    <row r="249" spans="1:25" s="36" customFormat="1" x14ac:dyDescent="0.25">
      <c r="A249" s="160"/>
      <c r="B249" s="160"/>
      <c r="C249" s="160" t="s">
        <v>554</v>
      </c>
      <c r="D249" s="160"/>
      <c r="E249" s="164" t="s">
        <v>108</v>
      </c>
      <c r="F249" s="162"/>
      <c r="G249" s="162"/>
      <c r="H249" s="162"/>
      <c r="I249" s="162"/>
      <c r="J249" s="162"/>
      <c r="K249" s="161">
        <f t="shared" ref="K249:P249" si="70">SUMIF($E$244:$E$247,$E$249,K244:K247)</f>
        <v>-5214</v>
      </c>
      <c r="L249" s="161">
        <f t="shared" si="70"/>
        <v>26525</v>
      </c>
      <c r="M249" s="161">
        <f t="shared" si="70"/>
        <v>-3028</v>
      </c>
      <c r="N249" s="161">
        <f t="shared" si="70"/>
        <v>-3028</v>
      </c>
      <c r="O249" s="161">
        <f t="shared" si="70"/>
        <v>-3028</v>
      </c>
      <c r="P249" s="161">
        <f t="shared" si="70"/>
        <v>-3028</v>
      </c>
      <c r="Q249" s="161"/>
      <c r="R249" s="161"/>
      <c r="S249" s="23"/>
      <c r="T249" s="26"/>
      <c r="U249" s="26"/>
      <c r="V249" s="97"/>
      <c r="W249" s="97"/>
      <c r="X249" s="99"/>
      <c r="Y249" s="26"/>
    </row>
    <row r="250" spans="1:25" s="36" customFormat="1" ht="30" x14ac:dyDescent="0.25">
      <c r="A250" s="41"/>
      <c r="B250" s="41" t="s">
        <v>152</v>
      </c>
      <c r="C250" s="3" t="s">
        <v>310</v>
      </c>
      <c r="D250" s="3"/>
      <c r="E250" s="50"/>
      <c r="F250" s="50"/>
      <c r="G250" s="50"/>
      <c r="H250" s="50">
        <f t="shared" ref="H250:P250" si="71">SUMIF($A:$A,"KOM.FELLES",H:H)</f>
        <v>0</v>
      </c>
      <c r="I250" s="54">
        <f t="shared" si="71"/>
        <v>150665.14000000001</v>
      </c>
      <c r="J250" s="54">
        <f t="shared" si="71"/>
        <v>95195</v>
      </c>
      <c r="K250" s="54">
        <f t="shared" si="71"/>
        <v>16315</v>
      </c>
      <c r="L250" s="54">
        <f t="shared" si="71"/>
        <v>65587</v>
      </c>
      <c r="M250" s="54">
        <f t="shared" si="71"/>
        <v>25779</v>
      </c>
      <c r="N250" s="54">
        <f t="shared" si="71"/>
        <v>32957</v>
      </c>
      <c r="O250" s="54">
        <f t="shared" si="71"/>
        <v>38161</v>
      </c>
      <c r="P250" s="54">
        <f t="shared" si="71"/>
        <v>39868</v>
      </c>
      <c r="Q250" s="54"/>
      <c r="R250" s="54"/>
      <c r="S250" s="23" t="str">
        <f>IF(D250="INTERNHUSLEIE",K250,"0")</f>
        <v>0</v>
      </c>
      <c r="T250" s="26"/>
      <c r="U250" s="26"/>
      <c r="V250" s="97">
        <f>IF(F250="VEDTATT","VEDTATT",0)</f>
        <v>0</v>
      </c>
      <c r="W250" s="97">
        <f>IF(F250="MÅ","Nye tiltak",0)</f>
        <v>0</v>
      </c>
      <c r="X250" s="99"/>
      <c r="Y250" s="26"/>
    </row>
    <row r="251" spans="1:25" x14ac:dyDescent="0.25">
      <c r="V251" s="89"/>
      <c r="W251" s="89"/>
      <c r="X251" s="90"/>
    </row>
  </sheetData>
  <dataValidations count="2">
    <dataValidation type="list" allowBlank="1" showInputMessage="1" showErrorMessage="1" sqref="D241:D243" xr:uid="{16C89AD8-9478-4F32-B666-6D9D206618F1}">
      <formula1>KPI</formula1>
    </dataValidation>
    <dataValidation type="list" allowBlank="1" showInputMessage="1" showErrorMessage="1" sqref="D37:D40 D207:D218 D244:D249 D115:D186 D228:D240 D221:D222 D44:D95 D110:D111 D99:D108 D192:D204" xr:uid="{2F5A62FD-0893-4B22-9A37-028B96E79B79}">
      <formula1>kOSTNADSTYPE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74B7F1-054D-48BE-967B-6EB260D2C83E}">
          <x14:formula1>
            <xm:f>#REF!</xm:f>
          </x14:formula1>
          <xm:sqref>E116:E119 E103:E106 E126:E140 E245 E149:E154 E156 E197:E199 E202 E207:E209 E229:E231 E44:E88 E162:E180</xm:sqref>
        </x14:dataValidation>
        <x14:dataValidation type="list" allowBlank="1" showInputMessage="1" showErrorMessage="1" xr:uid="{71D887D6-5DC0-47C0-B483-705F7BA6CA25}">
          <x14:formula1>
            <xm:f>'C:\Users\lincbak\Desktop\[Kopi av Driftskostnader for nye bygg - tiltaksliste 2018-2021.xlsx]Div'!#REF!</xm:f>
          </x14:formula1>
          <xm:sqref>F219:H219 F225:H225 F37:F218 E37:E43 F220:F224 E246:E250 E89:E102 E141:E148 E120:E125 E157:E161 E181:E196 E200:E201 E203:E206 E210:E228 F237:F250 E232:E244 E107:E115 E155 A37:A250 F226:F235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W138"/>
  <sheetViews>
    <sheetView topLeftCell="A29" workbookViewId="0">
      <selection activeCell="H59" sqref="H59"/>
    </sheetView>
  </sheetViews>
  <sheetFormatPr baseColWidth="10" defaultColWidth="11.42578125" defaultRowHeight="15" x14ac:dyDescent="0.25"/>
  <cols>
    <col min="1" max="1" width="36.5703125" bestFit="1" customWidth="1"/>
    <col min="7" max="7" width="5.7109375" customWidth="1"/>
    <col min="8" max="8" width="53.42578125" bestFit="1" customWidth="1"/>
    <col min="9" max="9" width="17" customWidth="1"/>
    <col min="10" max="10" width="17.42578125" customWidth="1"/>
    <col min="11" max="11" width="0" hidden="1" customWidth="1"/>
  </cols>
  <sheetData>
    <row r="1" spans="1:15" ht="30" x14ac:dyDescent="0.25">
      <c r="A1" s="186"/>
      <c r="B1" s="187" t="e">
        <f>#REF!</f>
        <v>#REF!</v>
      </c>
      <c r="C1" s="187" t="e">
        <f>#REF!</f>
        <v>#REF!</v>
      </c>
      <c r="D1" s="187" t="e">
        <f>#REF!</f>
        <v>#REF!</v>
      </c>
      <c r="E1" s="187" t="e">
        <f>#REF!</f>
        <v>#REF!</v>
      </c>
      <c r="F1" s="187" t="e">
        <f>#REF!</f>
        <v>#REF!</v>
      </c>
      <c r="H1" s="351" t="s">
        <v>693</v>
      </c>
      <c r="I1" s="351" t="s">
        <v>694</v>
      </c>
      <c r="J1" s="352" t="s">
        <v>695</v>
      </c>
      <c r="K1" s="351">
        <v>2020</v>
      </c>
      <c r="L1" s="351">
        <v>2021</v>
      </c>
      <c r="M1" s="351">
        <v>2022</v>
      </c>
      <c r="N1" s="351">
        <v>2023</v>
      </c>
      <c r="O1" s="351">
        <v>2024</v>
      </c>
    </row>
    <row r="2" spans="1:15" x14ac:dyDescent="0.25">
      <c r="A2" s="182" t="s">
        <v>315</v>
      </c>
      <c r="B2" s="184" t="e">
        <f>#REF!</f>
        <v>#REF!</v>
      </c>
      <c r="C2" s="184" t="e">
        <f>#REF!</f>
        <v>#REF!</v>
      </c>
      <c r="D2" s="184" t="e">
        <f>#REF!</f>
        <v>#REF!</v>
      </c>
      <c r="E2" s="184" t="e">
        <f>#REF!</f>
        <v>#REF!</v>
      </c>
      <c r="F2" s="184" t="e">
        <f>#REF!</f>
        <v>#REF!</v>
      </c>
      <c r="H2" s="353" t="s">
        <v>582</v>
      </c>
      <c r="I2" s="354">
        <v>30002</v>
      </c>
      <c r="J2" s="208" t="s">
        <v>577</v>
      </c>
      <c r="K2" s="277">
        <v>-400</v>
      </c>
      <c r="L2" s="355">
        <v>-300</v>
      </c>
      <c r="M2" s="355">
        <v>-300</v>
      </c>
      <c r="N2" s="355">
        <v>-300</v>
      </c>
      <c r="O2" s="355">
        <v>-300</v>
      </c>
    </row>
    <row r="3" spans="1:15" x14ac:dyDescent="0.25">
      <c r="A3" s="182" t="s">
        <v>316</v>
      </c>
      <c r="B3" s="184" t="e">
        <f>#REF!+#REF!</f>
        <v>#REF!</v>
      </c>
      <c r="C3" s="184" t="e">
        <f>#REF!+#REF!</f>
        <v>#REF!</v>
      </c>
      <c r="D3" s="184" t="e">
        <f>#REF!+#REF!</f>
        <v>#REF!</v>
      </c>
      <c r="E3" s="184" t="e">
        <f>#REF!+#REF!</f>
        <v>#REF!</v>
      </c>
      <c r="F3" s="184" t="e">
        <f>#REF!+#REF!</f>
        <v>#REF!</v>
      </c>
      <c r="H3" s="353" t="s">
        <v>582</v>
      </c>
      <c r="I3" s="354">
        <v>30002</v>
      </c>
      <c r="J3" s="208" t="s">
        <v>580</v>
      </c>
      <c r="K3" s="277">
        <v>-200</v>
      </c>
      <c r="L3" s="355">
        <v>-200</v>
      </c>
      <c r="M3" s="355">
        <v>-200</v>
      </c>
      <c r="N3" s="355">
        <v>-200</v>
      </c>
      <c r="O3" s="355">
        <v>-200</v>
      </c>
    </row>
    <row r="4" spans="1:15" x14ac:dyDescent="0.25">
      <c r="A4" s="182" t="s">
        <v>3</v>
      </c>
      <c r="B4" s="184" t="e">
        <f>#REF!+#REF!+#REF!+#REF!</f>
        <v>#REF!</v>
      </c>
      <c r="C4" s="184" t="e">
        <f>#REF!+#REF!+#REF!+#REF!</f>
        <v>#REF!</v>
      </c>
      <c r="D4" s="184" t="e">
        <f>#REF!+#REF!+#REF!+#REF!</f>
        <v>#REF!</v>
      </c>
      <c r="E4" s="184" t="e">
        <f>#REF!+#REF!+#REF!+#REF!</f>
        <v>#REF!</v>
      </c>
      <c r="F4" s="184" t="e">
        <f>#REF!+#REF!+#REF!+#REF!</f>
        <v>#REF!</v>
      </c>
      <c r="H4" s="353" t="s">
        <v>582</v>
      </c>
      <c r="I4" s="354">
        <v>30002</v>
      </c>
      <c r="J4" s="208" t="s">
        <v>581</v>
      </c>
      <c r="K4" s="277">
        <v>-100</v>
      </c>
      <c r="L4" s="355">
        <v>-200</v>
      </c>
      <c r="M4" s="355">
        <v>-200</v>
      </c>
      <c r="N4" s="355">
        <v>-200</v>
      </c>
      <c r="O4" s="355">
        <v>-200</v>
      </c>
    </row>
    <row r="5" spans="1:15" x14ac:dyDescent="0.25">
      <c r="A5" s="182" t="s">
        <v>317</v>
      </c>
      <c r="B5" s="184" t="e">
        <f>#REF!</f>
        <v>#REF!</v>
      </c>
      <c r="C5" s="184" t="e">
        <f>#REF!</f>
        <v>#REF!</v>
      </c>
      <c r="D5" s="184" t="e">
        <f>#REF!</f>
        <v>#REF!</v>
      </c>
      <c r="E5" s="184" t="e">
        <f>#REF!</f>
        <v>#REF!</v>
      </c>
      <c r="F5" s="184" t="e">
        <f>#REF!</f>
        <v>#REF!</v>
      </c>
      <c r="H5" s="353" t="s">
        <v>586</v>
      </c>
      <c r="I5" s="354">
        <v>30009</v>
      </c>
      <c r="J5" s="208" t="s">
        <v>577</v>
      </c>
      <c r="K5" s="277">
        <v>5600</v>
      </c>
      <c r="L5" s="355">
        <v>7900</v>
      </c>
      <c r="M5" s="355">
        <v>7900</v>
      </c>
      <c r="N5" s="355">
        <v>7900</v>
      </c>
      <c r="O5" s="355">
        <v>7900</v>
      </c>
    </row>
    <row r="6" spans="1:15" x14ac:dyDescent="0.25">
      <c r="A6" s="182" t="s">
        <v>11</v>
      </c>
      <c r="B6" s="184" t="e">
        <f>#REF!</f>
        <v>#REF!</v>
      </c>
      <c r="C6" s="184" t="e">
        <f>#REF!</f>
        <v>#REF!</v>
      </c>
      <c r="D6" s="184" t="e">
        <f>#REF!</f>
        <v>#REF!</v>
      </c>
      <c r="E6" s="184" t="e">
        <f>#REF!</f>
        <v>#REF!</v>
      </c>
      <c r="F6" s="184" t="e">
        <f>#REF!</f>
        <v>#REF!</v>
      </c>
      <c r="H6" s="353" t="s">
        <v>586</v>
      </c>
      <c r="I6" s="354">
        <v>30009</v>
      </c>
      <c r="J6" s="208" t="s">
        <v>580</v>
      </c>
      <c r="K6" s="277">
        <v>900</v>
      </c>
      <c r="L6" s="355">
        <v>900</v>
      </c>
      <c r="M6" s="355">
        <v>900</v>
      </c>
      <c r="N6" s="355">
        <v>900</v>
      </c>
      <c r="O6" s="355">
        <v>900</v>
      </c>
    </row>
    <row r="7" spans="1:15" x14ac:dyDescent="0.25">
      <c r="A7" s="182" t="s">
        <v>14</v>
      </c>
      <c r="B7" s="184" t="e">
        <f>#REF!</f>
        <v>#REF!</v>
      </c>
      <c r="C7" s="184" t="e">
        <f>#REF!</f>
        <v>#REF!</v>
      </c>
      <c r="D7" s="184" t="e">
        <f>#REF!</f>
        <v>#REF!</v>
      </c>
      <c r="E7" s="184" t="e">
        <f>#REF!</f>
        <v>#REF!</v>
      </c>
      <c r="F7" s="184" t="e">
        <f>#REF!</f>
        <v>#REF!</v>
      </c>
      <c r="H7" s="353" t="s">
        <v>586</v>
      </c>
      <c r="I7" s="354">
        <v>30009</v>
      </c>
      <c r="J7" s="208" t="s">
        <v>581</v>
      </c>
      <c r="K7" s="277">
        <v>500</v>
      </c>
      <c r="L7" s="355">
        <v>400</v>
      </c>
      <c r="M7" s="355">
        <v>400</v>
      </c>
      <c r="N7" s="355">
        <v>400</v>
      </c>
      <c r="O7" s="355">
        <v>400</v>
      </c>
    </row>
    <row r="8" spans="1:15" s="180" customFormat="1" x14ac:dyDescent="0.25">
      <c r="A8" s="183" t="s">
        <v>696</v>
      </c>
      <c r="B8" s="185" t="e">
        <f>SUM(B2:B7)</f>
        <v>#REF!</v>
      </c>
      <c r="C8" s="185" t="e">
        <f t="shared" ref="C8:E8" si="0">SUM(C2:C7)</f>
        <v>#REF!</v>
      </c>
      <c r="D8" s="185" t="e">
        <f t="shared" si="0"/>
        <v>#REF!</v>
      </c>
      <c r="E8" s="185" t="e">
        <f t="shared" si="0"/>
        <v>#REF!</v>
      </c>
      <c r="F8" s="185" t="e">
        <f t="shared" ref="F8" si="1">SUM(F2:F7)</f>
        <v>#REF!</v>
      </c>
      <c r="H8" s="353" t="s">
        <v>724</v>
      </c>
      <c r="I8" s="354">
        <v>30010</v>
      </c>
      <c r="J8" s="208" t="s">
        <v>577</v>
      </c>
      <c r="K8" s="221">
        <v>0</v>
      </c>
      <c r="L8" s="355">
        <v>5800</v>
      </c>
      <c r="M8" s="355">
        <v>14000</v>
      </c>
      <c r="N8" s="355">
        <v>14000</v>
      </c>
      <c r="O8" s="355">
        <v>21000</v>
      </c>
    </row>
    <row r="9" spans="1:15" x14ac:dyDescent="0.25">
      <c r="A9" s="182"/>
      <c r="B9" s="184"/>
      <c r="C9" s="184"/>
      <c r="D9" s="184"/>
      <c r="E9" s="184"/>
      <c r="F9" s="184"/>
      <c r="H9" s="353" t="s">
        <v>724</v>
      </c>
      <c r="I9" s="354">
        <v>30010</v>
      </c>
      <c r="J9" s="208" t="s">
        <v>580</v>
      </c>
      <c r="K9" s="221">
        <v>0</v>
      </c>
      <c r="L9" s="355">
        <v>500</v>
      </c>
      <c r="M9" s="355">
        <v>1100</v>
      </c>
      <c r="N9" s="355">
        <v>1100</v>
      </c>
      <c r="O9" s="355">
        <v>1100</v>
      </c>
    </row>
    <row r="10" spans="1:15" x14ac:dyDescent="0.25">
      <c r="A10" s="182" t="s">
        <v>697</v>
      </c>
      <c r="B10" s="184">
        <v>10700</v>
      </c>
      <c r="C10" s="184">
        <v>54400</v>
      </c>
      <c r="D10" s="184">
        <v>87900</v>
      </c>
      <c r="E10" s="184">
        <v>116400</v>
      </c>
      <c r="F10" s="184">
        <v>116401</v>
      </c>
      <c r="H10" s="353" t="s">
        <v>724</v>
      </c>
      <c r="I10" s="354">
        <v>30010</v>
      </c>
      <c r="J10" s="208" t="s">
        <v>581</v>
      </c>
      <c r="K10" s="221">
        <v>0</v>
      </c>
      <c r="L10" s="355">
        <v>200</v>
      </c>
      <c r="M10" s="355">
        <v>500</v>
      </c>
      <c r="N10" s="355">
        <v>500</v>
      </c>
      <c r="O10" s="355">
        <v>500</v>
      </c>
    </row>
    <row r="11" spans="1:15" x14ac:dyDescent="0.25">
      <c r="A11" s="182"/>
      <c r="B11" s="188" t="e">
        <f>B10/B8</f>
        <v>#REF!</v>
      </c>
      <c r="C11" s="188" t="e">
        <f t="shared" ref="C11:E11" si="2">C10/C8</f>
        <v>#REF!</v>
      </c>
      <c r="D11" s="188" t="e">
        <f t="shared" si="2"/>
        <v>#REF!</v>
      </c>
      <c r="E11" s="188" t="e">
        <f t="shared" si="2"/>
        <v>#REF!</v>
      </c>
      <c r="F11" s="188" t="e">
        <f t="shared" ref="F11" si="3">F10/F8</f>
        <v>#REF!</v>
      </c>
      <c r="H11" s="353" t="s">
        <v>725</v>
      </c>
      <c r="I11" s="354">
        <v>6001100</v>
      </c>
      <c r="J11" s="208" t="s">
        <v>577</v>
      </c>
      <c r="K11" s="221">
        <v>0</v>
      </c>
      <c r="L11" s="355">
        <v>1100</v>
      </c>
      <c r="M11" s="355">
        <v>2700</v>
      </c>
      <c r="N11" s="355">
        <v>2700</v>
      </c>
      <c r="O11" s="355">
        <v>2700</v>
      </c>
    </row>
    <row r="12" spans="1:15" x14ac:dyDescent="0.25">
      <c r="A12" s="182"/>
      <c r="B12" s="184"/>
      <c r="C12" s="184"/>
      <c r="D12" s="184"/>
      <c r="E12" s="184"/>
      <c r="F12" s="184"/>
      <c r="H12" s="353" t="s">
        <v>725</v>
      </c>
      <c r="I12" s="354">
        <v>6001100</v>
      </c>
      <c r="J12" s="208" t="s">
        <v>580</v>
      </c>
      <c r="K12" s="221">
        <v>0</v>
      </c>
      <c r="L12" s="355">
        <v>300</v>
      </c>
      <c r="M12" s="355">
        <v>600</v>
      </c>
      <c r="N12" s="355">
        <v>600</v>
      </c>
      <c r="O12" s="355">
        <v>900</v>
      </c>
    </row>
    <row r="13" spans="1:15" x14ac:dyDescent="0.25">
      <c r="A13" s="182" t="s">
        <v>698</v>
      </c>
      <c r="B13" s="184" t="e">
        <f>#REF!+#REF!</f>
        <v>#REF!</v>
      </c>
      <c r="C13" s="184" t="e">
        <f>#REF!+#REF!</f>
        <v>#REF!</v>
      </c>
      <c r="D13" s="184" t="e">
        <f>#REF!+#REF!</f>
        <v>#REF!</v>
      </c>
      <c r="E13" s="184" t="e">
        <f>#REF!+#REF!</f>
        <v>#REF!</v>
      </c>
      <c r="F13" s="184" t="e">
        <f>#REF!+#REF!</f>
        <v>#REF!</v>
      </c>
      <c r="H13" s="353" t="s">
        <v>725</v>
      </c>
      <c r="I13" s="354">
        <v>6001100</v>
      </c>
      <c r="J13" s="208" t="s">
        <v>581</v>
      </c>
      <c r="K13" s="221">
        <v>0</v>
      </c>
      <c r="L13" s="355">
        <v>100</v>
      </c>
      <c r="M13" s="355">
        <v>100</v>
      </c>
      <c r="N13" s="355">
        <v>100</v>
      </c>
      <c r="O13" s="355">
        <v>100</v>
      </c>
    </row>
    <row r="14" spans="1:15" x14ac:dyDescent="0.25">
      <c r="A14" s="182" t="s">
        <v>699</v>
      </c>
      <c r="B14" s="184" t="e">
        <f>#REF!</f>
        <v>#REF!</v>
      </c>
      <c r="C14" s="184" t="e">
        <f>#REF!</f>
        <v>#REF!</v>
      </c>
      <c r="D14" s="184" t="e">
        <f>#REF!</f>
        <v>#REF!</v>
      </c>
      <c r="E14" s="184" t="e">
        <f>#REF!</f>
        <v>#REF!</v>
      </c>
      <c r="F14" s="184" t="e">
        <f>#REF!</f>
        <v>#REF!</v>
      </c>
      <c r="H14" s="353" t="s">
        <v>589</v>
      </c>
      <c r="I14" s="354">
        <v>3003400</v>
      </c>
      <c r="J14" s="208" t="s">
        <v>577</v>
      </c>
      <c r="K14" s="221">
        <v>0</v>
      </c>
      <c r="L14" s="355">
        <v>3600</v>
      </c>
      <c r="M14" s="355">
        <v>8700</v>
      </c>
      <c r="N14" s="355">
        <v>8700</v>
      </c>
      <c r="O14" s="355">
        <v>8700</v>
      </c>
    </row>
    <row r="15" spans="1:15" x14ac:dyDescent="0.25">
      <c r="A15" s="182" t="s">
        <v>700</v>
      </c>
      <c r="B15" s="184" t="e">
        <f>#REF!+#REF!</f>
        <v>#REF!</v>
      </c>
      <c r="C15" s="184" t="e">
        <f>#REF!+#REF!</f>
        <v>#REF!</v>
      </c>
      <c r="D15" s="184" t="e">
        <f>#REF!+#REF!</f>
        <v>#REF!</v>
      </c>
      <c r="E15" s="184" t="e">
        <f>#REF!+#REF!</f>
        <v>#REF!</v>
      </c>
      <c r="F15" s="184" t="e">
        <f>#REF!+#REF!</f>
        <v>#REF!</v>
      </c>
      <c r="H15" s="353" t="s">
        <v>589</v>
      </c>
      <c r="I15" s="354">
        <v>3003400</v>
      </c>
      <c r="J15" s="208" t="s">
        <v>580</v>
      </c>
      <c r="K15" s="221">
        <v>0</v>
      </c>
      <c r="L15" s="355">
        <v>400</v>
      </c>
      <c r="M15" s="355">
        <v>800</v>
      </c>
      <c r="N15" s="355">
        <v>800</v>
      </c>
      <c r="O15" s="355">
        <v>800</v>
      </c>
    </row>
    <row r="16" spans="1:15" x14ac:dyDescent="0.25">
      <c r="A16" s="182" t="s">
        <v>701</v>
      </c>
      <c r="B16" s="184" t="e">
        <f>#REF!+#REF!+#REF!</f>
        <v>#REF!</v>
      </c>
      <c r="C16" s="184" t="e">
        <f>#REF!+#REF!+#REF!</f>
        <v>#REF!</v>
      </c>
      <c r="D16" s="184" t="e">
        <f>#REF!+#REF!+#REF!</f>
        <v>#REF!</v>
      </c>
      <c r="E16" s="184" t="e">
        <f>#REF!+#REF!+#REF!</f>
        <v>#REF!</v>
      </c>
      <c r="F16" s="184" t="e">
        <f>#REF!+#REF!+#REF!</f>
        <v>#REF!</v>
      </c>
      <c r="H16" s="353" t="s">
        <v>589</v>
      </c>
      <c r="I16" s="354">
        <v>3003400</v>
      </c>
      <c r="J16" s="208" t="s">
        <v>581</v>
      </c>
      <c r="K16" s="221">
        <v>0</v>
      </c>
      <c r="L16" s="355">
        <v>200</v>
      </c>
      <c r="M16" s="355">
        <v>400</v>
      </c>
      <c r="N16" s="355">
        <v>400</v>
      </c>
      <c r="O16" s="355">
        <v>400</v>
      </c>
    </row>
    <row r="17" spans="1:15" x14ac:dyDescent="0.25">
      <c r="A17" s="182"/>
      <c r="B17" s="184"/>
      <c r="C17" s="184"/>
      <c r="D17" s="184"/>
      <c r="E17" s="184"/>
      <c r="F17" s="184"/>
      <c r="H17" s="353" t="s">
        <v>590</v>
      </c>
      <c r="I17" s="354">
        <v>3003400</v>
      </c>
      <c r="J17" s="208" t="s">
        <v>577</v>
      </c>
      <c r="K17" s="221">
        <v>0</v>
      </c>
      <c r="L17" s="355">
        <v>-200</v>
      </c>
      <c r="M17" s="355">
        <v>-400</v>
      </c>
      <c r="N17" s="355">
        <v>-400</v>
      </c>
      <c r="O17" s="355">
        <v>-400</v>
      </c>
    </row>
    <row r="18" spans="1:15" s="180" customFormat="1" x14ac:dyDescent="0.25">
      <c r="A18" s="183"/>
      <c r="B18" s="185"/>
      <c r="C18" s="185"/>
      <c r="D18" s="185"/>
      <c r="E18" s="185"/>
      <c r="F18" s="185"/>
      <c r="H18" s="353" t="s">
        <v>590</v>
      </c>
      <c r="I18" s="354">
        <v>3003400</v>
      </c>
      <c r="J18" s="208" t="s">
        <v>580</v>
      </c>
      <c r="K18" s="221">
        <v>0</v>
      </c>
      <c r="L18" s="355">
        <v>-300</v>
      </c>
      <c r="M18" s="355">
        <v>-600</v>
      </c>
      <c r="N18" s="355">
        <v>-600</v>
      </c>
      <c r="O18" s="355">
        <v>-600</v>
      </c>
    </row>
    <row r="19" spans="1:15" x14ac:dyDescent="0.25">
      <c r="B19" s="181"/>
      <c r="C19" s="181"/>
      <c r="D19" s="181"/>
      <c r="E19" s="181"/>
      <c r="F19" s="181"/>
      <c r="H19" s="353" t="s">
        <v>590</v>
      </c>
      <c r="I19" s="354">
        <v>3003400</v>
      </c>
      <c r="J19" s="208" t="s">
        <v>581</v>
      </c>
      <c r="K19" s="221">
        <v>0</v>
      </c>
      <c r="L19" s="355">
        <v>-200</v>
      </c>
      <c r="M19" s="355">
        <v>-400</v>
      </c>
      <c r="N19" s="355">
        <v>-400</v>
      </c>
      <c r="O19" s="355">
        <v>-400</v>
      </c>
    </row>
    <row r="20" spans="1:15" x14ac:dyDescent="0.25">
      <c r="B20" s="181"/>
      <c r="C20" s="181"/>
      <c r="D20" s="181"/>
      <c r="E20" s="181"/>
      <c r="F20" s="181"/>
      <c r="H20" s="353" t="s">
        <v>591</v>
      </c>
      <c r="I20" s="354">
        <v>6000700</v>
      </c>
      <c r="J20" s="208" t="s">
        <v>577</v>
      </c>
      <c r="K20" s="221">
        <v>0</v>
      </c>
      <c r="L20" s="355">
        <v>0</v>
      </c>
      <c r="M20" s="355">
        <v>700</v>
      </c>
      <c r="N20" s="355">
        <v>1700</v>
      </c>
      <c r="O20" s="355">
        <v>1700</v>
      </c>
    </row>
    <row r="21" spans="1:15" x14ac:dyDescent="0.25">
      <c r="B21" s="181"/>
      <c r="C21" s="181"/>
      <c r="D21" s="181"/>
      <c r="E21" s="181"/>
      <c r="F21" s="181"/>
      <c r="H21" s="353" t="s">
        <v>591</v>
      </c>
      <c r="I21" s="354">
        <v>6000700</v>
      </c>
      <c r="J21" s="208" t="s">
        <v>580</v>
      </c>
      <c r="K21" s="221">
        <v>0</v>
      </c>
      <c r="L21" s="355">
        <v>0</v>
      </c>
      <c r="M21" s="355">
        <v>100</v>
      </c>
      <c r="N21" s="355">
        <v>100</v>
      </c>
      <c r="O21" s="355">
        <v>100</v>
      </c>
    </row>
    <row r="22" spans="1:15" x14ac:dyDescent="0.25">
      <c r="B22" s="181"/>
      <c r="C22" s="181"/>
      <c r="D22" s="181"/>
      <c r="E22" s="181"/>
      <c r="F22" s="181"/>
      <c r="H22" s="353" t="s">
        <v>591</v>
      </c>
      <c r="I22" s="354">
        <v>6000700</v>
      </c>
      <c r="J22" s="208" t="s">
        <v>581</v>
      </c>
      <c r="K22" s="221">
        <v>0</v>
      </c>
      <c r="L22" s="355">
        <v>0</v>
      </c>
      <c r="M22" s="355">
        <v>100</v>
      </c>
      <c r="N22" s="355">
        <v>100</v>
      </c>
      <c r="O22" s="355">
        <v>100</v>
      </c>
    </row>
    <row r="23" spans="1:15" x14ac:dyDescent="0.25">
      <c r="B23" s="181"/>
      <c r="C23" s="181"/>
      <c r="D23" s="181"/>
      <c r="E23" s="181"/>
      <c r="F23" s="181"/>
      <c r="H23" s="353" t="s">
        <v>592</v>
      </c>
      <c r="I23" s="354">
        <v>3002900</v>
      </c>
      <c r="J23" s="208" t="s">
        <v>577</v>
      </c>
      <c r="K23" s="221">
        <v>0</v>
      </c>
      <c r="L23" s="355">
        <v>2800</v>
      </c>
      <c r="M23" s="355">
        <v>6600</v>
      </c>
      <c r="N23" s="355">
        <v>6600</v>
      </c>
      <c r="O23" s="355">
        <v>6600</v>
      </c>
    </row>
    <row r="24" spans="1:15" x14ac:dyDescent="0.25">
      <c r="B24" s="181"/>
      <c r="C24" s="181"/>
      <c r="D24" s="181"/>
      <c r="E24" s="181"/>
      <c r="F24" s="181"/>
      <c r="H24" s="353" t="s">
        <v>592</v>
      </c>
      <c r="I24" s="354">
        <v>3002900</v>
      </c>
      <c r="J24" s="208" t="s">
        <v>580</v>
      </c>
      <c r="K24" s="221">
        <v>0</v>
      </c>
      <c r="L24" s="355">
        <v>300</v>
      </c>
      <c r="M24" s="355">
        <v>800</v>
      </c>
      <c r="N24" s="355">
        <v>800</v>
      </c>
      <c r="O24" s="355">
        <v>800</v>
      </c>
    </row>
    <row r="25" spans="1:15" x14ac:dyDescent="0.25">
      <c r="B25" s="181"/>
      <c r="C25" s="181"/>
      <c r="D25" s="181"/>
      <c r="E25" s="181"/>
      <c r="F25" s="181"/>
      <c r="H25" s="353" t="s">
        <v>592</v>
      </c>
      <c r="I25" s="354">
        <v>3002900</v>
      </c>
      <c r="J25" s="208" t="s">
        <v>581</v>
      </c>
      <c r="K25" s="221">
        <v>0</v>
      </c>
      <c r="L25" s="355">
        <v>200</v>
      </c>
      <c r="M25" s="355">
        <v>400</v>
      </c>
      <c r="N25" s="355">
        <v>400</v>
      </c>
      <c r="O25" s="355">
        <v>400</v>
      </c>
    </row>
    <row r="26" spans="1:15" x14ac:dyDescent="0.25">
      <c r="B26" s="181"/>
      <c r="C26" s="181"/>
      <c r="D26" s="181"/>
      <c r="E26" s="181"/>
      <c r="F26" s="181"/>
      <c r="H26" s="353" t="s">
        <v>726</v>
      </c>
      <c r="I26" s="354">
        <v>3002900</v>
      </c>
      <c r="J26" s="208" t="s">
        <v>577</v>
      </c>
      <c r="K26" s="221">
        <v>0</v>
      </c>
      <c r="L26" s="355">
        <v>-200</v>
      </c>
      <c r="M26" s="355">
        <v>-400</v>
      </c>
      <c r="N26" s="355">
        <v>-400</v>
      </c>
      <c r="O26" s="355">
        <v>-600</v>
      </c>
    </row>
    <row r="27" spans="1:15" x14ac:dyDescent="0.25">
      <c r="H27" s="353" t="s">
        <v>726</v>
      </c>
      <c r="I27" s="354">
        <v>3002900</v>
      </c>
      <c r="J27" s="208" t="s">
        <v>580</v>
      </c>
      <c r="K27" s="221">
        <v>0</v>
      </c>
      <c r="L27" s="355">
        <v>-300</v>
      </c>
      <c r="M27" s="355">
        <v>-500</v>
      </c>
      <c r="N27" s="355">
        <v>-500</v>
      </c>
      <c r="O27" s="355">
        <v>-750</v>
      </c>
    </row>
    <row r="28" spans="1:15" x14ac:dyDescent="0.25">
      <c r="H28" s="353" t="s">
        <v>726</v>
      </c>
      <c r="I28" s="354">
        <v>3002900</v>
      </c>
      <c r="J28" s="208" t="s">
        <v>581</v>
      </c>
      <c r="K28" s="221">
        <v>0</v>
      </c>
      <c r="L28" s="355">
        <v>-200</v>
      </c>
      <c r="M28" s="355">
        <v>-300</v>
      </c>
      <c r="N28" s="355">
        <v>-300</v>
      </c>
      <c r="O28" s="355">
        <v>-450</v>
      </c>
    </row>
    <row r="29" spans="1:15" x14ac:dyDescent="0.25">
      <c r="H29" s="353" t="s">
        <v>596</v>
      </c>
      <c r="I29" s="354">
        <v>3003800</v>
      </c>
      <c r="J29" s="208" t="s">
        <v>577</v>
      </c>
      <c r="K29" s="277">
        <v>500</v>
      </c>
      <c r="L29" s="355">
        <v>700</v>
      </c>
      <c r="M29" s="355">
        <v>700</v>
      </c>
      <c r="N29" s="355">
        <v>700</v>
      </c>
      <c r="O29" s="355">
        <v>700</v>
      </c>
    </row>
    <row r="30" spans="1:15" x14ac:dyDescent="0.25">
      <c r="H30" s="353" t="s">
        <v>727</v>
      </c>
      <c r="I30" s="354">
        <v>5631301</v>
      </c>
      <c r="J30" s="208" t="s">
        <v>577</v>
      </c>
      <c r="K30" s="221"/>
      <c r="L30" s="355"/>
      <c r="M30" s="355"/>
      <c r="N30" s="355">
        <v>4500</v>
      </c>
      <c r="O30" s="355">
        <v>12100</v>
      </c>
    </row>
    <row r="31" spans="1:15" x14ac:dyDescent="0.25">
      <c r="H31" s="353" t="s">
        <v>727</v>
      </c>
      <c r="I31" s="354">
        <v>5631301</v>
      </c>
      <c r="J31" s="208" t="s">
        <v>580</v>
      </c>
      <c r="K31" s="221">
        <v>100</v>
      </c>
      <c r="L31" s="221"/>
      <c r="M31" s="221"/>
      <c r="N31" s="221"/>
      <c r="O31" s="221"/>
    </row>
    <row r="32" spans="1:15" x14ac:dyDescent="0.25">
      <c r="H32" s="353" t="s">
        <v>727</v>
      </c>
      <c r="I32" s="354">
        <v>5631301</v>
      </c>
      <c r="J32" s="208" t="s">
        <v>581</v>
      </c>
      <c r="K32" s="221">
        <v>0</v>
      </c>
      <c r="L32" s="221"/>
      <c r="M32" s="221"/>
      <c r="N32" s="221"/>
      <c r="O32" s="221"/>
    </row>
    <row r="33" spans="8:15" x14ac:dyDescent="0.25">
      <c r="H33" s="356" t="s">
        <v>535</v>
      </c>
      <c r="I33" s="356"/>
      <c r="J33" s="356"/>
      <c r="K33" s="349"/>
      <c r="L33" s="349">
        <f>SUM(L2:L32)</f>
        <v>23300</v>
      </c>
      <c r="M33" s="349">
        <f>SUM(M2:M32)</f>
        <v>44200</v>
      </c>
      <c r="N33" s="349">
        <f>SUM(N2:N32)</f>
        <v>49700</v>
      </c>
      <c r="O33" s="349">
        <f>SUM(O2:O32)</f>
        <v>64000</v>
      </c>
    </row>
    <row r="34" spans="8:15" x14ac:dyDescent="0.25">
      <c r="H34" s="357"/>
      <c r="I34" s="357"/>
      <c r="J34" s="357"/>
      <c r="K34" s="358"/>
      <c r="L34" s="358"/>
      <c r="M34" s="358"/>
      <c r="O34" s="358"/>
    </row>
    <row r="35" spans="8:15" x14ac:dyDescent="0.25">
      <c r="H35" s="359"/>
      <c r="I35" s="359"/>
      <c r="J35" s="359"/>
      <c r="K35" s="360"/>
      <c r="L35" s="360"/>
      <c r="M35" s="360"/>
      <c r="O35" s="360"/>
    </row>
    <row r="36" spans="8:15" ht="30" x14ac:dyDescent="0.25">
      <c r="H36" s="361" t="s">
        <v>693</v>
      </c>
      <c r="I36" s="361" t="s">
        <v>694</v>
      </c>
      <c r="J36" s="362" t="s">
        <v>695</v>
      </c>
      <c r="K36" s="361">
        <v>2020</v>
      </c>
      <c r="L36" s="361">
        <v>2021</v>
      </c>
      <c r="M36" s="361">
        <v>2022</v>
      </c>
      <c r="N36" s="363">
        <v>2023</v>
      </c>
      <c r="O36" s="361">
        <v>2024</v>
      </c>
    </row>
    <row r="37" spans="8:15" ht="45" x14ac:dyDescent="0.25">
      <c r="H37" s="347" t="s">
        <v>702</v>
      </c>
      <c r="I37" s="182"/>
      <c r="J37" s="208" t="s">
        <v>577</v>
      </c>
      <c r="K37" s="182"/>
      <c r="L37" s="355">
        <v>520</v>
      </c>
      <c r="M37" s="355">
        <v>1040</v>
      </c>
      <c r="N37" s="355">
        <v>1040</v>
      </c>
      <c r="O37" s="355">
        <v>1040</v>
      </c>
    </row>
    <row r="38" spans="8:15" x14ac:dyDescent="0.25">
      <c r="H38" s="356" t="s">
        <v>535</v>
      </c>
      <c r="I38" s="356"/>
      <c r="J38" s="356"/>
      <c r="K38" s="349"/>
      <c r="L38" s="349">
        <f>SUM(L37:L37)</f>
        <v>520</v>
      </c>
      <c r="M38" s="349">
        <f>SUM(M37:M37)</f>
        <v>1040</v>
      </c>
      <c r="N38" s="349">
        <f>SUM(N37:N37)</f>
        <v>1040</v>
      </c>
      <c r="O38" s="349">
        <f>SUM(O37:O37)</f>
        <v>1040</v>
      </c>
    </row>
    <row r="39" spans="8:15" x14ac:dyDescent="0.25">
      <c r="K39" s="254"/>
      <c r="L39" s="254"/>
      <c r="M39" s="254"/>
      <c r="O39" s="254"/>
    </row>
    <row r="41" spans="8:15" ht="30" x14ac:dyDescent="0.25">
      <c r="H41" s="351" t="s">
        <v>693</v>
      </c>
      <c r="I41" s="351" t="s">
        <v>694</v>
      </c>
      <c r="J41" s="352" t="s">
        <v>695</v>
      </c>
      <c r="K41" s="351">
        <v>2020</v>
      </c>
      <c r="L41" s="351">
        <v>2021</v>
      </c>
      <c r="M41" s="351">
        <v>2022</v>
      </c>
      <c r="N41" s="363">
        <v>2023</v>
      </c>
      <c r="O41" s="351">
        <v>2024</v>
      </c>
    </row>
    <row r="42" spans="8:15" x14ac:dyDescent="0.25">
      <c r="H42" s="182" t="s">
        <v>704</v>
      </c>
      <c r="I42" s="182"/>
      <c r="J42" s="208" t="s">
        <v>577</v>
      </c>
      <c r="K42" s="364">
        <v>25</v>
      </c>
      <c r="L42" s="364">
        <v>25</v>
      </c>
      <c r="M42" s="364">
        <v>25</v>
      </c>
      <c r="N42" s="365">
        <v>25</v>
      </c>
      <c r="O42" s="364">
        <v>25</v>
      </c>
    </row>
    <row r="43" spans="8:15" x14ac:dyDescent="0.25">
      <c r="H43" s="366" t="s">
        <v>537</v>
      </c>
      <c r="I43" s="366"/>
      <c r="J43" s="366"/>
      <c r="K43" s="367">
        <v>25</v>
      </c>
      <c r="L43" s="367">
        <f>SUM(L42)</f>
        <v>25</v>
      </c>
      <c r="M43" s="367">
        <f>SUM(M42)</f>
        <v>25</v>
      </c>
      <c r="N43" s="367">
        <f>SUM(N42)</f>
        <v>25</v>
      </c>
      <c r="O43" s="367">
        <f>SUM(O42)</f>
        <v>25</v>
      </c>
    </row>
    <row r="48" spans="8:15" ht="30" x14ac:dyDescent="0.25">
      <c r="H48" s="351" t="s">
        <v>693</v>
      </c>
      <c r="I48" s="351" t="s">
        <v>694</v>
      </c>
      <c r="J48" s="352" t="s">
        <v>695</v>
      </c>
      <c r="K48" s="351">
        <v>2020</v>
      </c>
      <c r="L48" s="351">
        <v>2021</v>
      </c>
      <c r="M48" s="351">
        <v>2022</v>
      </c>
      <c r="N48" s="363">
        <v>2023</v>
      </c>
      <c r="O48" s="351">
        <v>2024</v>
      </c>
    </row>
    <row r="49" spans="8:15" x14ac:dyDescent="0.25">
      <c r="H49" s="275" t="s">
        <v>705</v>
      </c>
      <c r="I49" s="368">
        <v>3502000</v>
      </c>
      <c r="J49" s="208" t="s">
        <v>577</v>
      </c>
      <c r="K49" s="221">
        <v>300</v>
      </c>
      <c r="L49" s="355">
        <f>900-300</f>
        <v>600</v>
      </c>
      <c r="M49" s="355">
        <v>1800</v>
      </c>
      <c r="N49" s="355">
        <v>1800</v>
      </c>
      <c r="O49" s="355">
        <v>1800</v>
      </c>
    </row>
    <row r="50" spans="8:15" x14ac:dyDescent="0.25">
      <c r="H50" s="275" t="s">
        <v>705</v>
      </c>
      <c r="I50" s="368">
        <v>3502000</v>
      </c>
      <c r="J50" s="208" t="s">
        <v>580</v>
      </c>
      <c r="K50" s="221">
        <v>50</v>
      </c>
      <c r="L50" s="355">
        <v>103</v>
      </c>
      <c r="M50" s="355">
        <v>205</v>
      </c>
      <c r="N50" s="355">
        <v>205</v>
      </c>
      <c r="O50" s="355">
        <v>205</v>
      </c>
    </row>
    <row r="51" spans="8:15" x14ac:dyDescent="0.25">
      <c r="H51" s="275" t="s">
        <v>705</v>
      </c>
      <c r="I51" s="368">
        <v>3502000</v>
      </c>
      <c r="J51" s="208" t="s">
        <v>581</v>
      </c>
      <c r="K51" s="221">
        <v>50</v>
      </c>
      <c r="L51" s="355">
        <v>55</v>
      </c>
      <c r="M51" s="355">
        <v>110</v>
      </c>
      <c r="N51" s="355">
        <v>110</v>
      </c>
      <c r="O51" s="355">
        <v>110</v>
      </c>
    </row>
    <row r="52" spans="8:15" x14ac:dyDescent="0.25">
      <c r="H52" s="366" t="s">
        <v>538</v>
      </c>
      <c r="I52" s="366"/>
      <c r="J52" s="366"/>
      <c r="K52" s="350">
        <f>SUM(K49:K51)</f>
        <v>400</v>
      </c>
      <c r="L52" s="350">
        <f>SUM(L49:L51)</f>
        <v>758</v>
      </c>
      <c r="M52" s="350">
        <f>SUM(M49:M51)</f>
        <v>2115</v>
      </c>
      <c r="N52" s="350">
        <f>SUM(N49:N51)</f>
        <v>2115</v>
      </c>
      <c r="O52" s="350">
        <f>SUM(O49:O51)</f>
        <v>2115</v>
      </c>
    </row>
    <row r="55" spans="8:15" ht="30" x14ac:dyDescent="0.25">
      <c r="H55" s="351" t="s">
        <v>693</v>
      </c>
      <c r="I55" s="351" t="s">
        <v>694</v>
      </c>
      <c r="J55" s="352" t="s">
        <v>695</v>
      </c>
      <c r="K55" s="351">
        <v>2020</v>
      </c>
      <c r="L55" s="351">
        <v>2021</v>
      </c>
      <c r="M55" s="351">
        <v>2022</v>
      </c>
      <c r="N55" s="363">
        <v>2023</v>
      </c>
      <c r="O55" s="351">
        <v>2024</v>
      </c>
    </row>
    <row r="56" spans="8:15" x14ac:dyDescent="0.25">
      <c r="H56" s="275" t="s">
        <v>728</v>
      </c>
      <c r="I56" s="368">
        <v>3502000</v>
      </c>
      <c r="J56" s="208" t="s">
        <v>577</v>
      </c>
      <c r="K56" s="221">
        <v>100</v>
      </c>
      <c r="L56" s="355">
        <v>200</v>
      </c>
      <c r="M56" s="355">
        <v>200</v>
      </c>
      <c r="N56" s="355">
        <v>200</v>
      </c>
      <c r="O56" s="355">
        <v>200</v>
      </c>
    </row>
    <row r="57" spans="8:15" x14ac:dyDescent="0.25">
      <c r="H57" s="275" t="s">
        <v>728</v>
      </c>
      <c r="I57" s="368">
        <v>3502000</v>
      </c>
      <c r="J57" s="208" t="s">
        <v>580</v>
      </c>
      <c r="K57" s="221">
        <v>50</v>
      </c>
      <c r="L57" s="355">
        <v>50</v>
      </c>
      <c r="M57" s="355">
        <v>50</v>
      </c>
      <c r="N57" s="355">
        <v>50</v>
      </c>
      <c r="O57" s="355">
        <v>50</v>
      </c>
    </row>
    <row r="58" spans="8:15" x14ac:dyDescent="0.25">
      <c r="H58" s="275" t="s">
        <v>728</v>
      </c>
      <c r="I58" s="368">
        <v>3502000</v>
      </c>
      <c r="J58" s="208" t="s">
        <v>581</v>
      </c>
      <c r="K58" s="221">
        <v>50</v>
      </c>
      <c r="L58" s="355">
        <v>50</v>
      </c>
      <c r="M58" s="355">
        <v>50</v>
      </c>
      <c r="N58" s="355">
        <v>50</v>
      </c>
      <c r="O58" s="355">
        <v>50</v>
      </c>
    </row>
    <row r="59" spans="8:15" x14ac:dyDescent="0.25">
      <c r="H59" s="275" t="s">
        <v>729</v>
      </c>
      <c r="I59" s="368"/>
      <c r="J59" s="208" t="s">
        <v>577</v>
      </c>
      <c r="K59" s="221"/>
      <c r="L59" s="355">
        <v>384</v>
      </c>
      <c r="M59" s="355">
        <v>1544</v>
      </c>
      <c r="N59" s="355">
        <v>1544</v>
      </c>
      <c r="O59" s="355">
        <v>1544</v>
      </c>
    </row>
    <row r="60" spans="8:15" x14ac:dyDescent="0.25">
      <c r="H60" s="366" t="s">
        <v>538</v>
      </c>
      <c r="I60" s="366"/>
      <c r="J60" s="366"/>
      <c r="K60" s="350">
        <f>SUM(K56:K58)</f>
        <v>200</v>
      </c>
      <c r="L60" s="350">
        <f>SUM(L56:L59)</f>
        <v>684</v>
      </c>
      <c r="M60" s="350">
        <f>SUM(M56:M59)</f>
        <v>1844</v>
      </c>
      <c r="N60" s="350">
        <f>SUM(N56:N59)</f>
        <v>1844</v>
      </c>
      <c r="O60" s="350">
        <f>SUM(O56:O59)</f>
        <v>1844</v>
      </c>
    </row>
    <row r="63" spans="8:15" x14ac:dyDescent="0.25">
      <c r="H63" t="s">
        <v>184</v>
      </c>
    </row>
    <row r="64" spans="8:15" ht="30" x14ac:dyDescent="0.25">
      <c r="H64" s="351" t="s">
        <v>693</v>
      </c>
      <c r="I64" s="351" t="s">
        <v>694</v>
      </c>
      <c r="J64" s="352" t="s">
        <v>695</v>
      </c>
      <c r="K64" s="351">
        <v>2020</v>
      </c>
      <c r="L64" s="351">
        <v>2021</v>
      </c>
      <c r="M64" s="351">
        <v>2022</v>
      </c>
      <c r="N64" s="363">
        <v>2023</v>
      </c>
      <c r="O64" s="351">
        <v>2024</v>
      </c>
    </row>
    <row r="65" spans="8:15" x14ac:dyDescent="0.25">
      <c r="H65" s="275" t="s">
        <v>707</v>
      </c>
      <c r="I65" s="368"/>
      <c r="J65" s="208" t="s">
        <v>577</v>
      </c>
      <c r="K65" s="221">
        <v>0</v>
      </c>
      <c r="L65" s="221">
        <v>0</v>
      </c>
      <c r="M65" s="221">
        <v>0</v>
      </c>
      <c r="N65" s="221"/>
      <c r="O65" s="221">
        <v>3600</v>
      </c>
    </row>
    <row r="66" spans="8:15" x14ac:dyDescent="0.25">
      <c r="H66" s="275" t="s">
        <v>707</v>
      </c>
      <c r="I66" s="368"/>
      <c r="J66" s="208" t="s">
        <v>581</v>
      </c>
      <c r="K66" s="221">
        <v>0</v>
      </c>
      <c r="L66" s="221">
        <v>0</v>
      </c>
      <c r="M66" s="221">
        <v>0</v>
      </c>
      <c r="N66" s="221"/>
      <c r="O66" s="221">
        <v>200</v>
      </c>
    </row>
    <row r="67" spans="8:15" x14ac:dyDescent="0.25">
      <c r="H67" s="366" t="s">
        <v>708</v>
      </c>
      <c r="I67" s="366"/>
      <c r="J67" s="366"/>
      <c r="K67" s="350">
        <f>SUM(K65:K66)</f>
        <v>0</v>
      </c>
      <c r="L67" s="350">
        <f>SUM(L65:L66)</f>
        <v>0</v>
      </c>
      <c r="M67" s="350">
        <f>SUM(M65:M66)</f>
        <v>0</v>
      </c>
      <c r="N67" s="350">
        <f>SUM(N65:N66)</f>
        <v>0</v>
      </c>
      <c r="O67" s="350">
        <f>SUM(O65:O66)</f>
        <v>3800</v>
      </c>
    </row>
    <row r="71" spans="8:15" x14ac:dyDescent="0.25">
      <c r="H71" t="s">
        <v>709</v>
      </c>
    </row>
    <row r="72" spans="8:15" ht="30" x14ac:dyDescent="0.25">
      <c r="H72" s="351" t="s">
        <v>693</v>
      </c>
      <c r="I72" s="351" t="s">
        <v>694</v>
      </c>
      <c r="J72" s="352" t="s">
        <v>695</v>
      </c>
      <c r="K72" s="351">
        <v>2020</v>
      </c>
      <c r="L72" s="351">
        <v>2021</v>
      </c>
      <c r="M72" s="351">
        <v>2022</v>
      </c>
      <c r="N72" s="363">
        <v>2023</v>
      </c>
      <c r="O72" s="351">
        <v>2024</v>
      </c>
    </row>
    <row r="73" spans="8:15" ht="25.5" x14ac:dyDescent="0.25">
      <c r="H73" s="274" t="s">
        <v>616</v>
      </c>
      <c r="I73" s="369">
        <v>2103400</v>
      </c>
      <c r="J73" s="208" t="s">
        <v>577</v>
      </c>
      <c r="K73" s="221">
        <v>0</v>
      </c>
      <c r="L73" s="355">
        <v>800</v>
      </c>
      <c r="M73" s="355">
        <v>1600</v>
      </c>
      <c r="N73" s="355">
        <v>1600</v>
      </c>
      <c r="O73" s="355">
        <v>1600</v>
      </c>
    </row>
    <row r="74" spans="8:15" ht="25.5" x14ac:dyDescent="0.25">
      <c r="H74" s="274" t="s">
        <v>616</v>
      </c>
      <c r="I74" s="369">
        <v>2103400</v>
      </c>
      <c r="J74" s="208" t="s">
        <v>581</v>
      </c>
      <c r="K74" s="221">
        <v>0</v>
      </c>
      <c r="L74" s="355">
        <v>100</v>
      </c>
      <c r="M74" s="355">
        <v>200</v>
      </c>
      <c r="N74" s="355">
        <v>200</v>
      </c>
      <c r="O74" s="355">
        <v>200</v>
      </c>
    </row>
    <row r="75" spans="8:15" x14ac:dyDescent="0.25">
      <c r="H75" s="274" t="s">
        <v>710</v>
      </c>
      <c r="I75" s="369">
        <v>2104300</v>
      </c>
      <c r="J75" s="208" t="s">
        <v>577</v>
      </c>
      <c r="K75" s="221">
        <v>0</v>
      </c>
      <c r="L75" s="355">
        <v>0</v>
      </c>
      <c r="M75" s="355"/>
      <c r="N75" s="355">
        <v>1600</v>
      </c>
      <c r="O75" s="355">
        <v>3300</v>
      </c>
    </row>
    <row r="76" spans="8:15" x14ac:dyDescent="0.25">
      <c r="H76" s="274" t="s">
        <v>710</v>
      </c>
      <c r="I76" s="369">
        <v>3104300</v>
      </c>
      <c r="J76" s="208" t="s">
        <v>581</v>
      </c>
      <c r="K76" s="221">
        <v>0</v>
      </c>
      <c r="L76" s="355">
        <v>0</v>
      </c>
      <c r="M76" s="355"/>
      <c r="N76" s="355">
        <v>200</v>
      </c>
      <c r="O76" s="355">
        <v>300</v>
      </c>
    </row>
    <row r="77" spans="8:15" x14ac:dyDescent="0.25">
      <c r="H77" s="274" t="s">
        <v>711</v>
      </c>
      <c r="I77" s="274"/>
      <c r="J77" s="208" t="s">
        <v>577</v>
      </c>
      <c r="K77" s="221">
        <v>0</v>
      </c>
      <c r="L77" s="355">
        <v>0</v>
      </c>
      <c r="M77" s="355">
        <v>0</v>
      </c>
      <c r="N77" s="355"/>
      <c r="O77" s="355">
        <v>700</v>
      </c>
    </row>
    <row r="78" spans="8:15" x14ac:dyDescent="0.25">
      <c r="H78" s="274" t="s">
        <v>711</v>
      </c>
      <c r="I78" s="274"/>
      <c r="J78" s="208" t="s">
        <v>581</v>
      </c>
      <c r="K78" s="221">
        <v>0</v>
      </c>
      <c r="L78" s="355">
        <v>0</v>
      </c>
      <c r="M78" s="355">
        <v>0</v>
      </c>
      <c r="N78" s="355">
        <v>0</v>
      </c>
      <c r="O78" s="355">
        <v>236</v>
      </c>
    </row>
    <row r="79" spans="8:15" x14ac:dyDescent="0.25">
      <c r="H79" s="366" t="s">
        <v>541</v>
      </c>
      <c r="I79" s="366"/>
      <c r="J79" s="366"/>
      <c r="K79" s="350"/>
      <c r="L79" s="350">
        <f>SUM(L73:L78)</f>
        <v>900</v>
      </c>
      <c r="M79" s="350">
        <f>SUM(M73:M78)</f>
        <v>1800</v>
      </c>
      <c r="N79" s="350">
        <f>SUM(N73:N78)</f>
        <v>3600</v>
      </c>
      <c r="O79" s="350">
        <f>SUM(O73:O78)</f>
        <v>6336</v>
      </c>
    </row>
    <row r="85" spans="8:15" ht="30" x14ac:dyDescent="0.25">
      <c r="H85" s="351" t="s">
        <v>693</v>
      </c>
      <c r="I85" s="351" t="s">
        <v>694</v>
      </c>
      <c r="J85" s="352" t="s">
        <v>695</v>
      </c>
      <c r="K85" s="351">
        <v>2020</v>
      </c>
      <c r="L85" s="351">
        <v>2021</v>
      </c>
      <c r="M85" s="351">
        <v>2022</v>
      </c>
      <c r="N85" s="363">
        <v>2023</v>
      </c>
      <c r="O85" s="351">
        <v>2024</v>
      </c>
    </row>
    <row r="86" spans="8:15" x14ac:dyDescent="0.25">
      <c r="H86" s="221" t="s">
        <v>631</v>
      </c>
      <c r="I86" s="370">
        <v>2103300</v>
      </c>
      <c r="J86" s="208" t="s">
        <v>577</v>
      </c>
      <c r="K86" s="221">
        <v>0</v>
      </c>
      <c r="L86" s="221"/>
      <c r="M86" s="221"/>
      <c r="N86" s="221"/>
      <c r="O86" s="221">
        <v>1000</v>
      </c>
    </row>
    <row r="87" spans="8:15" x14ac:dyDescent="0.25">
      <c r="H87" s="221" t="s">
        <v>631</v>
      </c>
      <c r="I87" s="370">
        <v>2103300</v>
      </c>
      <c r="J87" s="208" t="s">
        <v>581</v>
      </c>
      <c r="K87" s="221">
        <v>0</v>
      </c>
      <c r="L87" s="221"/>
      <c r="M87" s="221"/>
      <c r="N87" s="221"/>
      <c r="O87" s="221">
        <v>100</v>
      </c>
    </row>
    <row r="88" spans="8:15" x14ac:dyDescent="0.25">
      <c r="H88" s="221" t="s">
        <v>637</v>
      </c>
      <c r="I88" s="370" t="s">
        <v>713</v>
      </c>
      <c r="J88" s="208" t="s">
        <v>577</v>
      </c>
      <c r="K88" s="221">
        <v>200</v>
      </c>
      <c r="L88" s="355">
        <v>100</v>
      </c>
      <c r="M88" s="355">
        <v>100</v>
      </c>
      <c r="N88" s="355">
        <v>100</v>
      </c>
      <c r="O88" s="355">
        <v>100</v>
      </c>
    </row>
    <row r="89" spans="8:15" x14ac:dyDescent="0.25">
      <c r="H89" s="366" t="s">
        <v>543</v>
      </c>
      <c r="I89" s="366"/>
      <c r="J89" s="366"/>
      <c r="K89" s="350">
        <v>200</v>
      </c>
      <c r="L89" s="350">
        <f>SUM(L86:L88)</f>
        <v>100</v>
      </c>
      <c r="M89" s="350">
        <f>SUM(M86:M88)</f>
        <v>100</v>
      </c>
      <c r="N89" s="350">
        <f>SUM(N86:N88)</f>
        <v>100</v>
      </c>
      <c r="O89" s="350">
        <f>SUM(O86:O88)</f>
        <v>1200</v>
      </c>
    </row>
    <row r="93" spans="8:15" x14ac:dyDescent="0.25">
      <c r="H93" t="s">
        <v>178</v>
      </c>
    </row>
    <row r="94" spans="8:15" ht="30" x14ac:dyDescent="0.25">
      <c r="H94" s="351" t="s">
        <v>693</v>
      </c>
      <c r="I94" s="351" t="s">
        <v>694</v>
      </c>
      <c r="J94" s="352" t="s">
        <v>695</v>
      </c>
      <c r="K94" s="351">
        <v>2020</v>
      </c>
      <c r="L94" s="351">
        <v>2021</v>
      </c>
      <c r="M94" s="351">
        <v>2022</v>
      </c>
      <c r="N94" s="363">
        <v>2023</v>
      </c>
      <c r="O94" s="351">
        <v>2024</v>
      </c>
    </row>
    <row r="95" spans="8:15" x14ac:dyDescent="0.25">
      <c r="H95" s="221" t="s">
        <v>641</v>
      </c>
      <c r="I95" s="370">
        <v>25004</v>
      </c>
      <c r="J95" s="208" t="s">
        <v>577</v>
      </c>
      <c r="K95" s="182"/>
      <c r="L95" s="221">
        <v>500</v>
      </c>
      <c r="M95" s="221">
        <v>500</v>
      </c>
      <c r="N95" s="221">
        <v>500</v>
      </c>
      <c r="O95" s="221">
        <v>500</v>
      </c>
    </row>
    <row r="96" spans="8:15" x14ac:dyDescent="0.25">
      <c r="H96" s="221" t="s">
        <v>685</v>
      </c>
      <c r="I96" s="370">
        <v>24004</v>
      </c>
      <c r="J96" s="208" t="s">
        <v>577</v>
      </c>
      <c r="K96" s="182"/>
      <c r="L96" s="221">
        <v>100</v>
      </c>
      <c r="M96" s="221">
        <v>300</v>
      </c>
      <c r="N96" s="221">
        <v>300</v>
      </c>
      <c r="O96" s="221">
        <v>300</v>
      </c>
    </row>
    <row r="97" spans="8:15" x14ac:dyDescent="0.25">
      <c r="H97" s="221" t="s">
        <v>686</v>
      </c>
      <c r="I97" s="370">
        <v>24004</v>
      </c>
      <c r="J97" s="208" t="s">
        <v>577</v>
      </c>
      <c r="K97" s="182"/>
      <c r="L97" s="221">
        <v>100</v>
      </c>
      <c r="M97" s="221">
        <v>300</v>
      </c>
      <c r="N97" s="221">
        <v>300</v>
      </c>
      <c r="O97" s="221">
        <v>300</v>
      </c>
    </row>
    <row r="98" spans="8:15" x14ac:dyDescent="0.25">
      <c r="H98" s="221" t="s">
        <v>642</v>
      </c>
      <c r="I98" s="370">
        <v>25004</v>
      </c>
      <c r="J98" s="208" t="s">
        <v>577</v>
      </c>
      <c r="K98" s="182"/>
      <c r="L98" s="221">
        <v>0</v>
      </c>
      <c r="M98" s="221">
        <v>100</v>
      </c>
      <c r="N98" s="221">
        <v>300</v>
      </c>
      <c r="O98" s="221">
        <v>300</v>
      </c>
    </row>
    <row r="99" spans="8:15" x14ac:dyDescent="0.25">
      <c r="H99" s="221" t="s">
        <v>643</v>
      </c>
      <c r="I99" s="370">
        <v>25004</v>
      </c>
      <c r="J99" s="208" t="s">
        <v>577</v>
      </c>
      <c r="K99" s="182"/>
      <c r="L99" s="221">
        <v>0</v>
      </c>
      <c r="M99" s="221">
        <v>0</v>
      </c>
      <c r="N99" s="221">
        <v>100</v>
      </c>
      <c r="O99" s="221">
        <v>300</v>
      </c>
    </row>
    <row r="100" spans="8:15" x14ac:dyDescent="0.25">
      <c r="H100" s="221" t="s">
        <v>687</v>
      </c>
      <c r="I100" s="370">
        <v>2103101</v>
      </c>
      <c r="J100" s="208" t="s">
        <v>577</v>
      </c>
      <c r="K100" s="182"/>
      <c r="L100" s="221">
        <v>0</v>
      </c>
      <c r="M100" s="221">
        <v>300</v>
      </c>
      <c r="N100" s="221">
        <v>500</v>
      </c>
      <c r="O100" s="221">
        <v>500</v>
      </c>
    </row>
    <row r="101" spans="8:15" x14ac:dyDescent="0.25">
      <c r="H101" s="221" t="s">
        <v>645</v>
      </c>
      <c r="I101" s="370">
        <v>2103102</v>
      </c>
      <c r="J101" s="208" t="s">
        <v>577</v>
      </c>
      <c r="K101" s="182"/>
      <c r="L101" s="221">
        <v>0</v>
      </c>
      <c r="M101" s="221">
        <v>300</v>
      </c>
      <c r="N101" s="221">
        <v>600</v>
      </c>
      <c r="O101" s="221">
        <v>600</v>
      </c>
    </row>
    <row r="102" spans="8:15" x14ac:dyDescent="0.25">
      <c r="H102" s="221" t="s">
        <v>646</v>
      </c>
      <c r="I102" s="370">
        <v>2103107</v>
      </c>
      <c r="J102" s="208" t="s">
        <v>581</v>
      </c>
      <c r="K102" s="182"/>
      <c r="L102" s="221">
        <v>500</v>
      </c>
      <c r="M102" s="221">
        <v>500</v>
      </c>
      <c r="N102" s="221">
        <v>500</v>
      </c>
      <c r="O102" s="221">
        <v>500</v>
      </c>
    </row>
    <row r="103" spans="8:15" x14ac:dyDescent="0.25">
      <c r="H103" s="221" t="s">
        <v>730</v>
      </c>
      <c r="I103" s="370">
        <v>21015</v>
      </c>
      <c r="J103" s="208" t="s">
        <v>577</v>
      </c>
      <c r="K103" s="182"/>
      <c r="L103" s="221">
        <v>1500</v>
      </c>
      <c r="M103" s="221">
        <v>3000</v>
      </c>
      <c r="N103" s="221">
        <v>3000</v>
      </c>
      <c r="O103" s="221">
        <v>3000</v>
      </c>
    </row>
    <row r="104" spans="8:15" x14ac:dyDescent="0.25">
      <c r="H104" s="221" t="s">
        <v>715</v>
      </c>
      <c r="I104" s="370">
        <v>21015</v>
      </c>
      <c r="J104" s="208" t="s">
        <v>577</v>
      </c>
      <c r="K104" s="182"/>
      <c r="L104" s="221">
        <v>1500</v>
      </c>
      <c r="M104" s="221">
        <v>3000</v>
      </c>
      <c r="N104" s="221">
        <v>3000</v>
      </c>
      <c r="O104" s="221">
        <v>3000</v>
      </c>
    </row>
    <row r="105" spans="8:15" x14ac:dyDescent="0.25">
      <c r="H105" s="221" t="s">
        <v>716</v>
      </c>
      <c r="I105" s="370">
        <v>21015</v>
      </c>
      <c r="J105" s="208" t="s">
        <v>577</v>
      </c>
      <c r="K105" s="182"/>
      <c r="L105" s="221">
        <v>0</v>
      </c>
      <c r="M105" s="221">
        <v>1500</v>
      </c>
      <c r="N105" s="221">
        <v>3000</v>
      </c>
      <c r="O105" s="221">
        <v>3000</v>
      </c>
    </row>
    <row r="106" spans="8:15" x14ac:dyDescent="0.25">
      <c r="H106" s="221" t="s">
        <v>649</v>
      </c>
      <c r="I106" s="370">
        <v>21015</v>
      </c>
      <c r="J106" s="208" t="s">
        <v>577</v>
      </c>
      <c r="K106" s="182"/>
      <c r="L106" s="221">
        <v>0</v>
      </c>
      <c r="M106" s="221">
        <v>0</v>
      </c>
      <c r="N106" s="221">
        <v>1500</v>
      </c>
      <c r="O106" s="221">
        <v>3000</v>
      </c>
    </row>
    <row r="107" spans="8:15" x14ac:dyDescent="0.25">
      <c r="H107" s="366" t="s">
        <v>545</v>
      </c>
      <c r="I107" s="366"/>
      <c r="J107" s="366"/>
      <c r="K107" s="350">
        <v>4600</v>
      </c>
      <c r="L107" s="350">
        <f>SUM(L95:L106)</f>
        <v>4200</v>
      </c>
      <c r="M107" s="350">
        <f>SUM(M95:M106)</f>
        <v>9800</v>
      </c>
      <c r="N107" s="350">
        <f>SUM(N95:N106)</f>
        <v>13600</v>
      </c>
      <c r="O107" s="350">
        <f>SUM(O95:O106)</f>
        <v>15300</v>
      </c>
    </row>
    <row r="109" spans="8:15" x14ac:dyDescent="0.25">
      <c r="H109" s="371" t="s">
        <v>178</v>
      </c>
      <c r="I109" s="371"/>
    </row>
    <row r="110" spans="8:15" ht="30" x14ac:dyDescent="0.25">
      <c r="H110" s="351" t="s">
        <v>693</v>
      </c>
      <c r="I110" s="351" t="s">
        <v>694</v>
      </c>
      <c r="J110" s="352" t="s">
        <v>695</v>
      </c>
      <c r="K110" s="351">
        <v>2020</v>
      </c>
      <c r="L110" s="351">
        <v>2021</v>
      </c>
      <c r="M110" s="351">
        <v>2022</v>
      </c>
      <c r="N110" s="363">
        <v>2023</v>
      </c>
      <c r="O110" s="351">
        <v>2024</v>
      </c>
    </row>
    <row r="111" spans="8:15" x14ac:dyDescent="0.25">
      <c r="H111" s="275" t="s">
        <v>731</v>
      </c>
      <c r="I111" s="368">
        <v>25004</v>
      </c>
      <c r="J111" s="208" t="s">
        <v>577</v>
      </c>
      <c r="K111" s="221">
        <v>0</v>
      </c>
      <c r="L111" s="221">
        <v>0</v>
      </c>
      <c r="M111" s="221">
        <v>0</v>
      </c>
      <c r="N111" s="221">
        <v>0</v>
      </c>
      <c r="O111" s="221">
        <v>100</v>
      </c>
    </row>
    <row r="112" spans="8:15" x14ac:dyDescent="0.25">
      <c r="H112" s="275" t="s">
        <v>650</v>
      </c>
      <c r="I112" s="368">
        <v>21015</v>
      </c>
      <c r="J112" s="208" t="s">
        <v>577</v>
      </c>
      <c r="K112" s="221">
        <v>0</v>
      </c>
      <c r="L112" s="221">
        <v>0</v>
      </c>
      <c r="M112" s="221">
        <v>0</v>
      </c>
      <c r="N112" s="221">
        <v>0</v>
      </c>
      <c r="O112" s="221">
        <v>1500</v>
      </c>
    </row>
    <row r="113" spans="8:15" x14ac:dyDescent="0.25">
      <c r="H113" s="366" t="s">
        <v>545</v>
      </c>
      <c r="I113" s="366"/>
      <c r="J113" s="366"/>
      <c r="K113" s="350">
        <v>0</v>
      </c>
      <c r="L113" s="350">
        <v>0</v>
      </c>
      <c r="M113" s="350">
        <v>0</v>
      </c>
      <c r="N113" s="350">
        <v>0</v>
      </c>
      <c r="O113" s="350">
        <f>SUM(O111:O112)</f>
        <v>1600</v>
      </c>
    </row>
    <row r="115" spans="8:15" x14ac:dyDescent="0.25">
      <c r="H115" t="s">
        <v>190</v>
      </c>
    </row>
    <row r="116" spans="8:15" ht="30" x14ac:dyDescent="0.25">
      <c r="H116" s="351" t="s">
        <v>693</v>
      </c>
      <c r="I116" s="351" t="s">
        <v>694</v>
      </c>
      <c r="J116" s="352" t="s">
        <v>695</v>
      </c>
      <c r="K116" s="351">
        <v>2020</v>
      </c>
      <c r="L116" s="351">
        <v>2021</v>
      </c>
      <c r="M116" s="351">
        <v>2022</v>
      </c>
      <c r="N116" s="363">
        <v>2023</v>
      </c>
      <c r="O116" s="351">
        <v>2024</v>
      </c>
    </row>
    <row r="117" spans="8:15" x14ac:dyDescent="0.25">
      <c r="H117" s="275" t="s">
        <v>656</v>
      </c>
      <c r="I117" s="368">
        <v>1501300</v>
      </c>
      <c r="J117" s="208" t="s">
        <v>577</v>
      </c>
      <c r="K117" s="221">
        <v>300</v>
      </c>
      <c r="L117" s="355">
        <v>200</v>
      </c>
      <c r="M117" s="355">
        <v>600</v>
      </c>
      <c r="N117" s="355">
        <v>600</v>
      </c>
      <c r="O117" s="355">
        <v>600</v>
      </c>
    </row>
    <row r="118" spans="8:15" x14ac:dyDescent="0.25">
      <c r="H118" s="275" t="s">
        <v>656</v>
      </c>
      <c r="I118" s="368">
        <v>1501300</v>
      </c>
      <c r="J118" s="208" t="s">
        <v>580</v>
      </c>
      <c r="K118" s="221">
        <v>0</v>
      </c>
      <c r="L118" s="355">
        <v>39</v>
      </c>
      <c r="M118" s="355">
        <v>78</v>
      </c>
      <c r="N118" s="355">
        <v>78</v>
      </c>
      <c r="O118" s="355">
        <v>78</v>
      </c>
    </row>
    <row r="119" spans="8:15" x14ac:dyDescent="0.25">
      <c r="H119" s="275" t="s">
        <v>656</v>
      </c>
      <c r="I119" s="368">
        <v>1501300</v>
      </c>
      <c r="J119" s="208" t="s">
        <v>581</v>
      </c>
      <c r="K119" s="221">
        <v>0</v>
      </c>
      <c r="L119" s="355">
        <v>21</v>
      </c>
      <c r="M119" s="355">
        <v>42</v>
      </c>
      <c r="N119" s="355">
        <v>42</v>
      </c>
      <c r="O119" s="355">
        <v>42</v>
      </c>
    </row>
    <row r="120" spans="8:15" x14ac:dyDescent="0.25">
      <c r="H120" s="274" t="s">
        <v>717</v>
      </c>
      <c r="I120" s="274"/>
      <c r="J120" s="208" t="s">
        <v>577</v>
      </c>
      <c r="K120" s="221"/>
      <c r="L120" s="221">
        <v>100</v>
      </c>
      <c r="M120" s="221">
        <v>100</v>
      </c>
      <c r="N120" s="221">
        <v>100</v>
      </c>
      <c r="O120" s="221">
        <v>100</v>
      </c>
    </row>
    <row r="121" spans="8:15" x14ac:dyDescent="0.25">
      <c r="H121" s="372" t="s">
        <v>732</v>
      </c>
      <c r="J121" s="208" t="s">
        <v>577</v>
      </c>
      <c r="N121" s="373">
        <v>1500</v>
      </c>
      <c r="O121" s="373">
        <v>3000</v>
      </c>
    </row>
    <row r="122" spans="8:15" x14ac:dyDescent="0.25">
      <c r="H122" s="366" t="s">
        <v>547</v>
      </c>
      <c r="I122" s="366"/>
      <c r="J122" s="366"/>
      <c r="K122" s="350">
        <f>SUM(K117:K120)</f>
        <v>300</v>
      </c>
      <c r="L122" s="350">
        <f>SUM(L117:L121)</f>
        <v>360</v>
      </c>
      <c r="M122" s="350">
        <f>SUM(M117:M121)</f>
        <v>820</v>
      </c>
      <c r="N122" s="350">
        <f>SUM(N117:N121)</f>
        <v>2320</v>
      </c>
      <c r="O122" s="350">
        <f>SUM(O117:O121)</f>
        <v>3820</v>
      </c>
    </row>
    <row r="123" spans="8:15" x14ac:dyDescent="0.25">
      <c r="H123" s="374"/>
      <c r="I123" s="374"/>
      <c r="J123" s="374"/>
      <c r="K123" s="375"/>
      <c r="L123" s="375"/>
      <c r="M123" s="375"/>
      <c r="O123" s="375"/>
    </row>
    <row r="125" spans="8:15" ht="30" x14ac:dyDescent="0.25">
      <c r="H125" s="351" t="s">
        <v>693</v>
      </c>
      <c r="I125" s="351" t="s">
        <v>694</v>
      </c>
      <c r="J125" s="352" t="s">
        <v>695</v>
      </c>
      <c r="K125" s="351">
        <v>2020</v>
      </c>
      <c r="L125" s="351">
        <v>2021</v>
      </c>
      <c r="M125" s="351">
        <v>2022</v>
      </c>
      <c r="N125" s="363">
        <v>2023</v>
      </c>
      <c r="O125" s="351">
        <v>2024</v>
      </c>
    </row>
    <row r="126" spans="8:15" x14ac:dyDescent="0.25">
      <c r="H126" s="275" t="s">
        <v>733</v>
      </c>
      <c r="I126" s="368">
        <v>60008</v>
      </c>
      <c r="J126" s="208" t="s">
        <v>577</v>
      </c>
      <c r="K126" s="221">
        <v>4800</v>
      </c>
      <c r="L126" s="355">
        <v>6600</v>
      </c>
      <c r="M126" s="355">
        <v>6600</v>
      </c>
      <c r="N126" s="355">
        <v>6600</v>
      </c>
      <c r="O126" s="355">
        <v>6600</v>
      </c>
    </row>
    <row r="127" spans="8:15" x14ac:dyDescent="0.25">
      <c r="H127" s="275" t="s">
        <v>733</v>
      </c>
      <c r="I127" s="368">
        <v>60008</v>
      </c>
      <c r="J127" s="208" t="s">
        <v>580</v>
      </c>
      <c r="K127" s="221">
        <v>650</v>
      </c>
      <c r="L127" s="355">
        <v>400</v>
      </c>
      <c r="M127" s="355">
        <v>400</v>
      </c>
      <c r="N127" s="355">
        <v>400</v>
      </c>
      <c r="O127" s="355">
        <v>400</v>
      </c>
    </row>
    <row r="128" spans="8:15" x14ac:dyDescent="0.25">
      <c r="H128" s="275" t="s">
        <v>734</v>
      </c>
      <c r="I128" s="368">
        <v>60008</v>
      </c>
      <c r="J128" s="208" t="s">
        <v>581</v>
      </c>
      <c r="K128" s="221">
        <v>850</v>
      </c>
      <c r="L128" s="355">
        <v>500</v>
      </c>
      <c r="M128" s="355">
        <v>500</v>
      </c>
      <c r="N128" s="355">
        <v>500</v>
      </c>
      <c r="O128" s="355">
        <v>500</v>
      </c>
    </row>
    <row r="129" spans="8:23" x14ac:dyDescent="0.25">
      <c r="H129" s="275" t="s">
        <v>661</v>
      </c>
      <c r="I129" s="368">
        <v>6001000</v>
      </c>
      <c r="J129" s="208" t="s">
        <v>577</v>
      </c>
      <c r="K129" s="221">
        <v>0</v>
      </c>
      <c r="L129" s="221">
        <v>2000</v>
      </c>
      <c r="M129" s="221">
        <v>4000</v>
      </c>
      <c r="N129" s="221">
        <v>4000</v>
      </c>
      <c r="O129" s="221">
        <v>4000</v>
      </c>
    </row>
    <row r="130" spans="8:23" x14ac:dyDescent="0.25">
      <c r="H130" s="366" t="s">
        <v>549</v>
      </c>
      <c r="I130" s="366"/>
      <c r="J130" s="366"/>
      <c r="K130" s="350">
        <f>SUM(K126:K129)</f>
        <v>6300</v>
      </c>
      <c r="L130" s="350">
        <f>SUM(L126:L129)</f>
        <v>9500</v>
      </c>
      <c r="M130" s="350">
        <f>SUM(M126:M129)</f>
        <v>11500</v>
      </c>
      <c r="N130" s="350">
        <f>SUM(N126:N129)</f>
        <v>11500</v>
      </c>
      <c r="O130" s="350">
        <f>SUM(O126:O129)</f>
        <v>11500</v>
      </c>
    </row>
    <row r="131" spans="8:23" x14ac:dyDescent="0.25">
      <c r="W131">
        <f>16025+20000+904+5029-5029</f>
        <v>36929</v>
      </c>
    </row>
    <row r="134" spans="8:23" x14ac:dyDescent="0.25">
      <c r="H134" s="376"/>
      <c r="I134" s="376"/>
      <c r="J134" s="376"/>
      <c r="K134" s="377">
        <v>2020</v>
      </c>
      <c r="L134" s="377">
        <v>2021</v>
      </c>
      <c r="M134" s="377">
        <v>2022</v>
      </c>
      <c r="N134" s="377">
        <v>2023</v>
      </c>
      <c r="O134" s="377">
        <v>2024</v>
      </c>
    </row>
    <row r="135" spans="8:23" x14ac:dyDescent="0.25">
      <c r="H135" s="182" t="s">
        <v>720</v>
      </c>
      <c r="I135" s="182"/>
      <c r="J135" s="208"/>
      <c r="L135" s="182">
        <f>SUMIFS(L:L,$J:$J,"INTERNHUSLEIE")</f>
        <v>36429</v>
      </c>
      <c r="M135" s="182">
        <f>SUMIFS(M:M,$J:$J,"INTERNHUSLEIE")</f>
        <v>67109</v>
      </c>
      <c r="N135" s="182">
        <f>SUMIFS(N:N,$J:$J,"INTERNHUSLEIE")</f>
        <v>79509</v>
      </c>
      <c r="O135" s="182">
        <f>SUMIFS(O:O,$J:$J,"INTERNHUSLEIE")</f>
        <v>105709</v>
      </c>
    </row>
    <row r="136" spans="8:23" x14ac:dyDescent="0.25">
      <c r="H136" s="182" t="s">
        <v>721</v>
      </c>
      <c r="I136" s="182"/>
      <c r="J136" s="208"/>
      <c r="L136" s="182">
        <f>SUMIFS(L:L,$J:$J,"RENHOLD")</f>
        <v>2192</v>
      </c>
      <c r="M136" s="182">
        <f>SUMIFS(M:M,$J:$J,"RENHOLD")</f>
        <v>3733</v>
      </c>
      <c r="N136" s="182">
        <f>SUMIFS(N:N,$J:$J,"RENHOLD")</f>
        <v>3733</v>
      </c>
      <c r="O136" s="182">
        <f>SUMIFS(O:O,$J:$J,"RENHOLD")</f>
        <v>3783</v>
      </c>
    </row>
    <row r="137" spans="8:23" x14ac:dyDescent="0.25">
      <c r="H137" s="182" t="s">
        <v>722</v>
      </c>
      <c r="I137" s="182"/>
      <c r="J137" s="208"/>
      <c r="L137" s="182">
        <f>SUMIFS(L:L,$J:$J,"ENERGI")</f>
        <v>1726</v>
      </c>
      <c r="M137" s="182">
        <f>SUMIFS(M:M,$J:$J,"ENERGI")</f>
        <v>2402</v>
      </c>
      <c r="N137" s="182">
        <f>SUMIFS(N:N,$J:$J,"ENERGI")</f>
        <v>2602</v>
      </c>
      <c r="O137" s="182">
        <f>SUMIFS(O:O,$J:$J,"ENERGI")</f>
        <v>3088</v>
      </c>
    </row>
    <row r="138" spans="8:23" x14ac:dyDescent="0.25">
      <c r="H138" s="183" t="s">
        <v>723</v>
      </c>
      <c r="I138" s="183"/>
      <c r="J138" s="183"/>
      <c r="L138" s="183">
        <f>SUM(L135:L137)</f>
        <v>40347</v>
      </c>
      <c r="M138" s="183">
        <f>SUM(M135:M137)</f>
        <v>73244</v>
      </c>
      <c r="N138" s="183">
        <f>SUM(N135:N137)</f>
        <v>85844</v>
      </c>
      <c r="O138" s="183">
        <f>SUM(O135:O137)</f>
        <v>112580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7F3E87B1AB648BA6A17201C247666" ma:contentTypeVersion="12" ma:contentTypeDescription="Create a new document." ma:contentTypeScope="" ma:versionID="df508c07fe417dd8899d34cd27ae079a">
  <xsd:schema xmlns:xsd="http://www.w3.org/2001/XMLSchema" xmlns:xs="http://www.w3.org/2001/XMLSchema" xmlns:p="http://schemas.microsoft.com/office/2006/metadata/properties" xmlns:ns2="1f6cca7a-962e-4b74-a596-49c923aa0fa7" xmlns:ns3="dfba7784-84f1-4ed2-acb0-4bcdeb094853" targetNamespace="http://schemas.microsoft.com/office/2006/metadata/properties" ma:root="true" ma:fieldsID="026ee5d00b6933c38451dfdcaf75b9cd" ns2:_="" ns3:_="">
    <xsd:import namespace="1f6cca7a-962e-4b74-a596-49c923aa0fa7"/>
    <xsd:import namespace="dfba7784-84f1-4ed2-acb0-4bcdeb0948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cca7a-962e-4b74-a596-49c923aa0f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a7784-84f1-4ed2-acb0-4bcdeb094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81C0AD-45F8-406C-9B4E-FFA804ACC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8FD75-F0AC-4B0A-AD30-C50032B74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cca7a-962e-4b74-a596-49c923aa0fa7"/>
    <ds:schemaRef ds:uri="dfba7784-84f1-4ed2-acb0-4bcdeb094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A0E72-0235-4226-8DBC-A3800FDAB485}">
  <ds:schemaRefs>
    <ds:schemaRef ds:uri="http://schemas.microsoft.com/office/2006/documentManagement/types"/>
    <ds:schemaRef ds:uri="http://schemas.microsoft.com/office/infopath/2007/PartnerControls"/>
    <ds:schemaRef ds:uri="1f6cca7a-962e-4b74-a596-49c923aa0fa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fba7784-84f1-4ed2-acb0-4bcdeb09485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Tiltaksliste</vt:lpstr>
      <vt:lpstr>ETTER STATUSBUDSJETT 12.10.21</vt:lpstr>
      <vt:lpstr>14.09.21 LÅST SISTE VERSJON</vt:lpstr>
      <vt:lpstr>31.08.21 GJELDENDE</vt:lpstr>
      <vt:lpstr>Etter KLG 15.06.2021</vt:lpstr>
      <vt:lpstr>Start ny tiltaksliste HØP 22-25</vt:lpstr>
      <vt:lpstr>Internhusleie21-24</vt:lpstr>
      <vt:lpstr>Internhusleie oppsummert2021</vt:lpstr>
    </vt:vector>
  </TitlesOfParts>
  <Manager/>
  <Company>Sandnes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sluttbruker</dc:creator>
  <cp:keywords/>
  <dc:description/>
  <cp:lastModifiedBy>Rødland, Hege</cp:lastModifiedBy>
  <cp:revision/>
  <dcterms:created xsi:type="dcterms:W3CDTF">2014-05-24T18:52:17Z</dcterms:created>
  <dcterms:modified xsi:type="dcterms:W3CDTF">2022-01-13T07:56:01Z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0x010100F627F3E87B1AB648BA6A17201C247666</vt:lpwstr>
  </property>
</Properties>
</file>